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autoCompressPictures="0"/>
  <workbookProtection workbookPassword="CF7A" lockStructure="1"/>
  <bookViews>
    <workbookView xWindow="0" yWindow="0" windowWidth="23136" windowHeight="11760" tabRatio="891" firstSheet="2" activeTab="2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5_EFE" sheetId="12" r:id="rId10"/>
    <sheet name="FC-6_Inversiones" sheetId="13" r:id="rId11"/>
    <sheet name="FC-7_INF" sheetId="15" r:id="rId12"/>
    <sheet name="FC-8_INV_FINANCIERAS" sheetId="17" r:id="rId13"/>
    <sheet name="FC-9_TRANS_SUBV" sheetId="18" r:id="rId14"/>
    <sheet name="FC-10_DEUDAS" sheetId="23" r:id="rId15"/>
    <sheet name="FC-11_DEUDA_VIVA" sheetId="20" r:id="rId16"/>
    <sheet name="FC-12_PERFIL_VTO_DEUDA" sheetId="21" r:id="rId17"/>
    <sheet name="FC-13_PERSONAL" sheetId="25" r:id="rId18"/>
    <sheet name="FC-14_OPER_INTERNAS" sheetId="27" r:id="rId19"/>
    <sheet name="FC-15_ENCOMIENDAS" sheetId="28" r:id="rId20"/>
    <sheet name="FC-16_ESTAB_PRESUP" sheetId="29" state="hidden" r:id="rId21"/>
    <sheet name="FC-17_FINANCIACIÓN" sheetId="31" r:id="rId22"/>
    <sheet name="FC-90_COMPROBACIÓN" sheetId="32" r:id="rId23"/>
    <sheet name="FC-91_PRESUPUESTO" sheetId="34" state="hidden" r:id="rId24"/>
    <sheet name="FC-92_PRESUPUESTO_PYG" sheetId="33" state="hidden" r:id="rId25"/>
  </sheets>
  <definedNames>
    <definedName name="_xlnm.Print_Area" localSheetId="1">CHECK_LIST!$B$5:$H$43</definedName>
    <definedName name="_xlnm.Print_Area" localSheetId="2">'FC-1_ORGANOS_GOBIERNO'!$B$1:$I$48</definedName>
    <definedName name="_xlnm.Print_Area" localSheetId="14">'FC-10_DEUDAS'!$B$1:$T$92</definedName>
    <definedName name="_xlnm.Print_Area" localSheetId="15">'FC-11_DEUDA_VIVA'!$B$1:$J$42</definedName>
    <definedName name="_xlnm.Print_Area" localSheetId="16">'FC-12_PERFIL_VTO_DEUDA'!$B$1:$O$30</definedName>
    <definedName name="_xlnm.Print_Area" localSheetId="17">'FC-13_PERSONAL'!$B$1:$K$71</definedName>
    <definedName name="_xlnm.Print_Area" localSheetId="18">'FC-14_OPER_INTERNAS'!$B$1:$I$82</definedName>
    <definedName name="_xlnm.Print_Area" localSheetId="19">'FC-15_ENCOMIENDAS'!$B$1:$H$41</definedName>
    <definedName name="_xlnm.Print_Area" localSheetId="20">'FC-16_ESTAB_PRESUP'!$B$5:$H$49</definedName>
    <definedName name="_xlnm.Print_Area" localSheetId="21">'FC-17_FINANCIACIÓN'!$B$1:$G$47</definedName>
    <definedName name="_xlnm.Print_Area" localSheetId="4">'FC-2_1'!$B$1:$O$56</definedName>
    <definedName name="_xlnm.Print_Area" localSheetId="3">'FC-2_ACCIONISTAS'!$B$1:$Q$62</definedName>
    <definedName name="_xlnm.Print_Area" localSheetId="6">'FC-3_1_INF_ADIC_CPyG'!$B$1:$N$100</definedName>
    <definedName name="_xlnm.Print_Area" localSheetId="5">'FC-3_CPyG'!$B$1:$H$93</definedName>
    <definedName name="_xlnm.Print_Area" localSheetId="7">'FC-4_ACTIVO'!$B$1:$H$101</definedName>
    <definedName name="_xlnm.Print_Area" localSheetId="8">'FC-4_PASIVO'!$B$1:$H$93</definedName>
    <definedName name="_xlnm.Print_Area" localSheetId="9">'FC-5_EFE'!$B$1:$I$107</definedName>
    <definedName name="_xlnm.Print_Area" localSheetId="10">'FC-6_Inversiones'!$B$1:$S$62</definedName>
    <definedName name="_xlnm.Print_Area" localSheetId="11">'FC-7_INF'!$B$1:$O$52</definedName>
    <definedName name="_xlnm.Print_Area" localSheetId="12">'FC-8_INV_FINANCIERAS'!$B$1:$N$77</definedName>
    <definedName name="_xlnm.Print_Area" localSheetId="13">'FC-9_TRANS_SUBV'!$B$1:$M$134</definedName>
    <definedName name="_xlnm.Print_Area" localSheetId="22">'FC-90_COMPROBACIÓN'!$B$1:$F$82</definedName>
    <definedName name="_xlnm.Print_Area" localSheetId="23">'FC-91_PRESUPUESTO'!$B$5:$F$52</definedName>
    <definedName name="_xlnm.Print_Area" localSheetId="24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</definedNames>
  <calcPr calcId="144525"/>
</workbook>
</file>

<file path=xl/calcChain.xml><?xml version="1.0" encoding="utf-8"?>
<calcChain xmlns="http://schemas.openxmlformats.org/spreadsheetml/2006/main">
  <c r="G91" i="9" l="1"/>
  <c r="G44" i="25"/>
  <c r="F43" i="25"/>
  <c r="G42" i="25"/>
  <c r="F42" i="25"/>
  <c r="G41" i="25"/>
  <c r="F41" i="25"/>
  <c r="I42" i="18" l="1"/>
  <c r="G35" i="7" l="1"/>
  <c r="G31" i="14"/>
  <c r="G42" i="18" l="1"/>
  <c r="G79" i="36"/>
  <c r="G29" i="7"/>
  <c r="G78" i="14" l="1"/>
  <c r="F78" i="14"/>
  <c r="F31" i="14"/>
  <c r="G78" i="36" l="1"/>
  <c r="F78" i="36"/>
  <c r="H28" i="27"/>
  <c r="G33" i="12"/>
  <c r="G31" i="12"/>
  <c r="G68" i="9"/>
  <c r="F68" i="9"/>
  <c r="F41" i="14"/>
  <c r="G41" i="14" s="1"/>
  <c r="F56" i="14"/>
  <c r="G56" i="14" s="1"/>
  <c r="F37" i="36"/>
  <c r="F42" i="36"/>
  <c r="F18" i="36"/>
  <c r="I26" i="15"/>
  <c r="J17" i="3"/>
  <c r="K42" i="36"/>
  <c r="K37" i="36"/>
  <c r="J19" i="3"/>
  <c r="J20" i="3"/>
  <c r="J21" i="3"/>
  <c r="J22" i="3"/>
  <c r="J23" i="3"/>
  <c r="J24" i="3"/>
  <c r="J25" i="3"/>
  <c r="J26" i="3"/>
  <c r="J27" i="3"/>
  <c r="J18" i="3"/>
  <c r="G34" i="37"/>
  <c r="F34" i="37"/>
  <c r="J112" i="18"/>
  <c r="F112" i="18"/>
  <c r="G86" i="18"/>
  <c r="F86" i="18"/>
  <c r="H83" i="18"/>
  <c r="I83" i="18"/>
  <c r="I72" i="18"/>
  <c r="H72" i="18"/>
  <c r="G72" i="18"/>
  <c r="F72" i="18"/>
  <c r="H68" i="18"/>
  <c r="I68" i="18"/>
  <c r="I39" i="18"/>
  <c r="H39" i="18"/>
  <c r="G39" i="18"/>
  <c r="F39" i="18"/>
  <c r="I30" i="18"/>
  <c r="H30" i="18"/>
  <c r="I16" i="18"/>
  <c r="H16" i="18"/>
  <c r="E54" i="9"/>
  <c r="E57" i="9"/>
  <c r="E60" i="9"/>
  <c r="E66" i="9"/>
  <c r="E65" i="9" s="1"/>
  <c r="E75" i="9"/>
  <c r="E82" i="9"/>
  <c r="E90" i="9"/>
  <c r="E63" i="14"/>
  <c r="E66" i="14"/>
  <c r="E74" i="14"/>
  <c r="E73" i="14"/>
  <c r="E68" i="32"/>
  <c r="G68" i="18"/>
  <c r="G35" i="37" s="1"/>
  <c r="L35" i="37" s="1"/>
  <c r="G83" i="18"/>
  <c r="G37" i="37" s="1"/>
  <c r="L37" i="37" s="1"/>
  <c r="J39" i="25"/>
  <c r="J40" i="25"/>
  <c r="J41" i="25"/>
  <c r="J42" i="25"/>
  <c r="J43" i="25"/>
  <c r="J44" i="25"/>
  <c r="F53" i="25"/>
  <c r="G32" i="7" s="1"/>
  <c r="J51" i="17"/>
  <c r="J52" i="17"/>
  <c r="J53" i="17"/>
  <c r="J54" i="17"/>
  <c r="J55" i="17"/>
  <c r="J56" i="17"/>
  <c r="J57" i="17"/>
  <c r="J27" i="17"/>
  <c r="J28" i="17"/>
  <c r="J29" i="17"/>
  <c r="J30" i="17"/>
  <c r="J31" i="17"/>
  <c r="J32" i="17"/>
  <c r="J33" i="17"/>
  <c r="J42" i="17"/>
  <c r="J43" i="17"/>
  <c r="J44" i="17"/>
  <c r="J45" i="17"/>
  <c r="J46" i="17"/>
  <c r="J47" i="17"/>
  <c r="J48" i="17"/>
  <c r="J18" i="17"/>
  <c r="J19" i="17"/>
  <c r="J20" i="17"/>
  <c r="J21" i="17"/>
  <c r="J22" i="17"/>
  <c r="J23" i="17"/>
  <c r="J24" i="17"/>
  <c r="G30" i="9"/>
  <c r="M18" i="15"/>
  <c r="E29" i="15" s="1"/>
  <c r="M29" i="15" s="1"/>
  <c r="G25" i="37" s="1"/>
  <c r="L25" i="37" s="1"/>
  <c r="M19" i="15"/>
  <c r="E30" i="15"/>
  <c r="M30" i="15"/>
  <c r="G75" i="9"/>
  <c r="G82" i="9"/>
  <c r="G54" i="9"/>
  <c r="G57" i="9"/>
  <c r="G60" i="9"/>
  <c r="G66" i="9"/>
  <c r="G65" i="9" s="1"/>
  <c r="G90" i="9"/>
  <c r="H95" i="12" s="1"/>
  <c r="F54" i="9"/>
  <c r="F57" i="9"/>
  <c r="F60" i="9"/>
  <c r="F66" i="9"/>
  <c r="F65" i="9" s="1"/>
  <c r="F75" i="9"/>
  <c r="F82" i="9"/>
  <c r="F90" i="9"/>
  <c r="O31" i="3"/>
  <c r="R74" i="23"/>
  <c r="S74" i="23"/>
  <c r="Q49" i="23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17" i="23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L42" i="23"/>
  <c r="L74" i="23"/>
  <c r="P42" i="23"/>
  <c r="P74" i="23"/>
  <c r="O74" i="23"/>
  <c r="N74" i="23"/>
  <c r="M74" i="23"/>
  <c r="K74" i="23"/>
  <c r="Q48" i="23"/>
  <c r="P48" i="23"/>
  <c r="O48" i="23"/>
  <c r="N48" i="23"/>
  <c r="M48" i="23"/>
  <c r="L48" i="23"/>
  <c r="I46" i="13"/>
  <c r="G28" i="37" s="1"/>
  <c r="F31" i="15"/>
  <c r="G53" i="13"/>
  <c r="G51" i="13"/>
  <c r="F49" i="13"/>
  <c r="G22" i="7"/>
  <c r="G55" i="36"/>
  <c r="G85" i="36"/>
  <c r="E42" i="33" s="1"/>
  <c r="E39" i="34" s="1"/>
  <c r="E42" i="32" s="1"/>
  <c r="G84" i="36"/>
  <c r="J14" i="38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8" i="38"/>
  <c r="D44" i="38"/>
  <c r="L44" i="38" s="1"/>
  <c r="D9" i="38"/>
  <c r="N6" i="38"/>
  <c r="I31" i="3"/>
  <c r="I15" i="3"/>
  <c r="O15" i="3"/>
  <c r="I15" i="20"/>
  <c r="P16" i="23"/>
  <c r="K46" i="13"/>
  <c r="G46" i="13"/>
  <c r="H46" i="13"/>
  <c r="J46" i="13"/>
  <c r="L46" i="13"/>
  <c r="M46" i="13"/>
  <c r="G22" i="37"/>
  <c r="L22" i="37" s="1"/>
  <c r="M22" i="37" s="1"/>
  <c r="G33" i="9"/>
  <c r="G40" i="9"/>
  <c r="G17" i="9"/>
  <c r="G26" i="9"/>
  <c r="G18" i="14"/>
  <c r="G22" i="14"/>
  <c r="G28" i="14"/>
  <c r="G35" i="14"/>
  <c r="G44" i="14"/>
  <c r="G49" i="14"/>
  <c r="G63" i="14"/>
  <c r="G66" i="14"/>
  <c r="G74" i="14"/>
  <c r="G73" i="14"/>
  <c r="E17" i="9"/>
  <c r="E26" i="9"/>
  <c r="E30" i="9"/>
  <c r="E33" i="9"/>
  <c r="E40" i="9"/>
  <c r="E18" i="14"/>
  <c r="E22" i="14"/>
  <c r="E28" i="14"/>
  <c r="E35" i="14"/>
  <c r="E44" i="14"/>
  <c r="E43" i="14" s="1"/>
  <c r="E49" i="14"/>
  <c r="F17" i="9"/>
  <c r="F26" i="9"/>
  <c r="F30" i="9"/>
  <c r="F33" i="9"/>
  <c r="F40" i="9"/>
  <c r="F18" i="14"/>
  <c r="F22" i="14"/>
  <c r="F28" i="14"/>
  <c r="F35" i="14"/>
  <c r="F44" i="14"/>
  <c r="F43" i="14" s="1"/>
  <c r="F49" i="14"/>
  <c r="F63" i="14"/>
  <c r="F66" i="14"/>
  <c r="F74" i="14"/>
  <c r="F73" i="14"/>
  <c r="E55" i="36"/>
  <c r="E47" i="36"/>
  <c r="K32" i="36"/>
  <c r="K36" i="36"/>
  <c r="G16" i="7"/>
  <c r="E18" i="33" s="1"/>
  <c r="G27" i="7"/>
  <c r="G34" i="7"/>
  <c r="E34" i="29" s="1"/>
  <c r="G43" i="7"/>
  <c r="G59" i="7"/>
  <c r="G52" i="7"/>
  <c r="G51" i="7" s="1"/>
  <c r="G55" i="7"/>
  <c r="G63" i="7"/>
  <c r="E33" i="33" s="1"/>
  <c r="E33" i="32" s="1"/>
  <c r="G67" i="7"/>
  <c r="E55" i="33" s="1"/>
  <c r="E55" i="32" s="1"/>
  <c r="G70" i="7"/>
  <c r="E19" i="33"/>
  <c r="E25" i="33"/>
  <c r="E29" i="33"/>
  <c r="E41" i="33"/>
  <c r="E38" i="34" s="1"/>
  <c r="E41" i="32" s="1"/>
  <c r="E47" i="33"/>
  <c r="E51" i="33"/>
  <c r="F19" i="20"/>
  <c r="M42" i="23"/>
  <c r="E28" i="34" s="1"/>
  <c r="E28" i="32" s="1"/>
  <c r="F83" i="18"/>
  <c r="F37" i="37" s="1"/>
  <c r="K37" i="37" s="1"/>
  <c r="K36" i="37"/>
  <c r="L36" i="37"/>
  <c r="F68" i="18"/>
  <c r="F35" i="37"/>
  <c r="K35" i="37" s="1"/>
  <c r="G30" i="18"/>
  <c r="G35" i="18" s="1"/>
  <c r="G33" i="37" s="1"/>
  <c r="L33" i="37" s="1"/>
  <c r="F30" i="18"/>
  <c r="F35" i="18" s="1"/>
  <c r="F33" i="37" s="1"/>
  <c r="K33" i="37" s="1"/>
  <c r="I31" i="15"/>
  <c r="G27" i="37" s="1"/>
  <c r="L27" i="37" s="1"/>
  <c r="I20" i="15"/>
  <c r="F27" i="37" s="1"/>
  <c r="K27" i="37" s="1"/>
  <c r="M22" i="15"/>
  <c r="M17" i="15"/>
  <c r="E28" i="15" s="1"/>
  <c r="M28" i="15" s="1"/>
  <c r="M16" i="15"/>
  <c r="M15" i="15"/>
  <c r="E26" i="15" s="1"/>
  <c r="G75" i="36"/>
  <c r="G21" i="37" s="1"/>
  <c r="L21" i="37" s="1"/>
  <c r="F75" i="36"/>
  <c r="F21" i="37" s="1"/>
  <c r="K21" i="37" s="1"/>
  <c r="E75" i="36"/>
  <c r="E21" i="37" s="1"/>
  <c r="J21" i="37" s="1"/>
  <c r="G71" i="36"/>
  <c r="G20" i="37" s="1"/>
  <c r="L20" i="37" s="1"/>
  <c r="E71" i="36"/>
  <c r="E20" i="37" s="1"/>
  <c r="J20" i="37" s="1"/>
  <c r="F71" i="36"/>
  <c r="F20" i="37" s="1"/>
  <c r="K20" i="37" s="1"/>
  <c r="G47" i="36"/>
  <c r="F47" i="36"/>
  <c r="F55" i="36"/>
  <c r="F19" i="37" s="1"/>
  <c r="K16" i="36"/>
  <c r="K20" i="36"/>
  <c r="K19" i="36" s="1"/>
  <c r="K25" i="36"/>
  <c r="K40" i="36"/>
  <c r="E21" i="31" s="1"/>
  <c r="E16" i="7"/>
  <c r="E16" i="36"/>
  <c r="E20" i="36"/>
  <c r="E19" i="36" s="1"/>
  <c r="E25" i="36"/>
  <c r="E32" i="36"/>
  <c r="E36" i="36"/>
  <c r="E40" i="36"/>
  <c r="F16" i="7"/>
  <c r="H16" i="36"/>
  <c r="H20" i="36"/>
  <c r="H25" i="36"/>
  <c r="H32" i="36"/>
  <c r="H36" i="36"/>
  <c r="H40" i="36"/>
  <c r="F95" i="12"/>
  <c r="G94" i="12" s="1"/>
  <c r="E52" i="7"/>
  <c r="E51" i="7" s="1"/>
  <c r="E55" i="7"/>
  <c r="E59" i="7"/>
  <c r="E63" i="7"/>
  <c r="E67" i="7"/>
  <c r="E70" i="7"/>
  <c r="E22" i="7"/>
  <c r="E27" i="7"/>
  <c r="E30" i="7"/>
  <c r="E34" i="7"/>
  <c r="E43" i="7"/>
  <c r="F17" i="12"/>
  <c r="F29" i="12"/>
  <c r="F36" i="12"/>
  <c r="F45" i="12"/>
  <c r="F54" i="12"/>
  <c r="F66" i="12"/>
  <c r="F73" i="12"/>
  <c r="F79" i="12"/>
  <c r="F85" i="12"/>
  <c r="G95" i="12"/>
  <c r="H94" i="12" s="1"/>
  <c r="F27" i="7"/>
  <c r="F22" i="7"/>
  <c r="F30" i="7"/>
  <c r="F34" i="7"/>
  <c r="F43" i="7"/>
  <c r="F52" i="7"/>
  <c r="F55" i="7"/>
  <c r="F59" i="7"/>
  <c r="F63" i="7"/>
  <c r="F67" i="7"/>
  <c r="F70" i="7"/>
  <c r="G17" i="12"/>
  <c r="G29" i="12"/>
  <c r="G36" i="12"/>
  <c r="G45" i="12"/>
  <c r="G63" i="12" s="1"/>
  <c r="G54" i="12"/>
  <c r="G66" i="12"/>
  <c r="G73" i="12"/>
  <c r="G72" i="12" s="1"/>
  <c r="G88" i="12" s="1"/>
  <c r="G79" i="12"/>
  <c r="G85" i="12"/>
  <c r="H17" i="12"/>
  <c r="H29" i="12"/>
  <c r="H36" i="12"/>
  <c r="H45" i="12"/>
  <c r="H54" i="12"/>
  <c r="H66" i="12"/>
  <c r="H73" i="12"/>
  <c r="H79" i="12"/>
  <c r="H85" i="12"/>
  <c r="L16" i="36"/>
  <c r="L20" i="36"/>
  <c r="L25" i="36"/>
  <c r="L32" i="36"/>
  <c r="L36" i="36"/>
  <c r="L31" i="36" s="1"/>
  <c r="L40" i="36"/>
  <c r="I16" i="36"/>
  <c r="I20" i="36"/>
  <c r="I25" i="36"/>
  <c r="I32" i="36"/>
  <c r="I36" i="36"/>
  <c r="I40" i="36"/>
  <c r="F16" i="36"/>
  <c r="F20" i="36"/>
  <c r="F25" i="36"/>
  <c r="F32" i="36"/>
  <c r="F36" i="36"/>
  <c r="F31" i="36" s="1"/>
  <c r="F40" i="36"/>
  <c r="E40" i="29"/>
  <c r="H31" i="15"/>
  <c r="K31" i="15"/>
  <c r="E23" i="34" s="1"/>
  <c r="E37" i="29"/>
  <c r="E36" i="29"/>
  <c r="E25" i="29"/>
  <c r="E32" i="29"/>
  <c r="E21" i="29"/>
  <c r="E22" i="29"/>
  <c r="E23" i="29"/>
  <c r="E24" i="29"/>
  <c r="E26" i="29"/>
  <c r="G97" i="18"/>
  <c r="E25" i="31"/>
  <c r="E26" i="31"/>
  <c r="E28" i="31"/>
  <c r="N42" i="23"/>
  <c r="E47" i="34" s="1"/>
  <c r="E50" i="32" s="1"/>
  <c r="E70" i="32"/>
  <c r="G31" i="15"/>
  <c r="E63" i="32" s="1"/>
  <c r="J31" i="15"/>
  <c r="E65" i="32" s="1"/>
  <c r="L31" i="15"/>
  <c r="E66" i="32" s="1"/>
  <c r="I25" i="17"/>
  <c r="I34" i="17"/>
  <c r="I49" i="17"/>
  <c r="I58" i="17"/>
  <c r="E16" i="32"/>
  <c r="E17" i="32"/>
  <c r="H25" i="17"/>
  <c r="H34" i="17"/>
  <c r="H49" i="17"/>
  <c r="H58" i="17"/>
  <c r="E46" i="32"/>
  <c r="G25" i="17"/>
  <c r="G34" i="17"/>
  <c r="G49" i="17"/>
  <c r="G58" i="17"/>
  <c r="O42" i="23"/>
  <c r="G70" i="36"/>
  <c r="F70" i="36"/>
  <c r="E70" i="36"/>
  <c r="M16" i="23"/>
  <c r="K42" i="23"/>
  <c r="Q16" i="23"/>
  <c r="O16" i="23"/>
  <c r="N16" i="23"/>
  <c r="L16" i="23"/>
  <c r="F46" i="13"/>
  <c r="E46" i="13"/>
  <c r="E14" i="37"/>
  <c r="F14" i="37"/>
  <c r="G14" i="37"/>
  <c r="D9" i="37"/>
  <c r="G6" i="37"/>
  <c r="G65" i="36"/>
  <c r="F65" i="36"/>
  <c r="E65" i="36"/>
  <c r="G46" i="36"/>
  <c r="F46" i="36"/>
  <c r="E46" i="36"/>
  <c r="M14" i="36"/>
  <c r="J14" i="36"/>
  <c r="G14" i="36"/>
  <c r="D9" i="36"/>
  <c r="M6" i="36"/>
  <c r="D9" i="34"/>
  <c r="E6" i="34"/>
  <c r="D9" i="33"/>
  <c r="E6" i="33"/>
  <c r="D9" i="32"/>
  <c r="E6" i="32"/>
  <c r="D9" i="31"/>
  <c r="F6" i="31"/>
  <c r="E18" i="29"/>
  <c r="D9" i="29"/>
  <c r="G6" i="29"/>
  <c r="F33" i="28"/>
  <c r="E33" i="28"/>
  <c r="F16" i="28"/>
  <c r="D9" i="28"/>
  <c r="G6" i="28"/>
  <c r="H69" i="27"/>
  <c r="E69" i="27"/>
  <c r="H56" i="27"/>
  <c r="E56" i="27"/>
  <c r="G68" i="27"/>
  <c r="G67" i="27"/>
  <c r="G66" i="27"/>
  <c r="G65" i="27"/>
  <c r="G64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D9" i="27"/>
  <c r="H6" i="27"/>
  <c r="E45" i="25"/>
  <c r="F30" i="25" s="1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97" i="18"/>
  <c r="G16" i="18"/>
  <c r="F16" i="18"/>
  <c r="D9" i="18"/>
  <c r="L6" i="18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N6" i="15"/>
  <c r="G14" i="14"/>
  <c r="F14" i="14"/>
  <c r="E14" i="14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H14" i="12"/>
  <c r="G14" i="12"/>
  <c r="F14" i="12"/>
  <c r="D9" i="12"/>
  <c r="H6" i="12"/>
  <c r="G14" i="9"/>
  <c r="F14" i="9"/>
  <c r="E14" i="9"/>
  <c r="D9" i="9"/>
  <c r="G6" i="9"/>
  <c r="G14" i="7"/>
  <c r="F14" i="7"/>
  <c r="E14" i="7"/>
  <c r="D9" i="7"/>
  <c r="G6" i="7"/>
  <c r="P6" i="3"/>
  <c r="D9" i="3"/>
  <c r="H6" i="1"/>
  <c r="D9" i="1"/>
  <c r="M6" i="4"/>
  <c r="H15" i="1"/>
  <c r="H13" i="1" s="1"/>
  <c r="J45" i="25"/>
  <c r="G61" i="14"/>
  <c r="F63" i="12"/>
  <c r="G16" i="9"/>
  <c r="M26" i="15"/>
  <c r="E24" i="34"/>
  <c r="E29" i="29"/>
  <c r="J44" i="38"/>
  <c r="K19" i="37"/>
  <c r="F61" i="14"/>
  <c r="E61" i="14"/>
  <c r="F17" i="14"/>
  <c r="F16" i="14" s="1"/>
  <c r="E17" i="14"/>
  <c r="E16" i="14" s="1"/>
  <c r="E86" i="14" s="1"/>
  <c r="F16" i="9"/>
  <c r="E16" i="9"/>
  <c r="F23" i="37"/>
  <c r="K23" i="37" s="1"/>
  <c r="E24" i="32"/>
  <c r="F19" i="36" l="1"/>
  <c r="L19" i="36"/>
  <c r="F72" i="12"/>
  <c r="F88" i="12" s="1"/>
  <c r="H19" i="36"/>
  <c r="M36" i="37"/>
  <c r="J25" i="17"/>
  <c r="G29" i="37" s="1"/>
  <c r="E46" i="34"/>
  <c r="E27" i="34"/>
  <c r="E20" i="33"/>
  <c r="E20" i="34" s="1"/>
  <c r="E20" i="32" s="1"/>
  <c r="J58" i="17"/>
  <c r="G32" i="37" s="1"/>
  <c r="G43" i="14"/>
  <c r="E71" i="32" s="1"/>
  <c r="E21" i="33"/>
  <c r="E31" i="33" s="1"/>
  <c r="E35" i="33" s="1"/>
  <c r="E18" i="34"/>
  <c r="E18" i="32" s="1"/>
  <c r="I31" i="36"/>
  <c r="I30" i="36" s="1"/>
  <c r="H72" i="12"/>
  <c r="H88" i="12" s="1"/>
  <c r="E17" i="31"/>
  <c r="E19" i="37"/>
  <c r="J19" i="37" s="1"/>
  <c r="Q74" i="23"/>
  <c r="G39" i="37" s="1"/>
  <c r="L39" i="37" s="1"/>
  <c r="M39" i="37" s="1"/>
  <c r="F31" i="25"/>
  <c r="G31" i="7"/>
  <c r="G30" i="7" s="1"/>
  <c r="E35" i="29"/>
  <c r="J34" i="17"/>
  <c r="G30" i="37" s="1"/>
  <c r="F30" i="36"/>
  <c r="L30" i="36"/>
  <c r="L43" i="36" s="1"/>
  <c r="F38" i="37"/>
  <c r="K38" i="37" s="1"/>
  <c r="Q42" i="23"/>
  <c r="G38" i="37" s="1"/>
  <c r="L38" i="37" s="1"/>
  <c r="M38" i="37" s="1"/>
  <c r="F52" i="9"/>
  <c r="F25" i="37"/>
  <c r="K25" i="37" s="1"/>
  <c r="M25" i="37" s="1"/>
  <c r="J49" i="17"/>
  <c r="G31" i="37" s="1"/>
  <c r="E52" i="9"/>
  <c r="E50" i="9" s="1"/>
  <c r="E94" i="9" s="1"/>
  <c r="E15" i="37" s="1"/>
  <c r="J15" i="37" s="1"/>
  <c r="E94" i="14" s="1"/>
  <c r="E67" i="32"/>
  <c r="I19" i="36"/>
  <c r="H63" i="12"/>
  <c r="F51" i="7"/>
  <c r="H31" i="36"/>
  <c r="H30" i="36" s="1"/>
  <c r="E31" i="36"/>
  <c r="E30" i="36" s="1"/>
  <c r="E43" i="36" s="1"/>
  <c r="E18" i="37" s="1"/>
  <c r="J18" i="37" s="1"/>
  <c r="K31" i="36"/>
  <c r="K30" i="36" s="1"/>
  <c r="G52" i="9"/>
  <c r="G50" i="9" s="1"/>
  <c r="G94" i="9" s="1"/>
  <c r="E40" i="33"/>
  <c r="E37" i="34" s="1"/>
  <c r="G49" i="7"/>
  <c r="E19" i="34"/>
  <c r="E19" i="32" s="1"/>
  <c r="E24" i="31"/>
  <c r="E23" i="31" s="1"/>
  <c r="E28" i="29"/>
  <c r="M35" i="37"/>
  <c r="E21" i="34"/>
  <c r="M37" i="37"/>
  <c r="F86" i="14"/>
  <c r="M27" i="37"/>
  <c r="E23" i="32"/>
  <c r="E25" i="32" s="1"/>
  <c r="E25" i="34"/>
  <c r="E27" i="29"/>
  <c r="E20" i="29" s="1"/>
  <c r="G19" i="37"/>
  <c r="L19" i="37" s="1"/>
  <c r="M19" i="37" s="1"/>
  <c r="F24" i="37"/>
  <c r="K24" i="37" s="1"/>
  <c r="E27" i="15"/>
  <c r="M27" i="15" s="1"/>
  <c r="M31" i="15" s="1"/>
  <c r="M20" i="15"/>
  <c r="F26" i="37"/>
  <c r="K26" i="37" s="1"/>
  <c r="E33" i="15"/>
  <c r="M33" i="15" s="1"/>
  <c r="M33" i="37"/>
  <c r="G23" i="37"/>
  <c r="L23" i="37" s="1"/>
  <c r="M23" i="37" s="1"/>
  <c r="E27" i="32"/>
  <c r="E29" i="32" s="1"/>
  <c r="E29" i="34"/>
  <c r="E42" i="34"/>
  <c r="E39" i="29"/>
  <c r="E49" i="7"/>
  <c r="H43" i="36"/>
  <c r="F18" i="37" s="1"/>
  <c r="K18" i="37" s="1"/>
  <c r="F49" i="7"/>
  <c r="M21" i="37"/>
  <c r="E18" i="31"/>
  <c r="F74" i="7"/>
  <c r="E74" i="7"/>
  <c r="K43" i="36"/>
  <c r="G18" i="37" s="1"/>
  <c r="L18" i="37" s="1"/>
  <c r="M20" i="37"/>
  <c r="E31" i="15"/>
  <c r="F50" i="9"/>
  <c r="G74" i="7"/>
  <c r="G76" i="7" s="1"/>
  <c r="E64" i="32"/>
  <c r="E62" i="32" s="1"/>
  <c r="E38" i="29"/>
  <c r="F76" i="7" l="1"/>
  <c r="F79" i="7" s="1"/>
  <c r="F84" i="7" s="1"/>
  <c r="F16" i="37" s="1"/>
  <c r="K16" i="37" s="1"/>
  <c r="I43" i="36"/>
  <c r="G24" i="37"/>
  <c r="L24" i="37" s="1"/>
  <c r="F43" i="36"/>
  <c r="G40" i="37"/>
  <c r="L40" i="37" s="1"/>
  <c r="M40" i="37" s="1"/>
  <c r="E49" i="32"/>
  <c r="E51" i="32" s="1"/>
  <c r="E48" i="34"/>
  <c r="G26" i="37"/>
  <c r="L26" i="37" s="1"/>
  <c r="M26" i="37"/>
  <c r="E21" i="32"/>
  <c r="E31" i="32" s="1"/>
  <c r="E35" i="32" s="1"/>
  <c r="E76" i="7"/>
  <c r="F16" i="12" s="1"/>
  <c r="F42" i="12" s="1"/>
  <c r="F92" i="12" s="1"/>
  <c r="E17" i="37" s="1"/>
  <c r="J17" i="37" s="1"/>
  <c r="E33" i="29"/>
  <c r="E31" i="29" s="1"/>
  <c r="E45" i="29" s="1"/>
  <c r="E39" i="33"/>
  <c r="E36" i="34" s="1"/>
  <c r="E39" i="32" s="1"/>
  <c r="E40" i="32"/>
  <c r="M18" i="37"/>
  <c r="E43" i="33"/>
  <c r="E53" i="33" s="1"/>
  <c r="E57" i="33" s="1"/>
  <c r="E59" i="33" s="1"/>
  <c r="E31" i="34"/>
  <c r="H16" i="12"/>
  <c r="H42" i="12" s="1"/>
  <c r="H92" i="12" s="1"/>
  <c r="G17" i="37" s="1"/>
  <c r="L17" i="37" s="1"/>
  <c r="G79" i="7"/>
  <c r="G84" i="7" s="1"/>
  <c r="G32" i="14" s="1"/>
  <c r="G17" i="14" s="1"/>
  <c r="G16" i="14" s="1"/>
  <c r="G86" i="14" s="1"/>
  <c r="G15" i="37" s="1"/>
  <c r="L15" i="37" s="1"/>
  <c r="G94" i="14" s="1"/>
  <c r="F94" i="9"/>
  <c r="F15" i="37" s="1"/>
  <c r="K15" i="37" s="1"/>
  <c r="E69" i="32"/>
  <c r="E61" i="32" s="1"/>
  <c r="G16" i="12"/>
  <c r="G42" i="12" s="1"/>
  <c r="G92" i="12" s="1"/>
  <c r="F17" i="37" s="1"/>
  <c r="K17" i="37" s="1"/>
  <c r="E44" i="34"/>
  <c r="E45" i="32"/>
  <c r="E47" i="32" s="1"/>
  <c r="E16" i="31"/>
  <c r="M24" i="37"/>
  <c r="E33" i="31"/>
  <c r="E79" i="7"/>
  <c r="E84" i="7" s="1"/>
  <c r="E16" i="37" s="1"/>
  <c r="J16" i="37" s="1"/>
  <c r="E40" i="34" l="1"/>
  <c r="E43" i="32"/>
  <c r="E53" i="32" s="1"/>
  <c r="E57" i="32" s="1"/>
  <c r="E59" i="32" s="1"/>
  <c r="E73" i="32" s="1"/>
  <c r="E50" i="34"/>
  <c r="F19" i="31"/>
  <c r="F29" i="31"/>
  <c r="F28" i="31"/>
  <c r="F30" i="31"/>
  <c r="F21" i="31"/>
  <c r="F24" i="31"/>
  <c r="F31" i="31"/>
  <c r="F33" i="31"/>
  <c r="F25" i="31"/>
  <c r="F26" i="31"/>
  <c r="F17" i="31"/>
  <c r="F18" i="31"/>
  <c r="G16" i="37"/>
  <c r="L16" i="37" s="1"/>
  <c r="M16" i="37" s="1"/>
  <c r="G42" i="37"/>
  <c r="L42" i="37" s="1"/>
  <c r="M42" i="37" s="1"/>
  <c r="F23" i="31"/>
  <c r="M17" i="37"/>
  <c r="F16" i="31"/>
  <c r="F94" i="14"/>
  <c r="M15" i="37"/>
</calcChain>
</file>

<file path=xl/sharedStrings.xml><?xml version="1.0" encoding="utf-8"?>
<sst xmlns="http://schemas.openxmlformats.org/spreadsheetml/2006/main" count="1793" uniqueCount="969">
  <si>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</si>
  <si>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</si>
  <si>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</si>
  <si>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</si>
  <si>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</si>
  <si>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</si>
  <si>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</si>
  <si>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</si>
  <si>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</si>
  <si>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</si>
  <si>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</si>
  <si>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</si>
  <si>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</si>
  <si>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</si>
  <si>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</si>
  <si>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</si>
  <si>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</si>
  <si>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</si>
  <si>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</si>
  <si>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</si>
  <si>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</si>
  <si>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</si>
  <si>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</si>
  <si>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</si>
  <si>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</si>
  <si>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</si>
  <si>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</si>
  <si>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</si>
  <si>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</si>
  <si>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</si>
  <si>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</si>
  <si>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</si>
  <si>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</si>
  <si>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</si>
  <si>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</si>
  <si>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</si>
  <si>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</si>
  <si>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</si>
  <si>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</si>
  <si>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</si>
  <si>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</si>
  <si>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</si>
  <si>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</si>
  <si>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</si>
  <si>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</si>
  <si>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Estado de Flujos de Efectivo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</si>
  <si>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</si>
  <si>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</si>
  <si>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</si>
  <si>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</si>
  <si>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</si>
  <si>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</si>
  <si>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</si>
  <si>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</si>
  <si>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</si>
  <si>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</si>
  <si>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</si>
  <si>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</si>
  <si>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</si>
  <si>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</si>
  <si>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</si>
  <si>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</si>
  <si>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</si>
  <si>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</si>
  <si>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</si>
  <si>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</si>
  <si>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</si>
  <si>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</si>
  <si>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</si>
  <si>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</si>
  <si>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</si>
  <si>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</si>
  <si>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</si>
  <si>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</si>
  <si>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FC-93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</si>
  <si>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</si>
  <si>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</si>
  <si>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</si>
  <si>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</si>
  <si>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</si>
  <si>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</si>
  <si>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</si>
  <si>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</si>
  <si>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</si>
  <si>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</si>
  <si>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</si>
  <si>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</si>
  <si>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OPERACIONES CONTINUADAS</t>
  </si>
  <si>
    <t>1.</t>
  </si>
  <si>
    <t>a)</t>
  </si>
  <si>
    <t>Ventas</t>
  </si>
  <si>
    <t>b)</t>
  </si>
  <si>
    <t>Prestaciones de servicios</t>
  </si>
  <si>
    <t>c)</t>
  </si>
  <si>
    <t>Ingresos de carácter financiero de las sociedades holding</t>
  </si>
  <si>
    <t>2.</t>
  </si>
  <si>
    <t>Variación de existencias de productos terminados y en curso de fabricación</t>
  </si>
  <si>
    <t>3.</t>
  </si>
  <si>
    <t>Trabajos realizados por la empresa para su activo</t>
  </si>
  <si>
    <t>4.</t>
  </si>
  <si>
    <t>Aprovisionamientos</t>
  </si>
  <si>
    <t>Consumo de mercaderías</t>
  </si>
  <si>
    <t>Consumo de materias primas y otros materiales consumibles</t>
  </si>
  <si>
    <t>Trabajos realizados por otras empresas</t>
  </si>
  <si>
    <t>d)</t>
  </si>
  <si>
    <t>Deterioro de mercaderías, materias primas y otros aprovisionamientos</t>
  </si>
  <si>
    <t xml:space="preserve">5. </t>
  </si>
  <si>
    <t>Ingresos accesorios y otros de gestión corriente</t>
  </si>
  <si>
    <t>Subvenciones de explotación incorporadas al resultado del ejercicio</t>
  </si>
  <si>
    <t>6.</t>
  </si>
  <si>
    <t>Gastos de personal</t>
  </si>
  <si>
    <t>Sueldos, salarios y asimilados</t>
  </si>
  <si>
    <t>Cargas sociales</t>
  </si>
  <si>
    <t>Provisiones</t>
  </si>
  <si>
    <t>7.</t>
  </si>
  <si>
    <t>Otros gastos de explotación</t>
  </si>
  <si>
    <t>Servicios exteriores</t>
  </si>
  <si>
    <t>Tributos</t>
  </si>
  <si>
    <t>Pérdidas, deterioro y variación de provisiones por operaciones comerciales</t>
  </si>
  <si>
    <t>Otros gastos de gestión corriente</t>
  </si>
  <si>
    <t>e)</t>
  </si>
  <si>
    <t>Gastos por emisión de gases de efecto invernadero</t>
  </si>
  <si>
    <t>8.</t>
  </si>
  <si>
    <t>Amortización del inmovilizado</t>
  </si>
  <si>
    <t>9.</t>
  </si>
  <si>
    <t>Imputación de subvenciones de inmovilizado no financiero y otras</t>
  </si>
  <si>
    <t>10.</t>
  </si>
  <si>
    <t>Excesos de provisiones</t>
  </si>
  <si>
    <t>11.</t>
  </si>
  <si>
    <t>Deteriorio y resultados por enajenaciones del inmovilizado</t>
  </si>
  <si>
    <t>Deterioro y pérdidas</t>
  </si>
  <si>
    <t>Resultados por enajenaciones y otras</t>
  </si>
  <si>
    <t>Deterioro y resultados por enajenaciones del inmovilizado de las sociedades holding</t>
  </si>
  <si>
    <t>12.</t>
  </si>
  <si>
    <t>Diferencia negativa de combinaciones de negocio</t>
  </si>
  <si>
    <t>13.</t>
  </si>
  <si>
    <t>A1)</t>
  </si>
  <si>
    <t>RESULTADO DE EXPLOTACIÓN (1+2+3+4+5+6+7+8+9+10+11+12+13)</t>
  </si>
  <si>
    <t>14.</t>
  </si>
  <si>
    <t>Ingresos financieros</t>
  </si>
  <si>
    <t>De participaciones en instrumentos de patrimonio</t>
  </si>
  <si>
    <t>a1)</t>
  </si>
  <si>
    <t>En empresas del grupo y asociadas</t>
  </si>
  <si>
    <t>a2)</t>
  </si>
  <si>
    <t>En terceros</t>
  </si>
  <si>
    <t>De valores negociables y otros instrumentos financieros</t>
  </si>
  <si>
    <t>b1)</t>
  </si>
  <si>
    <t>De empresas del grupo y asociadas</t>
  </si>
  <si>
    <t>b2)</t>
  </si>
  <si>
    <t>De terceros</t>
  </si>
  <si>
    <t>Imputación de subvenciones, donaciones y legados de carácter financiero</t>
  </si>
  <si>
    <t>15.</t>
  </si>
  <si>
    <t>Gastos financieros</t>
  </si>
  <si>
    <t>Por deudas con empresas del grupo y asociadas</t>
  </si>
  <si>
    <t>Por deudas con terceros</t>
  </si>
  <si>
    <t>Por actualización de provisiones</t>
  </si>
  <si>
    <t>16.</t>
  </si>
  <si>
    <t>Variación de valor razonable en instrumentos financieros</t>
  </si>
  <si>
    <t>Cartera de negociación y otros</t>
  </si>
  <si>
    <t>Imputación al resultado del ejercicio por activos financieros disponibles para la venta</t>
  </si>
  <si>
    <t>17.</t>
  </si>
  <si>
    <t>Diferencias de cambio</t>
  </si>
  <si>
    <t>18.</t>
  </si>
  <si>
    <t>Deterioro y resultado por enajenaciones de instrumentos financieros</t>
  </si>
  <si>
    <t>Deterioros y pérdidas</t>
  </si>
  <si>
    <t>19.</t>
  </si>
  <si>
    <t>Otros ingresos y gastos de carácter financiero</t>
  </si>
  <si>
    <t>Incorporación al activo de gastos financieros</t>
  </si>
  <si>
    <t>Ingresos financieros derivados de convenios de acreedores</t>
  </si>
  <si>
    <t>Resto de ingresos y gastos</t>
  </si>
  <si>
    <t>A2)</t>
  </si>
  <si>
    <t>RESULTADO FINANCIERO (14+15+16+17+18+19)</t>
  </si>
  <si>
    <t>A3)</t>
  </si>
  <si>
    <t>RESULTADO ANTES DE IMPUESTOS (A1+A2)</t>
  </si>
  <si>
    <t>20.</t>
  </si>
  <si>
    <t>Impuesto sobre beneficios</t>
  </si>
  <si>
    <t>A4)</t>
  </si>
  <si>
    <t>B)</t>
  </si>
  <si>
    <t>OPERACIONES INTERRUMPIDAS</t>
  </si>
  <si>
    <t>21.</t>
  </si>
  <si>
    <t>Resultado procedente de operaciones interrumpidas neto de impuestos</t>
  </si>
  <si>
    <t>A5)</t>
  </si>
  <si>
    <t>RESULTADO DEL EJERCICIO (A4+21)</t>
  </si>
  <si>
    <t>Real</t>
  </si>
  <si>
    <t>Estimación</t>
  </si>
  <si>
    <t>Previsión</t>
  </si>
  <si>
    <t>RESULTADOS EJERC. PROCEDENTES ACTIVIDADES CONTINUADAS (A3+20)</t>
  </si>
  <si>
    <t xml:space="preserve">A) </t>
  </si>
  <si>
    <t>ACTIVO NO CORRIENTE</t>
  </si>
  <si>
    <t>I.</t>
  </si>
  <si>
    <t>Inmovilizado intangible</t>
  </si>
  <si>
    <t>Desarrollo</t>
  </si>
  <si>
    <t>Concesiones</t>
  </si>
  <si>
    <t>Patentes, licencias, marcas y similares</t>
  </si>
  <si>
    <t>Fondo de comercio</t>
  </si>
  <si>
    <t>5.</t>
  </si>
  <si>
    <t>Aplicaciones informáticas</t>
  </si>
  <si>
    <t>Investigación</t>
  </si>
  <si>
    <t>Otros inmovilizado intangible</t>
  </si>
  <si>
    <t>II.</t>
  </si>
  <si>
    <t>Inmovilizado material</t>
  </si>
  <si>
    <t>Terrenos y construcciones</t>
  </si>
  <si>
    <t>Instalaciones técnicas y otro inmovilizado material</t>
  </si>
  <si>
    <t>Inmovilizado en curso y anticipos</t>
  </si>
  <si>
    <t>III.</t>
  </si>
  <si>
    <t>Inversiones inmobiliarias</t>
  </si>
  <si>
    <t>Terrenos</t>
  </si>
  <si>
    <t>Construcciones</t>
  </si>
  <si>
    <t>IV.</t>
  </si>
  <si>
    <t>Inversiones en empresas del grupo y asociadas a largo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</si>
  <si>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</si>
  <si>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</si>
  <si>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</si>
  <si>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</si>
  <si>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</si>
  <si>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</si>
  <si>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</t>
  </si>
  <si>
    <t>Inversiones financieras a largo plazo</t>
  </si>
  <si>
    <t>Créditos a terceros</t>
  </si>
  <si>
    <t>VI.</t>
  </si>
  <si>
    <t>Activos por impuesto diferido</t>
  </si>
  <si>
    <t>VII.</t>
  </si>
  <si>
    <t>Deudas comerciales no corrientes</t>
  </si>
  <si>
    <t>ACTIVO CORRIENTE</t>
  </si>
  <si>
    <t>Activos no corrientes mantenidos para la venta</t>
  </si>
  <si>
    <t>Existencias</t>
  </si>
  <si>
    <t>Comerciales</t>
  </si>
  <si>
    <t>Materias primas y otros aprovisionamientos</t>
  </si>
  <si>
    <t>Productos en curso</t>
  </si>
  <si>
    <t>De ciclo largo de producción</t>
  </si>
  <si>
    <t>De ciclo corto de producción</t>
  </si>
  <si>
    <t>Productos terminados</t>
  </si>
  <si>
    <t>Subproductos, residuos y materiales recuperados</t>
  </si>
  <si>
    <t>Anticipos a proveedores</t>
  </si>
  <si>
    <t>Deudores comerciales y otras cuentas a cobrar</t>
  </si>
  <si>
    <t>Clientes por ventas y prestaciones de servicios</t>
  </si>
  <si>
    <t>Clientes por ventas y prestaciones de servicios a largo plazo</t>
  </si>
  <si>
    <t>Clientes por ventas y prestaciones de servicios a corto plazo</t>
  </si>
  <si>
    <t>Clientes empresas del grupo y asociadas</t>
  </si>
  <si>
    <t>Deudores varios</t>
  </si>
  <si>
    <t>Activos por impuesto corriente</t>
  </si>
  <si>
    <t>Otros créditos con las administraciones públicas</t>
  </si>
  <si>
    <t>Accionistas (socios) por desembolsos exigidos</t>
  </si>
  <si>
    <t>Inversiones en empresas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</si>
  <si>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</si>
  <si>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</si>
  <si>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</si>
  <si>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</si>
  <si>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Otros activos líquidos equivalentes</t>
  </si>
  <si>
    <t>Propiedad intelectual</t>
  </si>
  <si>
    <t>ACTIVO</t>
  </si>
  <si>
    <t>Materias primas y otros aprovisionamientos a largo plazo</t>
  </si>
  <si>
    <t>Materias primas y otros aprovisionamientos a corto plazo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</si>
  <si>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</si>
  <si>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</si>
  <si>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</si>
  <si>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</si>
  <si>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</si>
  <si>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Capital</t>
  </si>
  <si>
    <t>Capital escriturado</t>
  </si>
  <si>
    <t>(Capital no exigido)</t>
  </si>
  <si>
    <t>Prima de emisión</t>
  </si>
  <si>
    <t>Reservas</t>
  </si>
  <si>
    <t>Legal y estatutarias</t>
  </si>
  <si>
    <t>Otras reservas</t>
  </si>
  <si>
    <t>Reserva de revalorización</t>
  </si>
  <si>
    <t>(Acciones y participaciones en patrimonio propias)</t>
  </si>
  <si>
    <t>Resultados de ejercicios anteriores</t>
  </si>
  <si>
    <t>Remanente</t>
  </si>
  <si>
    <t>(Resultados negativos de ejercicios anteriores)</t>
  </si>
  <si>
    <t>Otras aportaciones de socios</t>
  </si>
  <si>
    <t>Resultado del ejercicio</t>
  </si>
  <si>
    <t>VIII.</t>
  </si>
  <si>
    <t>(Dividendo a cuenta)</t>
  </si>
  <si>
    <t>IX.</t>
  </si>
  <si>
    <t>Otros instrumentos de patrimonio neto</t>
  </si>
  <si>
    <t>Ajustes por cambios de valor</t>
  </si>
  <si>
    <t>Activos financieros disponibles para la venta</t>
  </si>
  <si>
    <t>Operaciones de cobertura</t>
  </si>
  <si>
    <t>Activos no corrientes y pasivos vinculados, mantenidos para la venta</t>
  </si>
  <si>
    <t>Diferencia de conversión</t>
  </si>
  <si>
    <t>Otros</t>
  </si>
  <si>
    <t>Subvenciones, donaciones y legados recibidos</t>
  </si>
  <si>
    <t xml:space="preserve">B) </t>
  </si>
  <si>
    <t>PASIVO NO CORRIENTE</t>
  </si>
  <si>
    <t>Provisiones a largo plazo</t>
  </si>
  <si>
    <t>Obligaciones por prestaciones a largo plazo al personal</t>
  </si>
  <si>
    <t>Actuaciones medioambientales</t>
  </si>
  <si>
    <t>Provisiones por reestructuración</t>
  </si>
  <si>
    <t>Otras provisiones</t>
  </si>
  <si>
    <t>Deudas a largo plazo</t>
  </si>
  <si>
    <t>Obligaciones y otros valores negociales</t>
  </si>
  <si>
    <t>Deudas con entidades de crédito</t>
  </si>
  <si>
    <t>Acreedores por arrendamiento financiero</t>
  </si>
  <si>
    <t>Otros pasivos financieros</t>
  </si>
  <si>
    <t>Deudas con empresas del grupo y asociadas a largo plazo</t>
  </si>
  <si>
    <t>Pasivos por impuesto diferido</t>
  </si>
  <si>
    <t>Periodificaciones a largo plazo</t>
  </si>
  <si>
    <t>Acreedores comerciales no corrientes</t>
  </si>
  <si>
    <t>Deuda con características especiales a largo plazo</t>
  </si>
  <si>
    <t>C)</t>
  </si>
  <si>
    <t>PASIVO CORRIENTE</t>
  </si>
  <si>
    <t>Pasivos vinculados con activos no corrientes mantenidos para la venta</t>
  </si>
  <si>
    <t>Provisiones a corto plazo</t>
  </si>
  <si>
    <t>Provisiones por derechos de emisión de gases de efecto invernadero</t>
  </si>
  <si>
    <t>Deudas a corto plazo</t>
  </si>
  <si>
    <t>Obligaciones y otros valores negociables</t>
  </si>
  <si>
    <t>Deudas con empresas del grupo y asociadas a corto plazo</t>
  </si>
  <si>
    <t>Acreedores comerciales y otras cuentas a pagar</t>
  </si>
  <si>
    <t>Proveedores</t>
  </si>
  <si>
    <t>Proveedores a largo plazo</t>
  </si>
  <si>
    <t>Proveedores a corto plazo</t>
  </si>
  <si>
    <t>Proveedores, empresas del grupo y asociadas</t>
  </si>
  <si>
    <t>Acreedores varios</t>
  </si>
  <si>
    <t>Personal (remuneraciones pendientes de pago)</t>
  </si>
  <si>
    <t>Pasivos por impuesto corriente</t>
  </si>
  <si>
    <t>Otras deudas con las Administraciones Públicas</t>
  </si>
  <si>
    <t>Anticipos de clientes</t>
  </si>
  <si>
    <t>Deudas con características especiales a corto plazo</t>
  </si>
  <si>
    <t>TOTAL PATRIMONIO NETO Y PASIVO (A+B+C)</t>
  </si>
  <si>
    <t>Reserva de capitalización</t>
  </si>
  <si>
    <t>ESTADO DE FLUJOS DE EFECTIVO</t>
  </si>
  <si>
    <t>A) FLUJOS DE EFECTIVO DE LAS ACTIVIDADES DE EXPLOTACIÓN</t>
  </si>
  <si>
    <t>1. Resultado del ejercicio antes de impuestos</t>
  </si>
  <si>
    <t>2. Ajustes del resultado</t>
  </si>
  <si>
    <t>a) Amortización del inmovilizado (+)</t>
  </si>
  <si>
    <t>b) Correcciones valorativas por deterioro (+/-)</t>
  </si>
  <si>
    <t>c) Variaciones de provisiones (+/-)</t>
  </si>
  <si>
    <t>d) Imputación de subvenciones (-)</t>
  </si>
  <si>
    <t>e) Resultados por bajas y enajenaciones del inmovilizado (+/-)</t>
  </si>
  <si>
    <t>f) Resultados por bajas y enajenaciones de instrumentos financieros (+/-)</t>
  </si>
  <si>
    <t>g) Ingresos financieros (-)</t>
  </si>
  <si>
    <t>h) Gastos financieros (+)</t>
  </si>
  <si>
    <t>i) Diferencias de cambio (+/-)</t>
  </si>
  <si>
    <t>j) Variación de valor razonable en instrumentos financieros (+/-)</t>
  </si>
  <si>
    <t>k) Otros ingresos y gastos (-/+)</t>
  </si>
  <si>
    <t>3. Cambios en el capital corriente</t>
  </si>
  <si>
    <t>a) Existencias (+/-)</t>
  </si>
  <si>
    <t>b) Deudores y otras cuentas a cobrar (+/-)</t>
  </si>
  <si>
    <t>c) Otros activos corrientes (+/-)</t>
  </si>
  <si>
    <t>d) Acreedores y otras cuentas a pagar (+/-)</t>
  </si>
  <si>
    <t>e) Otros pasivos corrientes (+/-)</t>
  </si>
  <si>
    <t>f) Otros activos y pasivos no corrientes (+/-)</t>
  </si>
  <si>
    <t>4. Otros flujos de efectivo de las actividades de explotación</t>
  </si>
  <si>
    <t>a) Pagos de intereses (-)</t>
  </si>
  <si>
    <t>b) Cobro de dividendos (+)</t>
  </si>
  <si>
    <t>c) Cobro de intereses (+)</t>
  </si>
  <si>
    <t>d) Cobros (pagos) por impuesto sobre beneficios (+/-)</t>
  </si>
  <si>
    <t>e) Otros pagos (cobros) (-/+)</t>
  </si>
  <si>
    <t>5. Flujos de efectivo de las actividades de explotación ( 1 + 2 + 3 + 4 )</t>
  </si>
  <si>
    <t>B) FLUJOS DE EFECTIVO DE LAS ACTIVIDADES DE INVERSIÓN</t>
  </si>
  <si>
    <t>6. Pagos por inversiones (-)</t>
  </si>
  <si>
    <t>a) Empresas del grupo y asociadas</t>
  </si>
  <si>
    <t>b) Inmovilizado intangible</t>
  </si>
  <si>
    <t>c) Inmovilizado material</t>
  </si>
  <si>
    <t>d) Inversiones inmobiliarias</t>
  </si>
  <si>
    <t>e) Otros activos financieros</t>
  </si>
  <si>
    <t>f) Activos no corrientes mantenidos para la venta</t>
  </si>
  <si>
    <t>7. Cobros por desinversiones (+)</t>
  </si>
  <si>
    <t>8. Flujos de efectivo de las actividades de inversión ( 6 +7 )</t>
  </si>
  <si>
    <t>C) FLUJOS DE EFECTIVO DE LAS ACTIVIDADES DE FINANCIACIÓN</t>
  </si>
  <si>
    <t>9. Cobros y pagos por instrumentos financieros</t>
  </si>
  <si>
    <t>a) Emisión de instrumentos de patrimonio (+)</t>
  </si>
  <si>
    <t>b) Amortización de instrumentos de patrimonio (-)</t>
  </si>
  <si>
    <t>d) Enajenación de instrumentos de patrimonio propio (+)</t>
  </si>
  <si>
    <t>e) Subvenciones, donaciones y legados recibidos (+)</t>
  </si>
  <si>
    <t>10. Cobros y pagos por instrumentos de pasivo financiero</t>
  </si>
  <si>
    <t>a) Emisión</t>
  </si>
  <si>
    <t>1. Obligaciones y otros valores negociables (+)</t>
  </si>
  <si>
    <t>2. Deudas con entidades de crédito (+)</t>
  </si>
  <si>
    <t>3. Deudas con empresas del grupo y asociadas (+)</t>
  </si>
  <si>
    <t>4. Deudas con características especiales (+)</t>
  </si>
  <si>
    <t>5. Otras deudas (+)</t>
  </si>
  <si>
    <t>b) Devolución y amortización de</t>
  </si>
  <si>
    <t>11. Pagos por dividendos y remuneraciones de otros instrumentos de patrimonio</t>
  </si>
  <si>
    <t>a) Dividendos (-)</t>
  </si>
  <si>
    <t>b) Remuneración de otros instrumentos de patrimonio (-)</t>
  </si>
  <si>
    <t>D) EFECTO DE LAS VARIACIONES DE LOS TIPOS DE CAMBIO</t>
  </si>
  <si>
    <t>Efectivo o equivalentes al final del ejercicio</t>
  </si>
  <si>
    <t xml:space="preserve">    Área de Presidencia</t>
  </si>
  <si>
    <t xml:space="preserve">    Dirección Insular de Hacienda</t>
  </si>
  <si>
    <t>12. Flujos de efectivo de las actividades de financiación ( 9 + 10 + 11)</t>
  </si>
  <si>
    <t>E) AUMENTO / DISMINUCIÓN NETA DEL EFECTIVO O EQUIVALENTES  ( 5+8+12+D )</t>
  </si>
  <si>
    <t>g) Unidades de negocio</t>
  </si>
  <si>
    <t>h) Otros activos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</si>
  <si>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</si>
  <si>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</si>
  <si>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</si>
  <si>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</si>
  <si>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</si>
  <si>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</si>
  <si>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</si>
  <si>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</si>
  <si>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</si>
  <si>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</si>
  <si>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</si>
  <si>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(-)Amortización del ejercicio (5)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</si>
  <si>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</si>
  <si>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</si>
  <si>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</si>
  <si>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</si>
  <si>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</si>
  <si>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</si>
  <si>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</si>
  <si>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</si>
  <si>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</si>
  <si>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</si>
  <si>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</si>
  <si>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</si>
  <si>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</si>
  <si>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</si>
  <si>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</si>
  <si>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</si>
  <si>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</si>
  <si>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</si>
  <si>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</si>
  <si>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</si>
  <si>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</si>
  <si>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r>
      <t xml:space="preserve">Saldo final </t>
    </r>
    <r>
      <rPr>
        <b/>
        <sz val="9"/>
        <color theme="1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</si>
  <si>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</si>
  <si>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</si>
  <si>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</si>
  <si>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</si>
  <si>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</si>
  <si>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</si>
  <si>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</si>
  <si>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</si>
  <si>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</si>
  <si>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</si>
  <si>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</si>
  <si>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</si>
  <si>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</si>
  <si>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</si>
  <si>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</si>
  <si>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</si>
  <si>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</si>
  <si>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</si>
  <si>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</si>
  <si>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</si>
  <si>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</si>
  <si>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</si>
  <si>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</si>
  <si>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</si>
  <si>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</si>
  <si>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</si>
  <si>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</si>
  <si>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</si>
  <si>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</si>
  <si>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</si>
  <si>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</si>
  <si>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</si>
  <si>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</si>
  <si>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</si>
  <si>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</si>
  <si>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</si>
  <si>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</si>
  <si>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</si>
  <si>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</si>
  <si>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</si>
  <si>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</si>
  <si>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</si>
  <si>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</si>
  <si>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</si>
  <si>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</si>
  <si>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</si>
  <si>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</si>
  <si>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</si>
  <si>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</si>
  <si>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</si>
  <si>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</si>
  <si>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</si>
  <si>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</si>
  <si>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</si>
  <si>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</si>
  <si>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</si>
  <si>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</si>
  <si>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</si>
  <si>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</si>
  <si>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</si>
  <si>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</si>
  <si>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</si>
  <si>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</si>
  <si>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</si>
  <si>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</si>
  <si>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</si>
  <si>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</si>
  <si>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</si>
  <si>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</si>
  <si>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</si>
  <si>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</si>
  <si>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</si>
  <si>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</si>
  <si>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</si>
  <si>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</si>
  <si>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</si>
  <si>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</si>
  <si>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</si>
  <si>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</si>
  <si>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</si>
  <si>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</si>
  <si>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</si>
  <si>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</si>
  <si>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</si>
  <si>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</si>
  <si>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</si>
  <si>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</si>
  <si>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</si>
  <si>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</si>
  <si>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</si>
  <si>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</si>
  <si>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</si>
  <si>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</si>
  <si>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</si>
  <si>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</si>
  <si>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</si>
  <si>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</si>
  <si>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</si>
  <si>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</si>
  <si>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</si>
  <si>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</si>
  <si>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</si>
  <si>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</si>
  <si>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</si>
  <si>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</si>
  <si>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</si>
  <si>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</si>
  <si>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</si>
  <si>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</si>
  <si>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</si>
  <si>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</si>
  <si>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</si>
  <si>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</si>
  <si>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</si>
  <si>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</si>
  <si>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</si>
  <si>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</si>
  <si>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</si>
  <si>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</si>
  <si>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</si>
  <si>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</si>
  <si>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</si>
  <si>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</si>
  <si>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</si>
  <si>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</si>
  <si>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</si>
  <si>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</si>
  <si>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</si>
  <si>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</si>
  <si>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</si>
  <si>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</si>
  <si>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</si>
  <si>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</si>
  <si>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</si>
  <si>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</si>
  <si>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</si>
  <si>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</si>
  <si>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</si>
  <si>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</si>
  <si>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</si>
  <si>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</si>
  <si>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</si>
  <si>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</si>
  <si>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</si>
  <si>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</si>
  <si>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</si>
  <si>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</si>
  <si>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</si>
  <si>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</si>
  <si>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</si>
  <si>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</si>
  <si>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</si>
  <si>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</si>
  <si>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</si>
  <si>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</si>
  <si>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</si>
  <si>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</si>
  <si>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</si>
  <si>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</si>
  <si>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</si>
  <si>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</si>
  <si>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</si>
  <si>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</si>
  <si>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</si>
  <si>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</si>
  <si>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</si>
  <si>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</si>
  <si>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</si>
  <si>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</si>
  <si>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</si>
  <si>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</si>
  <si>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</si>
  <si>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</si>
  <si>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</si>
  <si>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</si>
  <si>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</si>
  <si>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</si>
  <si>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</si>
  <si>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</si>
  <si>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</si>
  <si>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</si>
  <si>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</si>
  <si>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</si>
  <si>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</si>
  <si>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</si>
  <si>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</si>
  <si>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</si>
  <si>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</si>
  <si>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</si>
  <si>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</si>
  <si>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</si>
  <si>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</si>
  <si>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</si>
  <si>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</si>
  <si>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</si>
  <si>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</si>
  <si>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</si>
  <si>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</si>
  <si>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</si>
  <si>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</si>
  <si>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</si>
  <si>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</si>
  <si>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</si>
  <si>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</si>
  <si>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</si>
  <si>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</si>
  <si>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</si>
  <si>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</si>
  <si>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</si>
  <si>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</si>
  <si>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</si>
  <si>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</si>
  <si>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</si>
  <si>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</si>
  <si>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</si>
  <si>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</si>
  <si>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</si>
  <si>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</si>
  <si>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</si>
  <si>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</si>
  <si>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</si>
  <si>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</si>
  <si>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</si>
  <si>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</si>
  <si>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</si>
  <si>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</si>
  <si>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</si>
  <si>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</si>
  <si>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</si>
  <si>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</si>
  <si>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</si>
  <si>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</si>
  <si>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</si>
  <si>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</si>
  <si>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</si>
  <si>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</si>
  <si>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</si>
  <si>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</si>
  <si>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</si>
  <si>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</si>
  <si>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</si>
  <si>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</si>
  <si>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</si>
  <si>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</si>
  <si>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</si>
  <si>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</si>
  <si>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</si>
  <si>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</si>
  <si>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</si>
  <si>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</si>
  <si>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</si>
  <si>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</si>
  <si>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</si>
  <si>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</si>
  <si>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</si>
  <si>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</si>
  <si>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</si>
  <si>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</si>
  <si>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</si>
  <si>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Aumento/disminución neta efectivo = variación efectivo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</si>
  <si>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</si>
  <si>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</si>
  <si>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</si>
  <si>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</si>
  <si>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</si>
  <si>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</si>
  <si>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</si>
  <si>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</si>
  <si>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</si>
  <si>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</si>
  <si>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</si>
  <si>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</si>
  <si>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</si>
  <si>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</si>
  <si>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</si>
  <si>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</si>
  <si>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</si>
  <si>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</si>
  <si>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</si>
  <si>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</si>
  <si>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</si>
  <si>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theme="1"/>
        <rFont val="Arial"/>
        <family val="2"/>
      </rPr>
      <t>14</t>
    </r>
  </si>
  <si>
    <r>
      <t>FC-</t>
    </r>
    <r>
      <rPr>
        <sz val="12"/>
        <color theme="1"/>
        <rFont val="Arial"/>
        <family val="2"/>
      </rPr>
      <t>15</t>
    </r>
  </si>
  <si>
    <r>
      <t>FC-</t>
    </r>
    <r>
      <rPr>
        <sz val="12"/>
        <color theme="1"/>
        <rFont val="Arial"/>
        <family val="2"/>
      </rPr>
      <t>16</t>
    </r>
  </si>
  <si>
    <r>
      <t>FC-</t>
    </r>
    <r>
      <rPr>
        <sz val="12"/>
        <color theme="1"/>
        <rFont val="Arial"/>
        <family val="2"/>
      </rPr>
      <t>17</t>
    </r>
  </si>
  <si>
    <r>
      <t>Deuda a</t>
    </r>
    <r>
      <rPr>
        <sz val="12"/>
        <color theme="1"/>
        <rFont val="Arial"/>
        <family val="2"/>
      </rPr>
      <t xml:space="preserve"> corto y</t>
    </r>
    <r>
      <rPr>
        <sz val="12"/>
        <color theme="1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</si>
  <si>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</si>
  <si>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</si>
  <si>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</si>
  <si>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</si>
  <si>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>OTROS INGRESOS DE EXPLOTACIÓN</t>
  </si>
  <si>
    <t>a) Ingresos accesorios y otros de gestión corriente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</si>
  <si>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</si>
  <si>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</si>
  <si>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</si>
  <si>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</si>
  <si>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</si>
  <si>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</si>
  <si>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</si>
  <si>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</si>
  <si>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b) Subvenc. explotación incorporadas al resultado del ejercicio</t>
  </si>
  <si>
    <t>1. Obligaciones y otros valores negociables (-)</t>
  </si>
  <si>
    <t>2. Deudas con entidades de crédito (-)</t>
  </si>
  <si>
    <t>3. Deudas con empresas del grupo y asociadas (-)</t>
  </si>
  <si>
    <t>4. Deudas con características especiales (-)</t>
  </si>
  <si>
    <t>5. Otras deudas (-)</t>
  </si>
  <si>
    <r>
      <t>c) Adquisición de instrumentos de patrimonio propio (</t>
    </r>
    <r>
      <rPr>
        <sz val="12"/>
        <color theme="1"/>
        <rFont val="Arial"/>
        <family val="2"/>
      </rPr>
      <t>-</t>
    </r>
    <r>
      <rPr>
        <sz val="12"/>
        <color theme="1"/>
        <rFont val="Arial"/>
        <family val="2"/>
      </rPr>
      <t>)</t>
    </r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</si>
  <si>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</si>
  <si>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</si>
  <si>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</si>
  <si>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</si>
  <si>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</si>
  <si>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</si>
  <si>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</si>
  <si>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II. APORTACIONES DE SOCIOS.</t>
  </si>
  <si>
    <t>Variación aportaciones socios en FC-4 PASIVO = detalle en FC-9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</si>
  <si>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</si>
  <si>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</si>
  <si>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</si>
  <si>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</si>
  <si>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</si>
  <si>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Resultado de PyG = Resultado FC-92</t>
  </si>
  <si>
    <t>ACTIVO FIJO FINANCIERO</t>
  </si>
  <si>
    <t>VARIACIÓN DEL PATRIMONIO NETO</t>
  </si>
  <si>
    <t>VARIACIÓN DEL PASIVO CORRIENTE - NO CORRIENTE</t>
  </si>
  <si>
    <t>VARIACIÓN ACTIVO CORRIENTE SIN INVERSIONES FINANCIERAS A C/P</t>
  </si>
  <si>
    <r>
      <t xml:space="preserve">   b.5. Otros entes</t>
    </r>
    <r>
      <rPr>
        <sz val="12"/>
        <color theme="1"/>
        <rFont val="Arial"/>
        <family val="2"/>
      </rPr>
      <t xml:space="preserve"> (U.E.)</t>
    </r>
  </si>
  <si>
    <t>(1) Este saldo aparecerá como mayor gasto en caso de reducción de existencias (-) y como menor gasto en caso de incremento (+)</t>
  </si>
  <si>
    <t>Importe neto de la cifra de negocios (Detalle en FC-3.1)</t>
  </si>
  <si>
    <t>Inversiones reales: Coste total = ejecución prevista 31-12-(n-1) + programación plurianual (FC-6)</t>
  </si>
  <si>
    <t>Importe neto de la cifra de negocios = detalle en FC-3.1</t>
  </si>
  <si>
    <t>Otros ingresos de explotación (Detalle en FC-3.1)</t>
  </si>
  <si>
    <t>Otros resultados (Detalle en FC-3.1)</t>
  </si>
  <si>
    <t>Otros resultados PyG = detalle gastos e ingresos extraordinarios en FC-3.1</t>
  </si>
  <si>
    <t>Ingresos accesorios PyG = detalle ingresos accesorios en FC-3.1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</si>
  <si>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</si>
  <si>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</si>
  <si>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</si>
  <si>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</si>
  <si>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</si>
  <si>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</si>
  <si>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</si>
  <si>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</si>
  <si>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</si>
  <si>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</si>
  <si>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</si>
  <si>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</si>
  <si>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</si>
  <si>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</si>
  <si>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</si>
  <si>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</si>
  <si>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</si>
  <si>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</si>
  <si>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</si>
  <si>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</si>
  <si>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</si>
  <si>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</si>
  <si>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</si>
  <si>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</si>
  <si>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</si>
  <si>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</si>
  <si>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</si>
  <si>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r>
      <rPr>
        <b/>
        <i/>
        <sz val="14"/>
        <color theme="1"/>
        <rFont val="Arial"/>
        <family val="2"/>
      </rPr>
      <t>"SUBVENCIONES"</t>
    </r>
    <r>
      <rPr>
        <b/>
        <sz val="14"/>
        <color theme="1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</si>
  <si>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</si>
  <si>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theme="1"/>
        <rFont val="Arial"/>
        <family val="2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</si>
  <si>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</si>
  <si>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theme="1"/>
        <rFont val="Arial"/>
        <family val="2"/>
      </rPr>
      <t>.</t>
    </r>
    <r>
      <rPr>
        <sz val="12"/>
        <color theme="1"/>
        <rFont val="Arial"/>
        <family val="2"/>
      </rPr>
      <t xml:space="preserve"> A otros</t>
    </r>
  </si>
  <si>
    <t>a) Total</t>
  </si>
  <si>
    <t>FC-2,1</t>
  </si>
  <si>
    <t>FC-2.1</t>
  </si>
  <si>
    <r>
      <t>I</t>
    </r>
    <r>
      <rPr>
        <sz val="12"/>
        <color theme="1"/>
        <rFont val="Arial"/>
        <family val="2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</si>
  <si>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</si>
  <si>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</si>
  <si>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</si>
  <si>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</si>
  <si>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</si>
  <si>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</si>
  <si>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</si>
  <si>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</si>
  <si>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</si>
  <si>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</si>
  <si>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</si>
  <si>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</si>
  <si>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theme="1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</si>
  <si>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</si>
  <si>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</si>
  <si>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</si>
  <si>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</si>
  <si>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</si>
  <si>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</si>
  <si>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</si>
  <si>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</si>
  <si>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</si>
  <si>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</si>
  <si>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</si>
  <si>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</si>
  <si>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</si>
  <si>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</si>
  <si>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</si>
  <si>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</si>
  <si>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</si>
  <si>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</si>
  <si>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</si>
  <si>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</si>
  <si>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</si>
  <si>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</si>
  <si>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</si>
  <si>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</si>
  <si>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</si>
  <si>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</si>
  <si>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</si>
  <si>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</si>
  <si>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r>
      <t xml:space="preserve">(4)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</si>
  <si>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</si>
  <si>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</si>
  <si>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</si>
  <si>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</si>
  <si>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</si>
  <si>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</si>
  <si>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</si>
  <si>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</si>
  <si>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Efectivo o equivalentes al comienzo del ejercicio  (1)</t>
  </si>
  <si>
    <r>
      <rPr>
        <sz val="10"/>
        <color theme="1"/>
        <rFont val="Arial"/>
        <family val="2"/>
      </rPr>
      <t xml:space="preserve">(1) Los datos están referenciados al Activo del Balance de Situación, excepto el dato inicial del periodo n-2 que </t>
    </r>
    <r>
      <rPr>
        <b/>
        <u/>
        <sz val="10"/>
        <color theme="1"/>
        <rFont val="Arial"/>
        <family val="2"/>
      </rPr>
      <t>debe indicarse manualmente en la celda F94</t>
    </r>
  </si>
  <si>
    <t>Inversiones en instrumentos patrimonio CP+LP (grupo y asociadas) = detalle en FC-8</t>
  </si>
  <si>
    <t>Inversiones en instrumentos patrimonio CP + LP (otras) = detalle en FC-8</t>
  </si>
  <si>
    <t>Resto Inversiones financieras (grupo y asociadas) = detalle en FC-8</t>
  </si>
  <si>
    <t>Resto Inversiones financieras (otras) = detalle en FC-8</t>
  </si>
  <si>
    <r>
      <t>Aportaciones patrimoniales</t>
    </r>
    <r>
      <rPr>
        <sz val="12"/>
        <color theme="1"/>
        <rFont val="Arial"/>
        <family val="2"/>
      </rPr>
      <t xml:space="preserve"> (Aumento de capital + aportaciones de socios)</t>
    </r>
  </si>
  <si>
    <t>VARIACIÓN DEUDAS COMERCIALES NO CORRIENTES</t>
  </si>
  <si>
    <t xml:space="preserve"> Listado de comprobaciones (CHECK LIST)</t>
  </si>
  <si>
    <t>º</t>
  </si>
  <si>
    <t>EPEL TEA, TENERFE ESPACIO DE LAS ARTES</t>
  </si>
  <si>
    <t xml:space="preserve">ENTIDADES CON PARTICIPACIÓN MINORITARIA EN EL CAPITAL SOCIAL PERO QUE FORMAN PARTE DEL SECTOR PÚBLICO INSULAR </t>
  </si>
  <si>
    <t>Descripción</t>
  </si>
  <si>
    <t>Subvención</t>
  </si>
  <si>
    <t>SUBVENCIONES Y TRANSFERENCIAS (1)</t>
  </si>
  <si>
    <t>NOTAS ACLARATORIAS DE LA ENTIDAD</t>
  </si>
  <si>
    <t>NOTA:</t>
  </si>
  <si>
    <t>DATOS SEGÚN CRITERIOS ECIT y OTRAS ADM. PÚBLICAS (3)</t>
  </si>
  <si>
    <t>DATOS SEGÚN CRITERIOS CONTABILIDAD ENTIDAD (2)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</si>
  <si>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</si>
  <si>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de la subvención.</t>
  </si>
  <si>
    <t>DATOS SEGÚN CRITERIOS CONTABILIDAD ENTIDAD (4)</t>
  </si>
  <si>
    <t>DATOS SEGÚN CRITERIOS ECIT y OTRAS ADM. PÚBLICAS (5)</t>
  </si>
  <si>
    <t>DATOS SEGÚN CRITERIOS CONTABILIDAD ENTIDAD (6)</t>
  </si>
  <si>
    <t>DATOS SEGÚN CRITERIOS ECIT y OTRAS ADM. PÚBLICAS (7)</t>
  </si>
  <si>
    <t xml:space="preserve">       pública que otorgara la subvención y la entidad/sociedad son coincidentes, deben indicarse idénticas cifras en ambos cuadros.</t>
  </si>
  <si>
    <t xml:space="preserve">       indicarse idénticas cifras en ambos cuadros.</t>
  </si>
  <si>
    <t xml:space="preserve">      importe total de la ampliación de capital + prima de emisión.</t>
  </si>
  <si>
    <r>
      <t xml:space="preserve">      En las notas siguientes, cuando se refiere a</t>
    </r>
    <r>
      <rPr>
        <b/>
        <sz val="9"/>
        <color theme="1"/>
        <rFont val="Arial"/>
        <family val="2"/>
      </rPr>
      <t xml:space="preserve"> importes estimados</t>
    </r>
    <r>
      <rPr>
        <sz val="9"/>
        <color theme="1"/>
        <rFont val="Arial"/>
        <family val="2"/>
      </rPr>
      <t xml:space="preserve"> son los correspondientes a:</t>
    </r>
  </si>
  <si>
    <r>
      <t>Cuando se refiere a</t>
    </r>
    <r>
      <rPr>
        <b/>
        <sz val="9"/>
        <color theme="1"/>
        <rFont val="Arial"/>
        <family val="2"/>
      </rPr>
      <t xml:space="preserve"> importes previsibles</t>
    </r>
    <r>
      <rPr>
        <sz val="9"/>
        <color theme="1"/>
        <rFont val="Arial"/>
        <family val="2"/>
      </rPr>
      <t xml:space="preserve"> son los correspondientes a:</t>
    </r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</si>
  <si>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</si>
  <si>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</si>
  <si>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</si>
  <si>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</si>
  <si>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>(4) Importes estimados y previsibles a registrar por la entidad en la cuenta contable 740. Subvenciones, donaciones y legados de explotación. El importe total debe coincidir con las cifras del epígrafe 5.b de la cuenta de pérdidas y ganancias</t>
  </si>
  <si>
    <t>(6) Se indicarán los importes de las aportaciones de socios estimadas y previsibles que se registran en la cuenta contable 118 y que se recogen en el epígrafe A1) VI. del patrimonio neto del balance.</t>
  </si>
  <si>
    <t>(8) Emisión de instrumentos de patrimonio. Se refiere a aumentos de capital adicionándole, en su caso, los importes de las primas de emisión estimadas o previsibles. Deben detallarse los suscriptores de dicho aumento, ascendiendo su total al</t>
  </si>
  <si>
    <r>
      <t>III. EMISIÓN DE INSTRUMENTOS DE PATRIMONIO PROPIO.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(8)</t>
    </r>
  </si>
  <si>
    <t>TOTAL EMISIÓN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</si>
  <si>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</si>
  <si>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r>
      <t xml:space="preserve">(7) Se indicarán los importes de las </t>
    </r>
    <r>
      <rPr>
        <sz val="9"/>
        <rFont val="Arial"/>
        <family val="2"/>
      </rPr>
      <t>aportaciones genéricas</t>
    </r>
    <r>
      <rPr>
        <sz val="9"/>
        <color theme="1"/>
        <rFont val="Arial"/>
        <family val="2"/>
      </rPr>
      <t xml:space="preserve"> estimadas y previsibles otorgadas por el Excmo. Cabildo Insular de Tenerife (Anexo III) o cualquier otro socio, de acuerdo a su criterio de imputación contable. Si los criterios son coincidentes, deben</t>
    </r>
  </si>
  <si>
    <t>(5) Se indicaran los importes de las subvenciones de explotación estimadas o previsibles otorgadas por el Excmo. Cabildo Insular de Tenerife (Anexo IV) y otros organismos de acuerdo a sus criterios de imputación contable. Si los criterios de la administración</t>
  </si>
  <si>
    <t>Esta hoja se cumplimentará con los mismos datos que resulten de la hoja 'Resumen Personal' del fichero "Desglose gastos personal".</t>
  </si>
  <si>
    <t>NOTA</t>
  </si>
  <si>
    <r>
      <t xml:space="preserve">DETALLE DE INGRESOS (Cta 778) (2).   Cifras en </t>
    </r>
    <r>
      <rPr>
        <b/>
        <u/>
        <sz val="12"/>
        <color theme="1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</si>
  <si>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theme="1"/>
        <rFont val="Arial"/>
        <family val="2"/>
      </rPr>
      <t>negativo</t>
    </r>
  </si>
  <si>
    <t>Imputación de subvenciones capital en PyG (FC-3) = detalle de imputación en FC-9</t>
  </si>
  <si>
    <t>Alberto Bernabé Teja</t>
  </si>
  <si>
    <t>Josefa Mesa Mora</t>
  </si>
  <si>
    <t>Sebastián Ledesma Martín</t>
  </si>
  <si>
    <t>Jorge Alexis Marichal González</t>
  </si>
  <si>
    <t>Luz Goretti Gorrín Ramos</t>
  </si>
  <si>
    <t>Santiago  Tomás Sesé Alonso</t>
  </si>
  <si>
    <t>Ermitas Moreira García</t>
  </si>
  <si>
    <t>David Miguel Pérez González</t>
  </si>
  <si>
    <t>Dimple Melwani Melwani</t>
  </si>
  <si>
    <t>Enrique Talg Reineke</t>
  </si>
  <si>
    <t>Milagros De la Rosa Hormiga</t>
  </si>
  <si>
    <t>Ayto. Arona</t>
  </si>
  <si>
    <t>Ayto. Adeje</t>
  </si>
  <si>
    <t>Ayto. Puerto Cruz</t>
  </si>
  <si>
    <t>Ayto. Santa Cruz de Tenerife</t>
  </si>
  <si>
    <t>Ayto. Los Realejos</t>
  </si>
  <si>
    <t>Ayto. Granadilla</t>
  </si>
  <si>
    <t>Ayto. La Laguna</t>
  </si>
  <si>
    <t>Ayto. Santiago del Teide</t>
  </si>
  <si>
    <t>Ayto. de San Miguel</t>
  </si>
  <si>
    <t>Ayto. La Orotava</t>
  </si>
  <si>
    <t>CANAUDIT S.L</t>
  </si>
  <si>
    <t>José Antonio Duque Diaz</t>
  </si>
  <si>
    <t>Vicente Dorta Antequera (Consejero Delegado)</t>
  </si>
  <si>
    <t>SPET, Turismo de Tenerife, S.A.</t>
  </si>
  <si>
    <t>A</t>
  </si>
  <si>
    <t>B</t>
  </si>
  <si>
    <t>FIANZA AENA</t>
  </si>
  <si>
    <t>FIANZA COSTAS</t>
  </si>
  <si>
    <t>FIANZA GOBIERNO CANARIAS</t>
  </si>
  <si>
    <t>Acciones desarrollo Why Tenerife</t>
  </si>
  <si>
    <t>1 AÑO</t>
  </si>
  <si>
    <t>Acción Exterior</t>
  </si>
  <si>
    <t>Encomienda Why Tfe</t>
  </si>
  <si>
    <t>Promotur + Soc. Desarrollo</t>
  </si>
  <si>
    <t>Asociados + otros</t>
  </si>
  <si>
    <t>Gastos de funcionamiento</t>
  </si>
  <si>
    <t>Promoción Económica (Why Tenerife)</t>
  </si>
  <si>
    <t>Promoción Turística</t>
  </si>
  <si>
    <t>Acciones Promocionales y de Conectividad</t>
  </si>
  <si>
    <t>Promoción Equipos Deportivos Primer Nivel</t>
  </si>
  <si>
    <t>Acciones de Conectividad</t>
  </si>
  <si>
    <t>Campaña SientoxCiento/ Campaña sensibilización a población local</t>
  </si>
  <si>
    <t>Acciones Promoción y Dinamización Zonas Turísticas</t>
  </si>
  <si>
    <t>Festival Starmus</t>
  </si>
  <si>
    <t>Patrocinio Cadena Dial</t>
  </si>
  <si>
    <t>Patrocinio Clubes Deportivos</t>
  </si>
  <si>
    <t>Aportación Específico Estudio Viabilidad Hotel Taoro</t>
  </si>
  <si>
    <t>Proyecto Tenerife Licita</t>
  </si>
  <si>
    <t>Convenio con Ayuntamientos</t>
  </si>
  <si>
    <t>Arona</t>
  </si>
  <si>
    <t>Adeje</t>
  </si>
  <si>
    <t>San Miguel</t>
  </si>
  <si>
    <t>Santiago del Teide</t>
  </si>
  <si>
    <t>Granadilla</t>
  </si>
  <si>
    <t>Guía de Isora</t>
  </si>
  <si>
    <t>Arico</t>
  </si>
  <si>
    <t>La Laguna</t>
  </si>
  <si>
    <t>Puerto de la Cruz</t>
  </si>
  <si>
    <t>Ayuntamientos</t>
  </si>
  <si>
    <t>A y B</t>
  </si>
  <si>
    <t>Patrocinio premios Quirino</t>
  </si>
  <si>
    <t>Proyecto innovatur</t>
  </si>
  <si>
    <t>Subv. Europeas</t>
  </si>
  <si>
    <t>Pto de la Cruz (acciones consorcio)</t>
  </si>
  <si>
    <t>Proyecto Atlantic Net Skipe</t>
  </si>
  <si>
    <t>Proyecto Diomedea</t>
  </si>
  <si>
    <t>Subvención Desarrollo empleo</t>
  </si>
  <si>
    <t xml:space="preserve">La retribucion variable en "otro personal" corresponde con la cuantía en concepto de "productividad" a distribuir entre todo el personal,por lo que no se puede fijar </t>
  </si>
  <si>
    <t>en ninguno  de los grupos de personal en concreto.</t>
  </si>
  <si>
    <t>Asímismo, la retribución variable de 20.000€ podrá distribuirse entre el personal laboral con contrato indefinido y duración determinada.</t>
  </si>
  <si>
    <r>
      <t xml:space="preserve">Variación aportaciones socios en FC-4 PASIVO - </t>
    </r>
    <r>
      <rPr>
        <u/>
        <sz val="12"/>
        <rFont val="Arial"/>
        <family val="2"/>
      </rPr>
      <t>Compensación pérdidas</t>
    </r>
    <r>
      <rPr>
        <sz val="12"/>
        <color theme="1"/>
        <rFont val="Arial"/>
        <family val="2"/>
      </rPr>
      <t xml:space="preserve"> = detalle en FC-9</t>
    </r>
  </si>
  <si>
    <t>N/A, han compensado aportaciones socios con pérdidas</t>
  </si>
  <si>
    <t>0502</t>
  </si>
  <si>
    <t>0911</t>
  </si>
  <si>
    <t>0901</t>
  </si>
  <si>
    <t>4322</t>
  </si>
  <si>
    <t>44933</t>
  </si>
  <si>
    <t>Préstamo</t>
  </si>
  <si>
    <t>Cajacanarias -&gt; La Caixa</t>
  </si>
  <si>
    <t>Deudas con Entidades Financieras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</si>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</sst>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d\-mmm\-yyyy"/>
    <numFmt numFmtId="165" formatCode="dd\-mm\-yy;@"/>
  </numFmts>
  <fonts count="69">
    <font>
      <sz val="12"/>
      <color theme="1"/>
      <name val="Helvetica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Helvetica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4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u/>
      <sz val="10"/>
      <color theme="1"/>
      <name val="Arial"/>
      <family val="2"/>
    </font>
    <font>
      <b/>
      <sz val="14"/>
      <color rgb="FFFF0000"/>
      <name val="Arial"/>
      <family val="2"/>
    </font>
    <font>
      <sz val="9"/>
      <name val="Arial"/>
      <family val="2"/>
    </font>
    <font>
      <b/>
      <u/>
      <sz val="12"/>
      <color theme="1"/>
      <name val="Arial"/>
      <family val="2"/>
    </font>
    <font>
      <sz val="11"/>
      <name val="Arial"/>
      <family val="2"/>
    </font>
    <font>
      <u/>
      <sz val="12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FFFFFF"/>
      <name val="Calibri"/>
      <family val="2"/>
      <charset val="1"/>
    </font>
    <font>
      <sz val="12"/>
      <color rgb="FF000000"/>
      <name val="Arial"/>
      <family val="2"/>
      <charset val="1"/>
    </font>
    <font>
      <b/>
      <sz val="12"/>
      <color theme="1"/>
      <name val="Arial"/>
      <family val="2"/>
      <charset val="1"/>
    </font>
    <font>
      <sz val="12"/>
      <color theme="1"/>
      <name val="Arial"/>
      <family val="2"/>
      <charset val="1"/>
    </font>
    <font>
      <b/>
      <sz val="10"/>
      <color rgb="FF000000"/>
      <name val="Arial"/>
      <family val="2"/>
    </font>
    <font>
      <sz val="10"/>
      <name val="Arial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CC99"/>
      </patternFill>
    </fill>
  </fills>
  <borders count="1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thin">
        <color theme="0" tint="-0.249977111117893"/>
      </bottom>
      <diagonal/>
    </border>
    <border>
      <left/>
      <right/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medium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34998626667073579"/>
      </bottom>
      <diagonal/>
    </border>
    <border>
      <left/>
      <right/>
      <top style="thin">
        <color theme="0" tint="-0.24994659260841701"/>
      </top>
      <bottom style="medium">
        <color theme="0" tint="-0.34998626667073579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</borders>
  <cellStyleXfs count="2887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9" fontId="32" fillId="0" borderId="0" applyFont="0" applyFill="0" applyBorder="0" applyAlignment="0" applyProtection="0"/>
    <xf numFmtId="0" fontId="34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1" fillId="0" borderId="0"/>
    <xf numFmtId="43" fontId="62" fillId="0" borderId="0" applyBorder="0" applyAlignment="0" applyProtection="0"/>
    <xf numFmtId="0" fontId="63" fillId="8" borderId="0" applyBorder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68" fillId="0" borderId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234">
    <xf numFmtId="0" fontId="0" fillId="0" borderId="0" xfId="0"/>
    <xf numFmtId="0" fontId="15" fillId="2" borderId="0" xfId="0" applyFont="1" applyFill="1" applyBorder="1"/>
    <xf numFmtId="0" fontId="16" fillId="2" borderId="0" xfId="0" applyFont="1" applyFill="1"/>
    <xf numFmtId="0" fontId="16" fillId="2" borderId="0" xfId="0" applyFont="1" applyFill="1" applyBorder="1"/>
    <xf numFmtId="0" fontId="16" fillId="0" borderId="0" xfId="0" applyFont="1"/>
    <xf numFmtId="0" fontId="16" fillId="2" borderId="6" xfId="0" applyFont="1" applyFill="1" applyBorder="1"/>
    <xf numFmtId="0" fontId="16" fillId="2" borderId="7" xfId="0" applyFont="1" applyFill="1" applyBorder="1"/>
    <xf numFmtId="0" fontId="16" fillId="2" borderId="8" xfId="0" applyFont="1" applyFill="1" applyBorder="1"/>
    <xf numFmtId="0" fontId="16" fillId="2" borderId="9" xfId="0" applyFont="1" applyFill="1" applyBorder="1"/>
    <xf numFmtId="0" fontId="16" fillId="2" borderId="10" xfId="0" applyFont="1" applyFill="1" applyBorder="1"/>
    <xf numFmtId="0" fontId="16" fillId="2" borderId="0" xfId="0" applyFont="1" applyFill="1" applyBorder="1" applyAlignment="1">
      <alignment horizontal="center"/>
    </xf>
    <xf numFmtId="0" fontId="18" fillId="5" borderId="0" xfId="0" applyFont="1" applyFill="1" applyBorder="1" applyAlignment="1">
      <alignment vertical="center"/>
    </xf>
    <xf numFmtId="0" fontId="15" fillId="2" borderId="0" xfId="0" applyFont="1" applyFill="1"/>
    <xf numFmtId="0" fontId="15" fillId="2" borderId="1" xfId="0" applyFont="1" applyFill="1" applyBorder="1"/>
    <xf numFmtId="0" fontId="16" fillId="2" borderId="0" xfId="0" applyFont="1" applyFill="1" applyBorder="1" applyAlignment="1"/>
    <xf numFmtId="0" fontId="16" fillId="2" borderId="0" xfId="0" applyFont="1" applyFill="1" applyAlignment="1">
      <alignment vertical="center"/>
    </xf>
    <xf numFmtId="0" fontId="17" fillId="2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16" fillId="2" borderId="11" xfId="0" applyFont="1" applyFill="1" applyBorder="1"/>
    <xf numFmtId="0" fontId="16" fillId="2" borderId="12" xfId="0" applyFont="1" applyFill="1" applyBorder="1"/>
    <xf numFmtId="0" fontId="16" fillId="2" borderId="13" xfId="0" applyFont="1" applyFill="1" applyBorder="1"/>
    <xf numFmtId="0" fontId="16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vertical="center"/>
    </xf>
    <xf numFmtId="0" fontId="19" fillId="2" borderId="0" xfId="0" applyFont="1" applyFill="1" applyBorder="1"/>
    <xf numFmtId="0" fontId="20" fillId="2" borderId="9" xfId="0" applyFont="1" applyFill="1" applyBorder="1"/>
    <xf numFmtId="0" fontId="15" fillId="2" borderId="10" xfId="0" applyFont="1" applyFill="1" applyBorder="1"/>
    <xf numFmtId="0" fontId="16" fillId="2" borderId="2" xfId="0" applyFont="1" applyFill="1" applyBorder="1"/>
    <xf numFmtId="0" fontId="21" fillId="2" borderId="1" xfId="0" applyFont="1" applyFill="1" applyBorder="1"/>
    <xf numFmtId="0" fontId="21" fillId="2" borderId="1" xfId="0" applyFont="1" applyFill="1" applyBorder="1" applyAlignment="1">
      <alignment horizontal="center" wrapText="1"/>
    </xf>
    <xf numFmtId="0" fontId="22" fillId="2" borderId="4" xfId="0" applyFont="1" applyFill="1" applyBorder="1"/>
    <xf numFmtId="0" fontId="22" fillId="2" borderId="5" xfId="0" applyFont="1" applyFill="1" applyBorder="1"/>
    <xf numFmtId="0" fontId="22" fillId="2" borderId="0" xfId="0" applyFont="1" applyFill="1" applyBorder="1"/>
    <xf numFmtId="0" fontId="22" fillId="2" borderId="0" xfId="0" applyFont="1" applyFill="1" applyBorder="1" applyAlignment="1">
      <alignment horizontal="left"/>
    </xf>
    <xf numFmtId="164" fontId="22" fillId="2" borderId="0" xfId="0" applyNumberFormat="1" applyFont="1" applyFill="1" applyBorder="1" applyAlignment="1">
      <alignment horizontal="center"/>
    </xf>
    <xf numFmtId="0" fontId="22" fillId="2" borderId="2" xfId="0" applyFont="1" applyFill="1" applyBorder="1"/>
    <xf numFmtId="164" fontId="16" fillId="2" borderId="12" xfId="0" applyNumberFormat="1" applyFont="1" applyFill="1" applyBorder="1" applyAlignment="1">
      <alignment horizontal="center"/>
    </xf>
    <xf numFmtId="164" fontId="16" fillId="2" borderId="0" xfId="0" applyNumberFormat="1" applyFont="1" applyFill="1" applyAlignment="1">
      <alignment horizontal="center"/>
    </xf>
    <xf numFmtId="0" fontId="23" fillId="2" borderId="0" xfId="0" applyFont="1" applyFill="1" applyBorder="1"/>
    <xf numFmtId="0" fontId="23" fillId="2" borderId="0" xfId="0" applyFont="1" applyFill="1"/>
    <xf numFmtId="0" fontId="15" fillId="4" borderId="0" xfId="0" applyFont="1" applyFill="1" applyBorder="1" applyAlignment="1">
      <alignment vertical="center"/>
    </xf>
    <xf numFmtId="0" fontId="15" fillId="4" borderId="0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right"/>
    </xf>
    <xf numFmtId="0" fontId="26" fillId="2" borderId="0" xfId="0" applyFont="1" applyFill="1"/>
    <xf numFmtId="164" fontId="26" fillId="2" borderId="0" xfId="0" applyNumberFormat="1" applyFont="1" applyFill="1" applyAlignment="1">
      <alignment horizontal="center"/>
    </xf>
    <xf numFmtId="0" fontId="26" fillId="2" borderId="0" xfId="0" applyFont="1" applyFill="1" applyBorder="1"/>
    <xf numFmtId="0" fontId="26" fillId="2" borderId="6" xfId="0" applyFont="1" applyFill="1" applyBorder="1"/>
    <xf numFmtId="0" fontId="26" fillId="2" borderId="7" xfId="0" applyFont="1" applyFill="1" applyBorder="1"/>
    <xf numFmtId="0" fontId="26" fillId="2" borderId="8" xfId="0" applyFont="1" applyFill="1" applyBorder="1"/>
    <xf numFmtId="0" fontId="26" fillId="2" borderId="9" xfId="0" applyFont="1" applyFill="1" applyBorder="1"/>
    <xf numFmtId="0" fontId="27" fillId="2" borderId="0" xfId="0" applyFont="1" applyFill="1" applyBorder="1"/>
    <xf numFmtId="0" fontId="26" fillId="2" borderId="10" xfId="0" applyFont="1" applyFill="1" applyBorder="1"/>
    <xf numFmtId="0" fontId="27" fillId="2" borderId="0" xfId="0" applyFont="1" applyFill="1" applyBorder="1" applyAlignment="1">
      <alignment horizontal="center" vertical="center"/>
    </xf>
    <xf numFmtId="0" fontId="26" fillId="2" borderId="11" xfId="0" applyFont="1" applyFill="1" applyBorder="1"/>
    <xf numFmtId="0" fontId="26" fillId="2" borderId="12" xfId="0" applyFont="1" applyFill="1" applyBorder="1" applyAlignment="1">
      <alignment horizontal="left"/>
    </xf>
    <xf numFmtId="0" fontId="26" fillId="2" borderId="12" xfId="0" applyFont="1" applyFill="1" applyBorder="1"/>
    <xf numFmtId="0" fontId="26" fillId="2" borderId="13" xfId="0" applyFont="1" applyFill="1" applyBorder="1"/>
    <xf numFmtId="0" fontId="15" fillId="4" borderId="0" xfId="0" applyFont="1" applyFill="1" applyBorder="1" applyAlignment="1">
      <alignment horizontal="left" vertical="center"/>
    </xf>
    <xf numFmtId="0" fontId="26" fillId="2" borderId="12" xfId="0" applyFont="1" applyFill="1" applyBorder="1" applyAlignment="1">
      <alignment horizontal="left"/>
    </xf>
    <xf numFmtId="0" fontId="12" fillId="2" borderId="9" xfId="0" applyFont="1" applyFill="1" applyBorder="1"/>
    <xf numFmtId="0" fontId="12" fillId="2" borderId="10" xfId="0" applyFont="1" applyFill="1" applyBorder="1"/>
    <xf numFmtId="0" fontId="12" fillId="2" borderId="0" xfId="0" applyFont="1" applyFill="1"/>
    <xf numFmtId="0" fontId="20" fillId="2" borderId="10" xfId="0" applyFont="1" applyFill="1" applyBorder="1"/>
    <xf numFmtId="0" fontId="18" fillId="2" borderId="0" xfId="0" applyFont="1" applyFill="1" applyAlignment="1">
      <alignment vertical="center"/>
    </xf>
    <xf numFmtId="0" fontId="16" fillId="2" borderId="0" xfId="0" applyFont="1" applyFill="1" applyBorder="1" applyAlignment="1">
      <alignment vertical="center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Alignment="1">
      <alignment horizontal="left"/>
    </xf>
    <xf numFmtId="0" fontId="18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left"/>
    </xf>
    <xf numFmtId="0" fontId="26" fillId="3" borderId="0" xfId="0" applyFont="1" applyFill="1" applyBorder="1"/>
    <xf numFmtId="0" fontId="15" fillId="2" borderId="21" xfId="0" applyFont="1" applyFill="1" applyBorder="1" applyAlignment="1">
      <alignment horizontal="center"/>
    </xf>
    <xf numFmtId="0" fontId="15" fillId="2" borderId="21" xfId="0" applyFont="1" applyFill="1" applyBorder="1"/>
    <xf numFmtId="0" fontId="12" fillId="2" borderId="22" xfId="0" applyFont="1" applyFill="1" applyBorder="1"/>
    <xf numFmtId="0" fontId="12" fillId="2" borderId="23" xfId="0" applyFont="1" applyFill="1" applyBorder="1"/>
    <xf numFmtId="0" fontId="12" fillId="2" borderId="25" xfId="0" applyFont="1" applyFill="1" applyBorder="1"/>
    <xf numFmtId="0" fontId="18" fillId="2" borderId="24" xfId="0" applyFont="1" applyFill="1" applyBorder="1"/>
    <xf numFmtId="0" fontId="20" fillId="2" borderId="0" xfId="0" applyFont="1" applyFill="1"/>
    <xf numFmtId="0" fontId="18" fillId="2" borderId="27" xfId="0" applyFont="1" applyFill="1" applyBorder="1"/>
    <xf numFmtId="2" fontId="12" fillId="2" borderId="26" xfId="0" applyNumberFormat="1" applyFont="1" applyFill="1" applyBorder="1"/>
    <xf numFmtId="0" fontId="28" fillId="2" borderId="0" xfId="0" applyFont="1" applyFill="1" applyBorder="1"/>
    <xf numFmtId="0" fontId="29" fillId="2" borderId="27" xfId="0" applyFont="1" applyFill="1" applyBorder="1"/>
    <xf numFmtId="0" fontId="31" fillId="2" borderId="9" xfId="0" applyFont="1" applyFill="1" applyBorder="1"/>
    <xf numFmtId="0" fontId="31" fillId="2" borderId="10" xfId="0" applyFont="1" applyFill="1" applyBorder="1"/>
    <xf numFmtId="0" fontId="31" fillId="2" borderId="0" xfId="0" applyFont="1" applyFill="1"/>
    <xf numFmtId="0" fontId="29" fillId="2" borderId="27" xfId="0" applyFont="1" applyFill="1" applyBorder="1" applyAlignment="1">
      <alignment horizontal="left"/>
    </xf>
    <xf numFmtId="0" fontId="18" fillId="2" borderId="21" xfId="0" applyFont="1" applyFill="1" applyBorder="1"/>
    <xf numFmtId="0" fontId="18" fillId="2" borderId="0" xfId="0" applyFont="1" applyFill="1" applyBorder="1" applyAlignment="1">
      <alignment horizontal="center"/>
    </xf>
    <xf numFmtId="0" fontId="18" fillId="2" borderId="0" xfId="0" applyFont="1" applyFill="1" applyBorder="1"/>
    <xf numFmtId="0" fontId="30" fillId="2" borderId="0" xfId="0" applyFont="1" applyFill="1" applyBorder="1"/>
    <xf numFmtId="4" fontId="26" fillId="2" borderId="0" xfId="0" applyNumberFormat="1" applyFont="1" applyFill="1"/>
    <xf numFmtId="4" fontId="26" fillId="2" borderId="7" xfId="0" applyNumberFormat="1" applyFont="1" applyFill="1" applyBorder="1"/>
    <xf numFmtId="4" fontId="26" fillId="2" borderId="0" xfId="0" applyNumberFormat="1" applyFont="1" applyFill="1" applyBorder="1"/>
    <xf numFmtId="4" fontId="27" fillId="2" borderId="0" xfId="0" applyNumberFormat="1" applyFont="1" applyFill="1" applyBorder="1" applyAlignment="1">
      <alignment horizontal="center" vertical="center"/>
    </xf>
    <xf numFmtId="4" fontId="18" fillId="5" borderId="0" xfId="0" applyNumberFormat="1" applyFont="1" applyFill="1" applyBorder="1" applyAlignment="1">
      <alignment vertical="center"/>
    </xf>
    <xf numFmtId="4" fontId="18" fillId="2" borderId="0" xfId="0" applyNumberFormat="1" applyFont="1" applyFill="1" applyBorder="1" applyAlignment="1">
      <alignment vertical="center"/>
    </xf>
    <xf numFmtId="4" fontId="26" fillId="2" borderId="12" xfId="0" applyNumberFormat="1" applyFont="1" applyFill="1" applyBorder="1"/>
    <xf numFmtId="4" fontId="25" fillId="2" borderId="0" xfId="0" applyNumberFormat="1" applyFont="1" applyFill="1" applyAlignment="1">
      <alignment horizontal="right"/>
    </xf>
    <xf numFmtId="4" fontId="18" fillId="2" borderId="0" xfId="0" applyNumberFormat="1" applyFont="1" applyFill="1" applyBorder="1" applyAlignment="1">
      <alignment horizontal="left" vertical="center"/>
    </xf>
    <xf numFmtId="0" fontId="26" fillId="2" borderId="0" xfId="0" applyFont="1" applyFill="1" applyAlignment="1">
      <alignment horizontal="left"/>
    </xf>
    <xf numFmtId="4" fontId="26" fillId="2" borderId="0" xfId="0" applyNumberFormat="1" applyFont="1" applyFill="1" applyAlignment="1">
      <alignment horizontal="left"/>
    </xf>
    <xf numFmtId="0" fontId="26" fillId="2" borderId="6" xfId="0" applyFont="1" applyFill="1" applyBorder="1" applyAlignment="1">
      <alignment horizontal="left"/>
    </xf>
    <xf numFmtId="0" fontId="26" fillId="2" borderId="7" xfId="0" applyFont="1" applyFill="1" applyBorder="1" applyAlignment="1">
      <alignment horizontal="left"/>
    </xf>
    <xf numFmtId="4" fontId="26" fillId="2" borderId="7" xfId="0" applyNumberFormat="1" applyFont="1" applyFill="1" applyBorder="1" applyAlignment="1">
      <alignment horizontal="left"/>
    </xf>
    <xf numFmtId="0" fontId="26" fillId="2" borderId="8" xfId="0" applyFont="1" applyFill="1" applyBorder="1" applyAlignment="1">
      <alignment horizontal="left"/>
    </xf>
    <xf numFmtId="0" fontId="26" fillId="2" borderId="9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4" fontId="26" fillId="2" borderId="0" xfId="0" applyNumberFormat="1" applyFont="1" applyFill="1" applyBorder="1" applyAlignment="1">
      <alignment horizontal="left"/>
    </xf>
    <xf numFmtId="0" fontId="26" fillId="2" borderId="10" xfId="0" applyFont="1" applyFill="1" applyBorder="1" applyAlignment="1">
      <alignment horizontal="left"/>
    </xf>
    <xf numFmtId="0" fontId="27" fillId="2" borderId="0" xfId="0" applyFont="1" applyFill="1" applyBorder="1" applyAlignment="1">
      <alignment horizontal="left"/>
    </xf>
    <xf numFmtId="4" fontId="27" fillId="2" borderId="0" xfId="0" applyNumberFormat="1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20" fillId="2" borderId="9" xfId="0" applyFont="1" applyFill="1" applyBorder="1" applyAlignment="1">
      <alignment horizontal="left"/>
    </xf>
    <xf numFmtId="0" fontId="18" fillId="5" borderId="0" xfId="0" applyFont="1" applyFill="1" applyBorder="1" applyAlignment="1">
      <alignment horizontal="left" vertical="center"/>
    </xf>
    <xf numFmtId="4" fontId="18" fillId="5" borderId="0" xfId="0" applyNumberFormat="1" applyFont="1" applyFill="1" applyBorder="1" applyAlignment="1">
      <alignment horizontal="left" vertical="center"/>
    </xf>
    <xf numFmtId="0" fontId="20" fillId="2" borderId="10" xfId="0" applyFont="1" applyFill="1" applyBorder="1" applyAlignment="1">
      <alignment horizontal="left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22" fillId="2" borderId="9" xfId="0" applyFont="1" applyFill="1" applyBorder="1" applyAlignment="1">
      <alignment horizontal="left"/>
    </xf>
    <xf numFmtId="0" fontId="22" fillId="2" borderId="10" xfId="0" applyFont="1" applyFill="1" applyBorder="1" applyAlignment="1">
      <alignment horizontal="left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/>
    </xf>
    <xf numFmtId="0" fontId="26" fillId="2" borderId="11" xfId="0" applyFont="1" applyFill="1" applyBorder="1" applyAlignment="1">
      <alignment horizontal="left"/>
    </xf>
    <xf numFmtId="4" fontId="26" fillId="2" borderId="12" xfId="0" applyNumberFormat="1" applyFont="1" applyFill="1" applyBorder="1" applyAlignment="1">
      <alignment horizontal="left"/>
    </xf>
    <xf numFmtId="0" fontId="26" fillId="2" borderId="13" xfId="0" applyFont="1" applyFill="1" applyBorder="1" applyAlignment="1">
      <alignment horizontal="left"/>
    </xf>
    <xf numFmtId="0" fontId="23" fillId="2" borderId="0" xfId="0" applyFont="1" applyFill="1" applyBorder="1" applyAlignment="1">
      <alignment horizontal="left"/>
    </xf>
    <xf numFmtId="0" fontId="23" fillId="2" borderId="0" xfId="0" applyFont="1" applyFill="1" applyAlignment="1">
      <alignment horizontal="left"/>
    </xf>
    <xf numFmtId="3" fontId="15" fillId="2" borderId="38" xfId="0" applyNumberFormat="1" applyFont="1" applyFill="1" applyBorder="1" applyAlignment="1">
      <alignment horizontal="center" vertical="center"/>
    </xf>
    <xf numFmtId="4" fontId="15" fillId="2" borderId="38" xfId="0" applyNumberFormat="1" applyFont="1" applyFill="1" applyBorder="1" applyAlignment="1">
      <alignment vertical="center"/>
    </xf>
    <xf numFmtId="0" fontId="27" fillId="2" borderId="10" xfId="0" applyFont="1" applyFill="1" applyBorder="1" applyAlignment="1">
      <alignment horizontal="left"/>
    </xf>
    <xf numFmtId="0" fontId="27" fillId="2" borderId="0" xfId="0" applyFont="1" applyFill="1" applyAlignment="1">
      <alignment horizontal="left"/>
    </xf>
    <xf numFmtId="0" fontId="26" fillId="2" borderId="42" xfId="0" applyFont="1" applyFill="1" applyBorder="1"/>
    <xf numFmtId="4" fontId="18" fillId="2" borderId="43" xfId="0" applyNumberFormat="1" applyFont="1" applyFill="1" applyBorder="1"/>
    <xf numFmtId="4" fontId="15" fillId="2" borderId="43" xfId="0" applyNumberFormat="1" applyFont="1" applyFill="1" applyBorder="1"/>
    <xf numFmtId="4" fontId="12" fillId="2" borderId="44" xfId="0" applyNumberFormat="1" applyFont="1" applyFill="1" applyBorder="1"/>
    <xf numFmtId="4" fontId="12" fillId="2" borderId="45" xfId="0" applyNumberFormat="1" applyFont="1" applyFill="1" applyBorder="1"/>
    <xf numFmtId="4" fontId="26" fillId="2" borderId="42" xfId="0" applyNumberFormat="1" applyFont="1" applyFill="1" applyBorder="1"/>
    <xf numFmtId="4" fontId="29" fillId="2" borderId="41" xfId="0" applyNumberFormat="1" applyFont="1" applyFill="1" applyBorder="1"/>
    <xf numFmtId="0" fontId="18" fillId="2" borderId="48" xfId="0" applyFont="1" applyFill="1" applyBorder="1" applyAlignment="1">
      <alignment horizontal="center"/>
    </xf>
    <xf numFmtId="0" fontId="26" fillId="2" borderId="49" xfId="0" applyFont="1" applyFill="1" applyBorder="1"/>
    <xf numFmtId="0" fontId="18" fillId="2" borderId="34" xfId="0" applyFont="1" applyFill="1" applyBorder="1" applyAlignment="1">
      <alignment horizontal="center"/>
    </xf>
    <xf numFmtId="4" fontId="18" fillId="2" borderId="50" xfId="0" applyNumberFormat="1" applyFont="1" applyFill="1" applyBorder="1"/>
    <xf numFmtId="0" fontId="15" fillId="2" borderId="34" xfId="0" applyFont="1" applyFill="1" applyBorder="1" applyAlignment="1">
      <alignment horizontal="center"/>
    </xf>
    <xf numFmtId="4" fontId="15" fillId="2" borderId="50" xfId="0" applyNumberFormat="1" applyFont="1" applyFill="1" applyBorder="1"/>
    <xf numFmtId="0" fontId="12" fillId="2" borderId="51" xfId="0" applyFont="1" applyFill="1" applyBorder="1" applyAlignment="1">
      <alignment horizontal="center"/>
    </xf>
    <xf numFmtId="0" fontId="12" fillId="2" borderId="53" xfId="0" applyFont="1" applyFill="1" applyBorder="1" applyAlignment="1">
      <alignment horizontal="center"/>
    </xf>
    <xf numFmtId="4" fontId="12" fillId="2" borderId="54" xfId="0" applyNumberFormat="1" applyFont="1" applyFill="1" applyBorder="1"/>
    <xf numFmtId="0" fontId="12" fillId="2" borderId="48" xfId="0" applyFont="1" applyFill="1" applyBorder="1" applyAlignment="1">
      <alignment horizontal="center"/>
    </xf>
    <xf numFmtId="4" fontId="26" fillId="2" borderId="49" xfId="0" applyNumberFormat="1" applyFont="1" applyFill="1" applyBorder="1"/>
    <xf numFmtId="0" fontId="15" fillId="2" borderId="48" xfId="0" applyFont="1" applyFill="1" applyBorder="1" applyAlignment="1">
      <alignment horizontal="center"/>
    </xf>
    <xf numFmtId="0" fontId="30" fillId="2" borderId="48" xfId="0" applyFont="1" applyFill="1" applyBorder="1" applyAlignment="1">
      <alignment horizontal="center"/>
    </xf>
    <xf numFmtId="0" fontId="29" fillId="2" borderId="55" xfId="0" applyFont="1" applyFill="1" applyBorder="1" applyAlignment="1">
      <alignment horizontal="left"/>
    </xf>
    <xf numFmtId="4" fontId="29" fillId="2" borderId="56" xfId="0" applyNumberFormat="1" applyFont="1" applyFill="1" applyBorder="1"/>
    <xf numFmtId="0" fontId="15" fillId="4" borderId="0" xfId="0" applyFont="1" applyFill="1" applyBorder="1" applyAlignment="1">
      <alignment horizontal="left" vertical="center"/>
    </xf>
    <xf numFmtId="4" fontId="15" fillId="2" borderId="0" xfId="0" applyNumberFormat="1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4" fontId="20" fillId="2" borderId="0" xfId="0" applyNumberFormat="1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63" xfId="0" applyFont="1" applyFill="1" applyBorder="1" applyAlignment="1">
      <alignment horizontal="left" vertical="center"/>
    </xf>
    <xf numFmtId="0" fontId="11" fillId="2" borderId="64" xfId="0" applyFont="1" applyFill="1" applyBorder="1" applyAlignment="1">
      <alignment horizontal="left" vertical="center"/>
    </xf>
    <xf numFmtId="0" fontId="11" fillId="2" borderId="66" xfId="0" applyFont="1" applyFill="1" applyBorder="1" applyAlignment="1">
      <alignment horizontal="left" vertical="center"/>
    </xf>
    <xf numFmtId="0" fontId="11" fillId="2" borderId="67" xfId="0" applyFont="1" applyFill="1" applyBorder="1" applyAlignment="1">
      <alignment horizontal="left" vertical="center"/>
    </xf>
    <xf numFmtId="0" fontId="11" fillId="2" borderId="69" xfId="0" applyFont="1" applyFill="1" applyBorder="1" applyAlignment="1">
      <alignment horizontal="left" vertical="center"/>
    </xf>
    <xf numFmtId="0" fontId="11" fillId="2" borderId="70" xfId="0" applyFont="1" applyFill="1" applyBorder="1" applyAlignment="1">
      <alignment horizontal="left" vertical="center"/>
    </xf>
    <xf numFmtId="0" fontId="15" fillId="2" borderId="73" xfId="0" applyFont="1" applyFill="1" applyBorder="1" applyAlignment="1">
      <alignment horizontal="left" vertical="center"/>
    </xf>
    <xf numFmtId="0" fontId="15" fillId="2" borderId="74" xfId="0" applyFont="1" applyFill="1" applyBorder="1" applyAlignment="1">
      <alignment horizontal="left" vertical="center"/>
    </xf>
    <xf numFmtId="4" fontId="15" fillId="2" borderId="75" xfId="0" applyNumberFormat="1" applyFont="1" applyFill="1" applyBorder="1" applyAlignment="1">
      <alignment horizontal="left" vertical="center"/>
    </xf>
    <xf numFmtId="0" fontId="21" fillId="2" borderId="9" xfId="0" applyFont="1" applyFill="1" applyBorder="1" applyAlignment="1">
      <alignment horizontal="left"/>
    </xf>
    <xf numFmtId="0" fontId="11" fillId="2" borderId="73" xfId="0" applyFont="1" applyFill="1" applyBorder="1" applyAlignment="1">
      <alignment horizontal="left" vertical="center"/>
    </xf>
    <xf numFmtId="0" fontId="11" fillId="2" borderId="74" xfId="0" applyFont="1" applyFill="1" applyBorder="1" applyAlignment="1">
      <alignment horizontal="left" vertical="center"/>
    </xf>
    <xf numFmtId="0" fontId="39" fillId="2" borderId="0" xfId="0" applyFont="1" applyFill="1" applyBorder="1" applyAlignment="1">
      <alignment horizontal="left" vertical="center"/>
    </xf>
    <xf numFmtId="0" fontId="40" fillId="2" borderId="0" xfId="0" applyFont="1" applyFill="1" applyBorder="1" applyAlignment="1">
      <alignment horizontal="left" vertical="center"/>
    </xf>
    <xf numFmtId="4" fontId="40" fillId="2" borderId="0" xfId="0" applyNumberFormat="1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/>
    </xf>
    <xf numFmtId="4" fontId="15" fillId="2" borderId="77" xfId="0" applyNumberFormat="1" applyFont="1" applyFill="1" applyBorder="1" applyAlignment="1">
      <alignment vertical="center"/>
    </xf>
    <xf numFmtId="4" fontId="11" fillId="2" borderId="77" xfId="0" applyNumberFormat="1" applyFont="1" applyFill="1" applyBorder="1" applyAlignment="1">
      <alignment vertical="center"/>
    </xf>
    <xf numFmtId="4" fontId="11" fillId="2" borderId="79" xfId="0" applyNumberFormat="1" applyFont="1" applyFill="1" applyBorder="1" applyAlignment="1">
      <alignment vertical="center"/>
    </xf>
    <xf numFmtId="4" fontId="15" fillId="2" borderId="72" xfId="0" applyNumberFormat="1" applyFont="1" applyFill="1" applyBorder="1" applyAlignment="1">
      <alignment vertical="center"/>
    </xf>
    <xf numFmtId="4" fontId="15" fillId="2" borderId="78" xfId="0" applyNumberFormat="1" applyFont="1" applyFill="1" applyBorder="1" applyAlignment="1">
      <alignment vertical="center"/>
    </xf>
    <xf numFmtId="4" fontId="15" fillId="2" borderId="79" xfId="0" applyNumberFormat="1" applyFont="1" applyFill="1" applyBorder="1" applyAlignment="1">
      <alignment vertical="center"/>
    </xf>
    <xf numFmtId="4" fontId="15" fillId="2" borderId="68" xfId="0" applyNumberFormat="1" applyFont="1" applyFill="1" applyBorder="1" applyAlignment="1">
      <alignment vertical="center"/>
    </xf>
    <xf numFmtId="4" fontId="15" fillId="2" borderId="71" xfId="0" applyNumberFormat="1" applyFont="1" applyFill="1" applyBorder="1" applyAlignment="1">
      <alignment vertical="center"/>
    </xf>
    <xf numFmtId="4" fontId="15" fillId="2" borderId="75" xfId="0" applyNumberFormat="1" applyFont="1" applyFill="1" applyBorder="1" applyAlignment="1">
      <alignment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1" fillId="2" borderId="99" xfId="0" applyFont="1" applyFill="1" applyBorder="1" applyAlignment="1">
      <alignment horizontal="left" vertical="center"/>
    </xf>
    <xf numFmtId="0" fontId="11" fillId="2" borderId="100" xfId="0" applyFont="1" applyFill="1" applyBorder="1" applyAlignment="1">
      <alignment horizontal="left" vertical="center"/>
    </xf>
    <xf numFmtId="4" fontId="15" fillId="2" borderId="101" xfId="0" applyNumberFormat="1" applyFont="1" applyFill="1" applyBorder="1" applyAlignment="1">
      <alignment vertical="center"/>
    </xf>
    <xf numFmtId="4" fontId="15" fillId="2" borderId="104" xfId="0" applyNumberFormat="1" applyFont="1" applyFill="1" applyBorder="1" applyAlignment="1">
      <alignment vertical="center"/>
    </xf>
    <xf numFmtId="0" fontId="36" fillId="2" borderId="0" xfId="132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5" fillId="2" borderId="16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left" vertical="center"/>
    </xf>
    <xf numFmtId="4" fontId="15" fillId="2" borderId="15" xfId="0" applyNumberFormat="1" applyFont="1" applyFill="1" applyBorder="1" applyAlignment="1">
      <alignment vertical="center"/>
    </xf>
    <xf numFmtId="0" fontId="11" fillId="2" borderId="99" xfId="0" applyFont="1" applyFill="1" applyBorder="1" applyAlignment="1">
      <alignment horizontal="center" vertical="center"/>
    </xf>
    <xf numFmtId="4" fontId="11" fillId="2" borderId="101" xfId="0" applyNumberFormat="1" applyFont="1" applyFill="1" applyBorder="1" applyAlignment="1">
      <alignment vertical="center"/>
    </xf>
    <xf numFmtId="0" fontId="21" fillId="3" borderId="57" xfId="0" applyFont="1" applyFill="1" applyBorder="1" applyAlignment="1">
      <alignment horizontal="left" vertical="center"/>
    </xf>
    <xf numFmtId="0" fontId="21" fillId="3" borderId="59" xfId="0" applyFont="1" applyFill="1" applyBorder="1" applyAlignment="1">
      <alignment horizontal="left" vertical="center"/>
    </xf>
    <xf numFmtId="0" fontId="15" fillId="3" borderId="76" xfId="0" applyFont="1" applyFill="1" applyBorder="1" applyAlignment="1">
      <alignment horizontal="center" vertical="center"/>
    </xf>
    <xf numFmtId="0" fontId="18" fillId="3" borderId="62" xfId="0" applyFont="1" applyFill="1" applyBorder="1" applyAlignment="1">
      <alignment horizontal="left"/>
    </xf>
    <xf numFmtId="0" fontId="18" fillId="3" borderId="19" xfId="0" applyFont="1" applyFill="1" applyBorder="1" applyAlignment="1">
      <alignment horizontal="left"/>
    </xf>
    <xf numFmtId="0" fontId="36" fillId="3" borderId="80" xfId="132" applyFont="1" applyFill="1" applyBorder="1" applyAlignment="1">
      <alignment horizontal="center" wrapText="1"/>
    </xf>
    <xf numFmtId="0" fontId="38" fillId="3" borderId="105" xfId="132" applyFont="1" applyFill="1" applyBorder="1" applyAlignment="1">
      <alignment horizontal="center" wrapText="1"/>
    </xf>
    <xf numFmtId="0" fontId="38" fillId="3" borderId="106" xfId="132" applyFont="1" applyFill="1" applyBorder="1" applyAlignment="1">
      <alignment horizontal="center" wrapText="1"/>
    </xf>
    <xf numFmtId="0" fontId="38" fillId="3" borderId="107" xfId="132" applyFont="1" applyFill="1" applyBorder="1" applyAlignment="1">
      <alignment horizontal="center" wrapText="1"/>
    </xf>
    <xf numFmtId="0" fontId="18" fillId="3" borderId="19" xfId="0" applyFont="1" applyFill="1" applyBorder="1" applyAlignment="1">
      <alignment horizontal="left" vertical="center"/>
    </xf>
    <xf numFmtId="0" fontId="36" fillId="3" borderId="42" xfId="132" applyFont="1" applyFill="1" applyBorder="1" applyAlignment="1">
      <alignment horizontal="center" wrapText="1"/>
    </xf>
    <xf numFmtId="0" fontId="18" fillId="3" borderId="62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center" vertical="center"/>
    </xf>
    <xf numFmtId="0" fontId="26" fillId="3" borderId="31" xfId="0" applyFont="1" applyFill="1" applyBorder="1"/>
    <xf numFmtId="0" fontId="26" fillId="3" borderId="32" xfId="0" applyFont="1" applyFill="1" applyBorder="1"/>
    <xf numFmtId="0" fontId="15" fillId="3" borderId="46" xfId="0" applyFont="1" applyFill="1" applyBorder="1" applyAlignment="1">
      <alignment horizontal="center"/>
    </xf>
    <xf numFmtId="0" fontId="15" fillId="3" borderId="47" xfId="0" applyFont="1" applyFill="1" applyBorder="1" applyAlignment="1">
      <alignment horizontal="center"/>
    </xf>
    <xf numFmtId="0" fontId="19" fillId="3" borderId="48" xfId="0" applyFont="1" applyFill="1" applyBorder="1"/>
    <xf numFmtId="0" fontId="29" fillId="3" borderId="42" xfId="0" applyFont="1" applyFill="1" applyBorder="1" applyAlignment="1">
      <alignment horizontal="center"/>
    </xf>
    <xf numFmtId="0" fontId="29" fillId="3" borderId="49" xfId="0" applyFont="1" applyFill="1" applyBorder="1" applyAlignment="1">
      <alignment horizontal="center"/>
    </xf>
    <xf numFmtId="4" fontId="20" fillId="2" borderId="60" xfId="0" applyNumberFormat="1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4" fontId="15" fillId="2" borderId="0" xfId="0" applyNumberFormat="1" applyFont="1" applyFill="1" applyBorder="1" applyAlignment="1">
      <alignment vertical="center"/>
    </xf>
    <xf numFmtId="4" fontId="11" fillId="2" borderId="0" xfId="0" applyNumberFormat="1" applyFont="1" applyFill="1" applyBorder="1" applyAlignment="1">
      <alignment vertical="center"/>
    </xf>
    <xf numFmtId="4" fontId="11" fillId="2" borderId="0" xfId="0" applyNumberFormat="1" applyFont="1" applyFill="1" applyBorder="1" applyAlignment="1">
      <alignment horizontal="left" vertical="center"/>
    </xf>
    <xf numFmtId="0" fontId="15" fillId="2" borderId="73" xfId="0" applyFont="1" applyFill="1" applyBorder="1" applyAlignment="1">
      <alignment horizontal="center" vertical="center"/>
    </xf>
    <xf numFmtId="0" fontId="15" fillId="3" borderId="57" xfId="0" applyFont="1" applyFill="1" applyBorder="1" applyAlignment="1">
      <alignment horizontal="left"/>
    </xf>
    <xf numFmtId="0" fontId="36" fillId="3" borderId="76" xfId="132" applyFont="1" applyFill="1" applyBorder="1" applyAlignment="1">
      <alignment horizontal="center" wrapText="1"/>
    </xf>
    <xf numFmtId="0" fontId="15" fillId="3" borderId="60" xfId="0" applyFont="1" applyFill="1" applyBorder="1" applyAlignment="1">
      <alignment horizontal="left"/>
    </xf>
    <xf numFmtId="0" fontId="15" fillId="3" borderId="58" xfId="0" applyFont="1" applyFill="1" applyBorder="1" applyAlignment="1">
      <alignment horizontal="left"/>
    </xf>
    <xf numFmtId="0" fontId="36" fillId="3" borderId="59" xfId="132" applyFont="1" applyFill="1" applyBorder="1" applyAlignment="1">
      <alignment horizontal="center" wrapText="1"/>
    </xf>
    <xf numFmtId="0" fontId="15" fillId="3" borderId="0" xfId="0" applyFont="1" applyFill="1" applyBorder="1" applyAlignment="1">
      <alignment horizontal="left"/>
    </xf>
    <xf numFmtId="0" fontId="36" fillId="3" borderId="61" xfId="132" applyFont="1" applyFill="1" applyBorder="1" applyAlignment="1">
      <alignment horizontal="center" wrapText="1"/>
    </xf>
    <xf numFmtId="4" fontId="15" fillId="2" borderId="115" xfId="0" applyNumberFormat="1" applyFont="1" applyFill="1" applyBorder="1" applyAlignment="1">
      <alignment vertical="center"/>
    </xf>
    <xf numFmtId="4" fontId="15" fillId="2" borderId="91" xfId="0" applyNumberFormat="1" applyFont="1" applyFill="1" applyBorder="1" applyAlignment="1">
      <alignment vertical="center"/>
    </xf>
    <xf numFmtId="4" fontId="15" fillId="2" borderId="74" xfId="0" applyNumberFormat="1" applyFont="1" applyFill="1" applyBorder="1" applyAlignment="1">
      <alignment vertical="center"/>
    </xf>
    <xf numFmtId="0" fontId="11" fillId="2" borderId="65" xfId="0" applyFont="1" applyFill="1" applyBorder="1" applyAlignment="1">
      <alignment horizontal="left" vertical="center"/>
    </xf>
    <xf numFmtId="0" fontId="42" fillId="0" borderId="0" xfId="0" applyFont="1" applyAlignment="1">
      <alignment vertical="center"/>
    </xf>
    <xf numFmtId="4" fontId="22" fillId="2" borderId="0" xfId="0" applyNumberFormat="1" applyFont="1" applyFill="1" applyBorder="1" applyAlignment="1">
      <alignment horizontal="left"/>
    </xf>
    <xf numFmtId="4" fontId="22" fillId="2" borderId="111" xfId="0" applyNumberFormat="1" applyFont="1" applyFill="1" applyBorder="1" applyAlignment="1">
      <alignment horizontal="left"/>
    </xf>
    <xf numFmtId="4" fontId="22" fillId="2" borderId="112" xfId="0" applyNumberFormat="1" applyFont="1" applyFill="1" applyBorder="1" applyAlignment="1">
      <alignment horizontal="left"/>
    </xf>
    <xf numFmtId="4" fontId="22" fillId="2" borderId="113" xfId="0" applyNumberFormat="1" applyFont="1" applyFill="1" applyBorder="1" applyAlignment="1">
      <alignment horizontal="left"/>
    </xf>
    <xf numFmtId="4" fontId="15" fillId="2" borderId="92" xfId="0" applyNumberFormat="1" applyFont="1" applyFill="1" applyBorder="1" applyAlignment="1">
      <alignment vertical="center"/>
    </xf>
    <xf numFmtId="4" fontId="15" fillId="2" borderId="90" xfId="0" applyNumberFormat="1" applyFont="1" applyFill="1" applyBorder="1" applyAlignment="1">
      <alignment vertical="center"/>
    </xf>
    <xf numFmtId="0" fontId="36" fillId="3" borderId="116" xfId="132" applyFont="1" applyFill="1" applyBorder="1" applyAlignment="1">
      <alignment horizontal="center" wrapText="1"/>
    </xf>
    <xf numFmtId="0" fontId="36" fillId="3" borderId="117" xfId="132" applyFont="1" applyFill="1" applyBorder="1" applyAlignment="1">
      <alignment horizontal="center" wrapText="1"/>
    </xf>
    <xf numFmtId="0" fontId="36" fillId="3" borderId="118" xfId="132" applyFont="1" applyFill="1" applyBorder="1" applyAlignment="1">
      <alignment horizontal="center" wrapText="1"/>
    </xf>
    <xf numFmtId="0" fontId="26" fillId="2" borderId="0" xfId="0" applyFont="1" applyFill="1" applyAlignment="1">
      <alignment horizontal="left" vertical="center"/>
    </xf>
    <xf numFmtId="0" fontId="22" fillId="2" borderId="9" xfId="0" applyFont="1" applyFill="1" applyBorder="1" applyAlignment="1">
      <alignment horizontal="left" vertical="center"/>
    </xf>
    <xf numFmtId="0" fontId="15" fillId="3" borderId="58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left" vertical="center"/>
    </xf>
    <xf numFmtId="0" fontId="15" fillId="3" borderId="42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80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/>
    </xf>
    <xf numFmtId="0" fontId="36" fillId="3" borderId="118" xfId="132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36" fillId="3" borderId="107" xfId="132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left"/>
    </xf>
    <xf numFmtId="0" fontId="36" fillId="3" borderId="119" xfId="132" applyFont="1" applyFill="1" applyBorder="1" applyAlignment="1">
      <alignment horizontal="center" vertical="center" wrapText="1"/>
    </xf>
    <xf numFmtId="4" fontId="43" fillId="2" borderId="0" xfId="0" applyNumberFormat="1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/>
    </xf>
    <xf numFmtId="0" fontId="15" fillId="4" borderId="0" xfId="0" applyFont="1" applyFill="1" applyBorder="1" applyAlignment="1">
      <alignment vertical="center" wrapText="1"/>
    </xf>
    <xf numFmtId="0" fontId="15" fillId="3" borderId="57" xfId="0" applyFont="1" applyFill="1" applyBorder="1" applyAlignment="1">
      <alignment horizontal="center" vertical="center"/>
    </xf>
    <xf numFmtId="0" fontId="15" fillId="3" borderId="60" xfId="0" applyFont="1" applyFill="1" applyBorder="1" applyAlignment="1">
      <alignment horizontal="center" vertical="center"/>
    </xf>
    <xf numFmtId="0" fontId="15" fillId="3" borderId="62" xfId="0" applyFont="1" applyFill="1" applyBorder="1" applyAlignment="1">
      <alignment horizontal="center" vertical="center"/>
    </xf>
    <xf numFmtId="0" fontId="15" fillId="3" borderId="59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1" fillId="2" borderId="104" xfId="0" applyFont="1" applyFill="1" applyBorder="1" applyAlignment="1">
      <alignment horizontal="left" vertical="center"/>
    </xf>
    <xf numFmtId="0" fontId="11" fillId="2" borderId="71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left" vertical="center"/>
    </xf>
    <xf numFmtId="4" fontId="18" fillId="2" borderId="18" xfId="0" applyNumberFormat="1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/>
    </xf>
    <xf numFmtId="4" fontId="15" fillId="2" borderId="72" xfId="0" applyNumberFormat="1" applyFont="1" applyFill="1" applyBorder="1" applyAlignment="1"/>
    <xf numFmtId="4" fontId="15" fillId="2" borderId="75" xfId="0" applyNumberFormat="1" applyFont="1" applyFill="1" applyBorder="1" applyAlignment="1"/>
    <xf numFmtId="0" fontId="15" fillId="2" borderId="62" xfId="0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vertical="center"/>
    </xf>
    <xf numFmtId="0" fontId="15" fillId="2" borderId="20" xfId="0" applyFont="1" applyFill="1" applyBorder="1"/>
    <xf numFmtId="0" fontId="16" fillId="2" borderId="20" xfId="0" applyFont="1" applyFill="1" applyBorder="1" applyAlignment="1">
      <alignment horizontal="left"/>
    </xf>
    <xf numFmtId="0" fontId="11" fillId="2" borderId="0" xfId="0" applyFont="1" applyFill="1"/>
    <xf numFmtId="0" fontId="15" fillId="3" borderId="18" xfId="0" applyFont="1" applyFill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/>
    </xf>
    <xf numFmtId="0" fontId="22" fillId="2" borderId="63" xfId="0" applyFont="1" applyFill="1" applyBorder="1" applyAlignment="1">
      <alignment vertical="center"/>
    </xf>
    <xf numFmtId="0" fontId="22" fillId="2" borderId="65" xfId="0" applyFont="1" applyFill="1" applyBorder="1" applyAlignment="1">
      <alignment vertical="center"/>
    </xf>
    <xf numFmtId="0" fontId="22" fillId="2" borderId="101" xfId="0" applyFont="1" applyFill="1" applyBorder="1" applyAlignment="1">
      <alignment horizontal="left" vertical="center"/>
    </xf>
    <xf numFmtId="4" fontId="21" fillId="2" borderId="0" xfId="0" applyNumberFormat="1" applyFont="1" applyFill="1" applyBorder="1" applyAlignment="1">
      <alignment horizontal="left" vertical="center"/>
    </xf>
    <xf numFmtId="0" fontId="22" fillId="2" borderId="66" xfId="0" applyFont="1" applyFill="1" applyBorder="1" applyAlignment="1">
      <alignment vertical="center"/>
    </xf>
    <xf numFmtId="0" fontId="22" fillId="2" borderId="68" xfId="0" applyFont="1" applyFill="1" applyBorder="1" applyAlignment="1">
      <alignment vertical="center"/>
    </xf>
    <xf numFmtId="0" fontId="22" fillId="2" borderId="93" xfId="0" applyFont="1" applyFill="1" applyBorder="1" applyAlignment="1">
      <alignment vertical="center"/>
    </xf>
    <xf numFmtId="0" fontId="22" fillId="2" borderId="98" xfId="0" applyFont="1" applyFill="1" applyBorder="1" applyAlignment="1">
      <alignment vertical="center"/>
    </xf>
    <xf numFmtId="0" fontId="18" fillId="3" borderId="80" xfId="0" applyFont="1" applyFill="1" applyBorder="1" applyAlignment="1">
      <alignment horizontal="center" vertical="center"/>
    </xf>
    <xf numFmtId="0" fontId="11" fillId="2" borderId="63" xfId="0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left" vertical="center"/>
    </xf>
    <xf numFmtId="0" fontId="26" fillId="2" borderId="74" xfId="0" applyFont="1" applyFill="1" applyBorder="1" applyAlignment="1">
      <alignment horizontal="left"/>
    </xf>
    <xf numFmtId="4" fontId="45" fillId="6" borderId="121" xfId="0" applyNumberFormat="1" applyFont="1" applyFill="1" applyBorder="1"/>
    <xf numFmtId="0" fontId="15" fillId="2" borderId="9" xfId="0" applyFont="1" applyFill="1" applyBorder="1" applyAlignment="1">
      <alignment horizontal="left"/>
    </xf>
    <xf numFmtId="0" fontId="15" fillId="2" borderId="10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4" fontId="15" fillId="2" borderId="15" xfId="0" applyNumberFormat="1" applyFont="1" applyFill="1" applyBorder="1" applyAlignment="1"/>
    <xf numFmtId="4" fontId="11" fillId="2" borderId="0" xfId="0" applyNumberFormat="1" applyFont="1" applyFill="1" applyBorder="1" applyAlignment="1">
      <alignment horizontal="right" vertical="center"/>
    </xf>
    <xf numFmtId="10" fontId="45" fillId="6" borderId="121" xfId="0" applyNumberFormat="1" applyFont="1" applyFill="1" applyBorder="1" applyAlignment="1">
      <alignment horizontal="right"/>
    </xf>
    <xf numFmtId="10" fontId="15" fillId="2" borderId="18" xfId="131" applyNumberFormat="1" applyFont="1" applyFill="1" applyBorder="1" applyAlignment="1">
      <alignment horizontal="right"/>
    </xf>
    <xf numFmtId="10" fontId="11" fillId="2" borderId="104" xfId="0" applyNumberFormat="1" applyFont="1" applyFill="1" applyBorder="1" applyAlignment="1">
      <alignment horizontal="right" vertical="center"/>
    </xf>
    <xf numFmtId="10" fontId="11" fillId="2" borderId="68" xfId="0" applyNumberFormat="1" applyFont="1" applyFill="1" applyBorder="1" applyAlignment="1">
      <alignment horizontal="right" vertical="center"/>
    </xf>
    <xf numFmtId="10" fontId="11" fillId="2" borderId="71" xfId="0" applyNumberFormat="1" applyFont="1" applyFill="1" applyBorder="1" applyAlignment="1">
      <alignment horizontal="right" vertical="center"/>
    </xf>
    <xf numFmtId="10" fontId="36" fillId="2" borderId="0" xfId="0" applyNumberFormat="1" applyFont="1" applyFill="1" applyBorder="1" applyAlignment="1">
      <alignment horizontal="right" vertical="center"/>
    </xf>
    <xf numFmtId="10" fontId="15" fillId="2" borderId="18" xfId="0" applyNumberFormat="1" applyFont="1" applyFill="1" applyBorder="1" applyAlignment="1">
      <alignment horizontal="right"/>
    </xf>
    <xf numFmtId="4" fontId="44" fillId="6" borderId="121" xfId="0" applyNumberFormat="1" applyFont="1" applyFill="1" applyBorder="1"/>
    <xf numFmtId="0" fontId="20" fillId="2" borderId="0" xfId="0" applyFont="1" applyFill="1" applyAlignment="1">
      <alignment horizontal="left"/>
    </xf>
    <xf numFmtId="0" fontId="44" fillId="6" borderId="0" xfId="0" applyFont="1" applyFill="1" applyBorder="1" applyAlignment="1">
      <alignment horizontal="left"/>
    </xf>
    <xf numFmtId="4" fontId="44" fillId="6" borderId="0" xfId="0" applyNumberFormat="1" applyFont="1" applyFill="1" applyBorder="1"/>
    <xf numFmtId="0" fontId="18" fillId="3" borderId="123" xfId="0" applyFont="1" applyFill="1" applyBorder="1" applyAlignment="1">
      <alignment vertical="center"/>
    </xf>
    <xf numFmtId="0" fontId="20" fillId="3" borderId="124" xfId="0" applyFont="1" applyFill="1" applyBorder="1" applyAlignment="1">
      <alignment horizontal="center" vertical="center"/>
    </xf>
    <xf numFmtId="4" fontId="18" fillId="3" borderId="122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126" xfId="0" applyFont="1" applyFill="1" applyBorder="1" applyAlignment="1">
      <alignment horizontal="center" vertical="center"/>
    </xf>
    <xf numFmtId="0" fontId="15" fillId="2" borderId="127" xfId="0" applyFont="1" applyFill="1" applyBorder="1" applyAlignment="1">
      <alignment horizontal="left" vertical="center"/>
    </xf>
    <xf numFmtId="4" fontId="15" fillId="2" borderId="125" xfId="0" applyNumberFormat="1" applyFont="1" applyFill="1" applyBorder="1" applyAlignment="1">
      <alignment vertical="center"/>
    </xf>
    <xf numFmtId="0" fontId="11" fillId="2" borderId="60" xfId="0" applyFont="1" applyFill="1" applyBorder="1" applyAlignment="1">
      <alignment horizontal="center" vertical="center"/>
    </xf>
    <xf numFmtId="0" fontId="46" fillId="2" borderId="0" xfId="0" applyFont="1" applyFill="1" applyAlignment="1">
      <alignment horizontal="left"/>
    </xf>
    <xf numFmtId="0" fontId="33" fillId="2" borderId="0" xfId="0" applyFont="1" applyFill="1" applyAlignment="1">
      <alignment horizontal="left"/>
    </xf>
    <xf numFmtId="0" fontId="12" fillId="2" borderId="48" xfId="0" applyFont="1" applyFill="1" applyBorder="1"/>
    <xf numFmtId="4" fontId="26" fillId="2" borderId="128" xfId="0" applyNumberFormat="1" applyFont="1" applyFill="1" applyBorder="1"/>
    <xf numFmtId="4" fontId="29" fillId="2" borderId="129" xfId="0" applyNumberFormat="1" applyFont="1" applyFill="1" applyBorder="1"/>
    <xf numFmtId="0" fontId="29" fillId="3" borderId="61" xfId="0" applyFont="1" applyFill="1" applyBorder="1" applyAlignment="1">
      <alignment horizontal="center"/>
    </xf>
    <xf numFmtId="0" fontId="29" fillId="3" borderId="29" xfId="0" applyFont="1" applyFill="1" applyBorder="1" applyAlignment="1">
      <alignment horizontal="center"/>
    </xf>
    <xf numFmtId="0" fontId="26" fillId="2" borderId="29" xfId="0" applyFont="1" applyFill="1" applyBorder="1"/>
    <xf numFmtId="4" fontId="18" fillId="2" borderId="30" xfId="0" applyNumberFormat="1" applyFont="1" applyFill="1" applyBorder="1"/>
    <xf numFmtId="4" fontId="15" fillId="2" borderId="30" xfId="0" applyNumberFormat="1" applyFont="1" applyFill="1" applyBorder="1"/>
    <xf numFmtId="4" fontId="12" fillId="2" borderId="37" xfId="0" applyNumberFormat="1" applyFont="1" applyFill="1" applyBorder="1"/>
    <xf numFmtId="4" fontId="26" fillId="2" borderId="29" xfId="0" applyNumberFormat="1" applyFont="1" applyFill="1" applyBorder="1"/>
    <xf numFmtId="4" fontId="29" fillId="2" borderId="130" xfId="0" applyNumberFormat="1" applyFont="1" applyFill="1" applyBorder="1"/>
    <xf numFmtId="0" fontId="29" fillId="3" borderId="131" xfId="0" applyFont="1" applyFill="1" applyBorder="1" applyAlignment="1">
      <alignment horizontal="center"/>
    </xf>
    <xf numFmtId="0" fontId="26" fillId="2" borderId="131" xfId="0" applyFont="1" applyFill="1" applyBorder="1"/>
    <xf numFmtId="4" fontId="18" fillId="2" borderId="132" xfId="0" applyNumberFormat="1" applyFont="1" applyFill="1" applyBorder="1"/>
    <xf numFmtId="4" fontId="15" fillId="2" borderId="132" xfId="0" applyNumberFormat="1" applyFont="1" applyFill="1" applyBorder="1"/>
    <xf numFmtId="4" fontId="12" fillId="2" borderId="134" xfId="0" applyNumberFormat="1" applyFont="1" applyFill="1" applyBorder="1"/>
    <xf numFmtId="4" fontId="26" fillId="2" borderId="131" xfId="0" applyNumberFormat="1" applyFont="1" applyFill="1" applyBorder="1"/>
    <xf numFmtId="4" fontId="29" fillId="2" borderId="135" xfId="0" applyNumberFormat="1" applyFont="1" applyFill="1" applyBorder="1"/>
    <xf numFmtId="0" fontId="26" fillId="3" borderId="57" xfId="0" applyFont="1" applyFill="1" applyBorder="1"/>
    <xf numFmtId="0" fontId="26" fillId="3" borderId="58" xfId="0" applyFont="1" applyFill="1" applyBorder="1"/>
    <xf numFmtId="0" fontId="15" fillId="3" borderId="136" xfId="0" applyFont="1" applyFill="1" applyBorder="1" applyAlignment="1">
      <alignment horizontal="center"/>
    </xf>
    <xf numFmtId="0" fontId="15" fillId="3" borderId="137" xfId="0" applyFont="1" applyFill="1" applyBorder="1" applyAlignment="1">
      <alignment horizontal="center"/>
    </xf>
    <xf numFmtId="0" fontId="15" fillId="3" borderId="59" xfId="0" applyFont="1" applyFill="1" applyBorder="1" applyAlignment="1">
      <alignment horizontal="center"/>
    </xf>
    <xf numFmtId="0" fontId="19" fillId="3" borderId="60" xfId="0" applyFont="1" applyFill="1" applyBorder="1"/>
    <xf numFmtId="0" fontId="18" fillId="2" borderId="60" xfId="0" applyFont="1" applyFill="1" applyBorder="1" applyAlignment="1">
      <alignment horizontal="center"/>
    </xf>
    <xf numFmtId="0" fontId="26" fillId="2" borderId="61" xfId="0" applyFont="1" applyFill="1" applyBorder="1"/>
    <xf numFmtId="0" fontId="18" fillId="2" borderId="138" xfId="0" applyFont="1" applyFill="1" applyBorder="1" applyAlignment="1">
      <alignment horizontal="center"/>
    </xf>
    <xf numFmtId="4" fontId="18" fillId="2" borderId="139" xfId="0" applyNumberFormat="1" applyFont="1" applyFill="1" applyBorder="1"/>
    <xf numFmtId="0" fontId="15" fillId="2" borderId="138" xfId="0" applyFont="1" applyFill="1" applyBorder="1" applyAlignment="1">
      <alignment horizontal="center"/>
    </xf>
    <xf numFmtId="4" fontId="15" fillId="2" borderId="139" xfId="0" applyNumberFormat="1" applyFont="1" applyFill="1" applyBorder="1"/>
    <xf numFmtId="0" fontId="12" fillId="2" borderId="140" xfId="0" applyFont="1" applyFill="1" applyBorder="1" applyAlignment="1">
      <alignment horizontal="center"/>
    </xf>
    <xf numFmtId="0" fontId="12" fillId="2" borderId="142" xfId="0" applyFont="1" applyFill="1" applyBorder="1" applyAlignment="1">
      <alignment horizontal="center"/>
    </xf>
    <xf numFmtId="4" fontId="12" fillId="2" borderId="143" xfId="0" applyNumberFormat="1" applyFont="1" applyFill="1" applyBorder="1"/>
    <xf numFmtId="0" fontId="12" fillId="2" borderId="60" xfId="0" applyFont="1" applyFill="1" applyBorder="1" applyAlignment="1">
      <alignment horizontal="center"/>
    </xf>
    <xf numFmtId="0" fontId="30" fillId="2" borderId="60" xfId="0" applyFont="1" applyFill="1" applyBorder="1" applyAlignment="1">
      <alignment horizontal="center"/>
    </xf>
    <xf numFmtId="0" fontId="12" fillId="2" borderId="144" xfId="0" applyFont="1" applyFill="1" applyBorder="1" applyAlignment="1">
      <alignment horizontal="center"/>
    </xf>
    <xf numFmtId="0" fontId="12" fillId="2" borderId="145" xfId="0" applyFont="1" applyFill="1" applyBorder="1"/>
    <xf numFmtId="0" fontId="29" fillId="2" borderId="149" xfId="0" applyFont="1" applyFill="1" applyBorder="1" applyAlignment="1">
      <alignment horizontal="left"/>
    </xf>
    <xf numFmtId="0" fontId="15" fillId="2" borderId="60" xfId="0" applyFont="1" applyFill="1" applyBorder="1" applyAlignment="1">
      <alignment horizontal="center"/>
    </xf>
    <xf numFmtId="0" fontId="28" fillId="2" borderId="60" xfId="0" applyFont="1" applyFill="1" applyBorder="1" applyAlignment="1">
      <alignment horizontal="center"/>
    </xf>
    <xf numFmtId="0" fontId="12" fillId="2" borderId="150" xfId="0" applyFont="1" applyFill="1" applyBorder="1" applyAlignment="1">
      <alignment horizontal="center"/>
    </xf>
    <xf numFmtId="0" fontId="18" fillId="2" borderId="151" xfId="0" applyFont="1" applyFill="1" applyBorder="1" applyAlignment="1">
      <alignment horizontal="center"/>
    </xf>
    <xf numFmtId="2" fontId="12" fillId="2" borderId="152" xfId="0" applyNumberFormat="1" applyFont="1" applyFill="1" applyBorder="1" applyAlignment="1">
      <alignment horizontal="center"/>
    </xf>
    <xf numFmtId="0" fontId="18" fillId="2" borderId="149" xfId="0" applyFont="1" applyFill="1" applyBorder="1" applyAlignment="1">
      <alignment horizontal="center"/>
    </xf>
    <xf numFmtId="0" fontId="29" fillId="2" borderId="149" xfId="0" applyFont="1" applyFill="1" applyBorder="1" applyAlignment="1">
      <alignment horizontal="center"/>
    </xf>
    <xf numFmtId="4" fontId="18" fillId="2" borderId="153" xfId="0" applyNumberFormat="1" applyFont="1" applyFill="1" applyBorder="1"/>
    <xf numFmtId="4" fontId="12" fillId="2" borderId="154" xfId="0" applyNumberFormat="1" applyFont="1" applyFill="1" applyBorder="1"/>
    <xf numFmtId="2" fontId="26" fillId="2" borderId="155" xfId="0" applyNumberFormat="1" applyFont="1" applyFill="1" applyBorder="1"/>
    <xf numFmtId="4" fontId="18" fillId="2" borderId="41" xfId="0" applyNumberFormat="1" applyFont="1" applyFill="1" applyBorder="1"/>
    <xf numFmtId="0" fontId="11" fillId="2" borderId="0" xfId="0" applyFont="1" applyFill="1" applyBorder="1"/>
    <xf numFmtId="0" fontId="11" fillId="2" borderId="7" xfId="0" applyFont="1" applyFill="1" applyBorder="1"/>
    <xf numFmtId="0" fontId="11" fillId="2" borderId="8" xfId="0" applyFont="1" applyFill="1" applyBorder="1"/>
    <xf numFmtId="0" fontId="11" fillId="2" borderId="9" xfId="0" applyFont="1" applyFill="1" applyBorder="1"/>
    <xf numFmtId="0" fontId="11" fillId="2" borderId="10" xfId="0" applyFont="1" applyFill="1" applyBorder="1"/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11" xfId="0" applyFont="1" applyFill="1" applyBorder="1"/>
    <xf numFmtId="0" fontId="11" fillId="2" borderId="12" xfId="0" applyFont="1" applyFill="1" applyBorder="1"/>
    <xf numFmtId="164" fontId="11" fillId="2" borderId="12" xfId="0" applyNumberFormat="1" applyFont="1" applyFill="1" applyBorder="1" applyAlignment="1">
      <alignment horizontal="center"/>
    </xf>
    <xf numFmtId="0" fontId="11" fillId="2" borderId="13" xfId="0" applyFont="1" applyFill="1" applyBorder="1"/>
    <xf numFmtId="164" fontId="11" fillId="2" borderId="0" xfId="0" applyNumberFormat="1" applyFont="1" applyFill="1" applyAlignment="1">
      <alignment horizontal="center"/>
    </xf>
    <xf numFmtId="0" fontId="21" fillId="3" borderId="28" xfId="0" applyFont="1" applyFill="1" applyBorder="1" applyAlignment="1">
      <alignment horizontal="center" vertical="center"/>
    </xf>
    <xf numFmtId="0" fontId="27" fillId="3" borderId="28" xfId="0" applyFont="1" applyFill="1" applyBorder="1" applyAlignment="1">
      <alignment horizontal="center" vertical="center"/>
    </xf>
    <xf numFmtId="4" fontId="21" fillId="3" borderId="31" xfId="0" applyNumberFormat="1" applyFont="1" applyFill="1" applyBorder="1" applyAlignment="1">
      <alignment horizontal="left" vertical="center"/>
    </xf>
    <xf numFmtId="0" fontId="12" fillId="3" borderId="32" xfId="0" applyFont="1" applyFill="1" applyBorder="1" applyAlignment="1">
      <alignment horizontal="left" vertical="center"/>
    </xf>
    <xf numFmtId="4" fontId="21" fillId="3" borderId="32" xfId="0" applyNumberFormat="1" applyFont="1" applyFill="1" applyBorder="1" applyAlignment="1">
      <alignment horizontal="right" vertical="center"/>
    </xf>
    <xf numFmtId="0" fontId="21" fillId="3" borderId="32" xfId="0" applyFont="1" applyFill="1" applyBorder="1" applyAlignment="1">
      <alignment horizontal="left" vertical="center"/>
    </xf>
    <xf numFmtId="0" fontId="21" fillId="3" borderId="29" xfId="0" applyFont="1" applyFill="1" applyBorder="1" applyAlignment="1">
      <alignment horizontal="center" vertical="center"/>
    </xf>
    <xf numFmtId="0" fontId="27" fillId="3" borderId="29" xfId="0" applyFont="1" applyFill="1" applyBorder="1" applyAlignment="1">
      <alignment horizontal="center" vertical="center"/>
    </xf>
    <xf numFmtId="0" fontId="22" fillId="3" borderId="34" xfId="0" applyFont="1" applyFill="1" applyBorder="1" applyAlignment="1">
      <alignment horizontal="left"/>
    </xf>
    <xf numFmtId="0" fontId="22" fillId="3" borderId="21" xfId="0" applyFont="1" applyFill="1" applyBorder="1" applyAlignment="1">
      <alignment horizontal="left"/>
    </xf>
    <xf numFmtId="0" fontId="22" fillId="3" borderId="35" xfId="0" applyFont="1" applyFill="1" applyBorder="1" applyAlignment="1">
      <alignment horizontal="left"/>
    </xf>
    <xf numFmtId="0" fontId="21" fillId="3" borderId="30" xfId="0" applyFont="1" applyFill="1" applyBorder="1" applyAlignment="1">
      <alignment horizontal="center" vertical="center"/>
    </xf>
    <xf numFmtId="0" fontId="26" fillId="2" borderId="161" xfId="0" applyFont="1" applyFill="1" applyBorder="1"/>
    <xf numFmtId="0" fontId="26" fillId="2" borderId="162" xfId="0" applyFont="1" applyFill="1" applyBorder="1"/>
    <xf numFmtId="0" fontId="18" fillId="2" borderId="163" xfId="0" applyFont="1" applyFill="1" applyBorder="1" applyAlignment="1">
      <alignment horizontal="left"/>
    </xf>
    <xf numFmtId="0" fontId="15" fillId="2" borderId="164" xfId="0" applyFont="1" applyFill="1" applyBorder="1" applyAlignment="1">
      <alignment horizontal="left"/>
    </xf>
    <xf numFmtId="0" fontId="12" fillId="2" borderId="163" xfId="0" applyFont="1" applyFill="1" applyBorder="1"/>
    <xf numFmtId="0" fontId="18" fillId="2" borderId="165" xfId="0" applyFont="1" applyFill="1" applyBorder="1" applyAlignment="1">
      <alignment horizontal="left"/>
    </xf>
    <xf numFmtId="0" fontId="30" fillId="2" borderId="163" xfId="0" applyFont="1" applyFill="1" applyBorder="1"/>
    <xf numFmtId="0" fontId="26" fillId="2" borderId="166" xfId="0" applyFont="1" applyFill="1" applyBorder="1"/>
    <xf numFmtId="0" fontId="26" fillId="2" borderId="167" xfId="0" applyFont="1" applyFill="1" applyBorder="1"/>
    <xf numFmtId="4" fontId="15" fillId="2" borderId="168" xfId="0" applyNumberFormat="1" applyFont="1" applyFill="1" applyBorder="1" applyAlignment="1">
      <alignment horizontal="center"/>
    </xf>
    <xf numFmtId="0" fontId="29" fillId="2" borderId="169" xfId="0" applyFont="1" applyFill="1" applyBorder="1" applyAlignment="1">
      <alignment horizontal="center"/>
    </xf>
    <xf numFmtId="4" fontId="26" fillId="2" borderId="170" xfId="0" applyNumberFormat="1" applyFont="1" applyFill="1" applyBorder="1"/>
    <xf numFmtId="4" fontId="15" fillId="2" borderId="171" xfId="0" applyNumberFormat="1" applyFont="1" applyFill="1" applyBorder="1"/>
    <xf numFmtId="4" fontId="12" fillId="2" borderId="172" xfId="0" applyNumberFormat="1" applyFont="1" applyFill="1" applyBorder="1"/>
    <xf numFmtId="4" fontId="18" fillId="2" borderId="173" xfId="0" applyNumberFormat="1" applyFont="1" applyFill="1" applyBorder="1"/>
    <xf numFmtId="4" fontId="12" fillId="2" borderId="174" xfId="0" applyNumberFormat="1" applyFont="1" applyFill="1" applyBorder="1"/>
    <xf numFmtId="0" fontId="18" fillId="2" borderId="175" xfId="0" applyFont="1" applyFill="1" applyBorder="1" applyAlignment="1">
      <alignment horizontal="left"/>
    </xf>
    <xf numFmtId="0" fontId="29" fillId="2" borderId="176" xfId="0" applyFont="1" applyFill="1" applyBorder="1" applyAlignment="1">
      <alignment horizontal="left"/>
    </xf>
    <xf numFmtId="4" fontId="18" fillId="2" borderId="160" xfId="0" applyNumberFormat="1" applyFont="1" applyFill="1" applyBorder="1"/>
    <xf numFmtId="0" fontId="11" fillId="2" borderId="0" xfId="0" applyFont="1" applyFill="1" applyBorder="1" applyAlignment="1"/>
    <xf numFmtId="0" fontId="26" fillId="2" borderId="12" xfId="0" applyFont="1" applyFill="1" applyBorder="1" applyAlignment="1">
      <alignment horizontal="left"/>
    </xf>
    <xf numFmtId="0" fontId="15" fillId="3" borderId="71" xfId="0" applyFont="1" applyFill="1" applyBorder="1" applyAlignment="1">
      <alignment horizontal="center" vertical="center"/>
    </xf>
    <xf numFmtId="0" fontId="15" fillId="3" borderId="87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left"/>
    </xf>
    <xf numFmtId="0" fontId="10" fillId="2" borderId="0" xfId="0" applyFont="1" applyFill="1"/>
    <xf numFmtId="4" fontId="15" fillId="3" borderId="91" xfId="0" applyNumberFormat="1" applyFont="1" applyFill="1" applyBorder="1" applyAlignment="1">
      <alignment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6" fillId="0" borderId="8" xfId="0" applyFont="1" applyFill="1" applyBorder="1" applyAlignment="1" applyProtection="1">
      <alignment horizontal="left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15" fillId="0" borderId="0" xfId="0" applyFont="1" applyFill="1" applyBorder="1" applyAlignment="1" applyProtection="1">
      <alignment horizontal="left"/>
      <protection locked="0"/>
    </xf>
    <xf numFmtId="0" fontId="26" fillId="0" borderId="0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10" fillId="0" borderId="9" xfId="0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 applyProtection="1">
      <alignment horizontal="left"/>
      <protection locked="0"/>
    </xf>
    <xf numFmtId="0" fontId="18" fillId="0" borderId="9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8" fillId="0" borderId="10" xfId="0" applyFont="1" applyFill="1" applyBorder="1" applyAlignment="1" applyProtection="1">
      <alignment horizontal="left" vertical="center"/>
      <protection locked="0"/>
    </xf>
    <xf numFmtId="0" fontId="27" fillId="0" borderId="9" xfId="0" applyFont="1" applyFill="1" applyBorder="1" applyAlignment="1" applyProtection="1">
      <alignment horizontal="left"/>
      <protection locked="0"/>
    </xf>
    <xf numFmtId="0" fontId="27" fillId="0" borderId="0" xfId="0" applyFont="1" applyFill="1" applyBorder="1" applyAlignment="1" applyProtection="1">
      <alignment horizontal="left"/>
      <protection locked="0"/>
    </xf>
    <xf numFmtId="0" fontId="27" fillId="0" borderId="10" xfId="0" applyFont="1" applyFill="1" applyBorder="1" applyAlignment="1" applyProtection="1">
      <alignment horizontal="left"/>
      <protection locked="0"/>
    </xf>
    <xf numFmtId="0" fontId="26" fillId="0" borderId="9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26" fillId="0" borderId="10" xfId="0" applyFont="1" applyFill="1" applyBorder="1" applyAlignment="1" applyProtection="1">
      <alignment horizontal="left" vertical="center"/>
      <protection locked="0"/>
    </xf>
    <xf numFmtId="0" fontId="26" fillId="0" borderId="11" xfId="0" applyFont="1" applyFill="1" applyBorder="1" applyAlignment="1" applyProtection="1">
      <alignment horizontal="left"/>
      <protection locked="0"/>
    </xf>
    <xf numFmtId="0" fontId="26" fillId="0" borderId="12" xfId="0" applyFont="1" applyFill="1" applyBorder="1" applyAlignment="1" applyProtection="1">
      <alignment horizontal="left"/>
      <protection locked="0"/>
    </xf>
    <xf numFmtId="0" fontId="26" fillId="0" borderId="13" xfId="0" applyFont="1" applyFill="1" applyBorder="1" applyAlignment="1" applyProtection="1">
      <alignment horizontal="left"/>
      <protection locked="0"/>
    </xf>
    <xf numFmtId="0" fontId="23" fillId="0" borderId="177" xfId="0" applyFont="1" applyBorder="1" applyAlignment="1" applyProtection="1">
      <alignment horizontal="left"/>
      <protection locked="0"/>
    </xf>
    <xf numFmtId="0" fontId="23" fillId="0" borderId="178" xfId="0" applyFont="1" applyBorder="1" applyAlignment="1" applyProtection="1">
      <alignment horizontal="left"/>
      <protection locked="0"/>
    </xf>
    <xf numFmtId="0" fontId="23" fillId="0" borderId="179" xfId="0" applyFont="1" applyBorder="1" applyAlignment="1" applyProtection="1">
      <alignment horizontal="left"/>
      <protection locked="0"/>
    </xf>
    <xf numFmtId="0" fontId="23" fillId="0" borderId="180" xfId="0" applyFont="1" applyBorder="1" applyAlignment="1" applyProtection="1">
      <alignment horizontal="left"/>
      <protection locked="0"/>
    </xf>
    <xf numFmtId="0" fontId="23" fillId="0" borderId="181" xfId="0" applyFont="1" applyBorder="1" applyAlignment="1" applyProtection="1">
      <alignment horizontal="left"/>
      <protection locked="0"/>
    </xf>
    <xf numFmtId="0" fontId="23" fillId="0" borderId="182" xfId="0" applyFont="1" applyBorder="1" applyAlignment="1" applyProtection="1">
      <alignment horizontal="left"/>
      <protection locked="0"/>
    </xf>
    <xf numFmtId="0" fontId="23" fillId="0" borderId="183" xfId="0" applyFont="1" applyBorder="1" applyAlignment="1" applyProtection="1">
      <alignment horizontal="left"/>
      <protection locked="0"/>
    </xf>
    <xf numFmtId="0" fontId="45" fillId="0" borderId="0" xfId="0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left"/>
      <protection locked="0"/>
    </xf>
    <xf numFmtId="0" fontId="23" fillId="0" borderId="184" xfId="0" applyFont="1" applyBorder="1" applyAlignment="1" applyProtection="1">
      <alignment horizontal="left"/>
      <protection locked="0"/>
    </xf>
    <xf numFmtId="0" fontId="16" fillId="2" borderId="3" xfId="0" applyFont="1" applyFill="1" applyBorder="1" applyProtection="1">
      <protection locked="0"/>
    </xf>
    <xf numFmtId="164" fontId="22" fillId="2" borderId="4" xfId="0" applyNumberFormat="1" applyFont="1" applyFill="1" applyBorder="1" applyAlignment="1" applyProtection="1">
      <alignment horizontal="center"/>
      <protection locked="0"/>
    </xf>
    <xf numFmtId="164" fontId="22" fillId="2" borderId="5" xfId="0" applyNumberFormat="1" applyFont="1" applyFill="1" applyBorder="1" applyAlignment="1" applyProtection="1">
      <alignment horizontal="center"/>
      <protection locked="0"/>
    </xf>
    <xf numFmtId="164" fontId="22" fillId="2" borderId="2" xfId="0" applyNumberFormat="1" applyFont="1" applyFill="1" applyBorder="1" applyAlignment="1" applyProtection="1">
      <alignment horizontal="center"/>
      <protection locked="0"/>
    </xf>
    <xf numFmtId="0" fontId="26" fillId="2" borderId="4" xfId="0" applyFont="1" applyFill="1" applyBorder="1" applyProtection="1">
      <protection locked="0"/>
    </xf>
    <xf numFmtId="3" fontId="26" fillId="2" borderId="4" xfId="0" applyNumberFormat="1" applyFont="1" applyFill="1" applyBorder="1" applyProtection="1">
      <protection locked="0"/>
    </xf>
    <xf numFmtId="4" fontId="26" fillId="2" borderId="4" xfId="0" applyNumberFormat="1" applyFont="1" applyFill="1" applyBorder="1" applyProtection="1">
      <protection locked="0"/>
    </xf>
    <xf numFmtId="0" fontId="26" fillId="2" borderId="5" xfId="0" applyFont="1" applyFill="1" applyBorder="1" applyProtection="1">
      <protection locked="0"/>
    </xf>
    <xf numFmtId="3" fontId="26" fillId="2" borderId="5" xfId="0" applyNumberFormat="1" applyFont="1" applyFill="1" applyBorder="1" applyProtection="1">
      <protection locked="0"/>
    </xf>
    <xf numFmtId="4" fontId="26" fillId="2" borderId="5" xfId="0" applyNumberFormat="1" applyFont="1" applyFill="1" applyBorder="1" applyProtection="1">
      <protection locked="0"/>
    </xf>
    <xf numFmtId="4" fontId="12" fillId="2" borderId="44" xfId="0" applyNumberFormat="1" applyFont="1" applyFill="1" applyBorder="1" applyProtection="1">
      <protection locked="0"/>
    </xf>
    <xf numFmtId="4" fontId="12" fillId="2" borderId="45" xfId="0" applyNumberFormat="1" applyFont="1" applyFill="1" applyBorder="1" applyProtection="1">
      <protection locked="0"/>
    </xf>
    <xf numFmtId="4" fontId="15" fillId="2" borderId="43" xfId="0" applyNumberFormat="1" applyFont="1" applyFill="1" applyBorder="1" applyProtection="1">
      <protection locked="0"/>
    </xf>
    <xf numFmtId="4" fontId="12" fillId="2" borderId="154" xfId="0" applyNumberFormat="1" applyFont="1" applyFill="1" applyBorder="1" applyProtection="1">
      <protection locked="0"/>
    </xf>
    <xf numFmtId="4" fontId="12" fillId="2" borderId="36" xfId="0" applyNumberFormat="1" applyFont="1" applyFill="1" applyBorder="1" applyProtection="1">
      <protection locked="0"/>
    </xf>
    <xf numFmtId="4" fontId="12" fillId="2" borderId="133" xfId="0" applyNumberFormat="1" applyFont="1" applyFill="1" applyBorder="1" applyProtection="1">
      <protection locked="0"/>
    </xf>
    <xf numFmtId="4" fontId="12" fillId="2" borderId="141" xfId="0" applyNumberFormat="1" applyFont="1" applyFill="1" applyBorder="1" applyProtection="1">
      <protection locked="0"/>
    </xf>
    <xf numFmtId="4" fontId="12" fillId="2" borderId="37" xfId="0" applyNumberFormat="1" applyFont="1" applyFill="1" applyBorder="1" applyProtection="1">
      <protection locked="0"/>
    </xf>
    <xf numFmtId="4" fontId="12" fillId="2" borderId="134" xfId="0" applyNumberFormat="1" applyFont="1" applyFill="1" applyBorder="1" applyProtection="1">
      <protection locked="0"/>
    </xf>
    <xf numFmtId="4" fontId="12" fillId="2" borderId="143" xfId="0" applyNumberFormat="1" applyFont="1" applyFill="1" applyBorder="1" applyProtection="1">
      <protection locked="0"/>
    </xf>
    <xf numFmtId="4" fontId="15" fillId="2" borderId="30" xfId="0" applyNumberFormat="1" applyFont="1" applyFill="1" applyBorder="1" applyProtection="1">
      <protection locked="0"/>
    </xf>
    <xf numFmtId="4" fontId="15" fillId="2" borderId="132" xfId="0" applyNumberFormat="1" applyFont="1" applyFill="1" applyBorder="1" applyProtection="1">
      <protection locked="0"/>
    </xf>
    <xf numFmtId="4" fontId="15" fillId="2" borderId="139" xfId="0" applyNumberFormat="1" applyFont="1" applyFill="1" applyBorder="1" applyProtection="1">
      <protection locked="0"/>
    </xf>
    <xf numFmtId="4" fontId="12" fillId="2" borderId="146" xfId="0" applyNumberFormat="1" applyFont="1" applyFill="1" applyBorder="1" applyProtection="1">
      <protection locked="0"/>
    </xf>
    <xf numFmtId="4" fontId="12" fillId="2" borderId="147" xfId="0" applyNumberFormat="1" applyFont="1" applyFill="1" applyBorder="1" applyProtection="1">
      <protection locked="0"/>
    </xf>
    <xf numFmtId="4" fontId="12" fillId="2" borderId="148" xfId="0" applyNumberFormat="1" applyFont="1" applyFill="1" applyBorder="1" applyProtection="1">
      <protection locked="0"/>
    </xf>
    <xf numFmtId="4" fontId="12" fillId="2" borderId="52" xfId="0" applyNumberFormat="1" applyFont="1" applyFill="1" applyBorder="1" applyProtection="1">
      <protection locked="0"/>
    </xf>
    <xf numFmtId="4" fontId="12" fillId="2" borderId="54" xfId="0" applyNumberFormat="1" applyFont="1" applyFill="1" applyBorder="1" applyProtection="1">
      <protection locked="0"/>
    </xf>
    <xf numFmtId="4" fontId="15" fillId="2" borderId="50" xfId="0" applyNumberFormat="1" applyFont="1" applyFill="1" applyBorder="1" applyProtection="1">
      <protection locked="0"/>
    </xf>
    <xf numFmtId="4" fontId="30" fillId="2" borderId="42" xfId="0" applyNumberFormat="1" applyFont="1" applyFill="1" applyBorder="1" applyProtection="1">
      <protection locked="0"/>
    </xf>
    <xf numFmtId="4" fontId="30" fillId="2" borderId="49" xfId="0" applyNumberFormat="1" applyFont="1" applyFill="1" applyBorder="1" applyProtection="1">
      <protection locked="0"/>
    </xf>
    <xf numFmtId="4" fontId="12" fillId="2" borderId="172" xfId="0" applyNumberFormat="1" applyFont="1" applyFill="1" applyBorder="1" applyProtection="1">
      <protection locked="0"/>
    </xf>
    <xf numFmtId="4" fontId="30" fillId="2" borderId="170" xfId="0" applyNumberFormat="1" applyFont="1" applyFill="1" applyBorder="1" applyProtection="1">
      <protection locked="0"/>
    </xf>
    <xf numFmtId="4" fontId="18" fillId="2" borderId="160" xfId="0" applyNumberFormat="1" applyFont="1" applyFill="1" applyBorder="1" applyProtection="1">
      <protection locked="0"/>
    </xf>
    <xf numFmtId="0" fontId="12" fillId="2" borderId="36" xfId="0" applyFont="1" applyFill="1" applyBorder="1" applyAlignment="1" applyProtection="1">
      <alignment horizontal="center" vertical="center"/>
      <protection locked="0"/>
    </xf>
    <xf numFmtId="0" fontId="12" fillId="2" borderId="36" xfId="0" applyFont="1" applyFill="1" applyBorder="1" applyAlignment="1" applyProtection="1">
      <alignment vertical="center"/>
      <protection locked="0"/>
    </xf>
    <xf numFmtId="3" fontId="12" fillId="2" borderId="36" xfId="0" applyNumberFormat="1" applyFont="1" applyFill="1" applyBorder="1" applyAlignment="1" applyProtection="1">
      <alignment horizontal="center" vertical="center"/>
      <protection locked="0"/>
    </xf>
    <xf numFmtId="4" fontId="12" fillId="2" borderId="36" xfId="0" applyNumberFormat="1" applyFont="1" applyFill="1" applyBorder="1" applyAlignment="1" applyProtection="1">
      <alignment vertical="center"/>
      <protection locked="0"/>
    </xf>
    <xf numFmtId="0" fontId="12" fillId="2" borderId="37" xfId="0" applyFont="1" applyFill="1" applyBorder="1" applyAlignment="1" applyProtection="1">
      <alignment horizontal="center" vertical="center"/>
      <protection locked="0"/>
    </xf>
    <xf numFmtId="0" fontId="12" fillId="2" borderId="37" xfId="0" applyFont="1" applyFill="1" applyBorder="1" applyAlignment="1" applyProtection="1">
      <alignment vertical="center"/>
      <protection locked="0"/>
    </xf>
    <xf numFmtId="3" fontId="12" fillId="2" borderId="37" xfId="0" applyNumberFormat="1" applyFont="1" applyFill="1" applyBorder="1" applyAlignment="1" applyProtection="1">
      <alignment horizontal="center" vertical="center"/>
      <protection locked="0"/>
    </xf>
    <xf numFmtId="4" fontId="12" fillId="2" borderId="37" xfId="0" applyNumberFormat="1" applyFont="1" applyFill="1" applyBorder="1" applyAlignment="1" applyProtection="1">
      <alignment vertical="center"/>
      <protection locked="0"/>
    </xf>
    <xf numFmtId="4" fontId="15" fillId="2" borderId="77" xfId="0" applyNumberFormat="1" applyFont="1" applyFill="1" applyBorder="1" applyAlignment="1" applyProtection="1">
      <alignment vertical="center"/>
      <protection locked="0"/>
    </xf>
    <xf numFmtId="4" fontId="11" fillId="2" borderId="81" xfId="0" applyNumberFormat="1" applyFont="1" applyFill="1" applyBorder="1" applyAlignment="1" applyProtection="1">
      <alignment vertical="center"/>
      <protection locked="0"/>
    </xf>
    <xf numFmtId="4" fontId="11" fillId="2" borderId="82" xfId="0" applyNumberFormat="1" applyFont="1" applyFill="1" applyBorder="1" applyAlignment="1" applyProtection="1">
      <alignment vertical="center"/>
      <protection locked="0"/>
    </xf>
    <xf numFmtId="4" fontId="11" fillId="2" borderId="83" xfId="0" applyNumberFormat="1" applyFont="1" applyFill="1" applyBorder="1" applyAlignment="1" applyProtection="1">
      <alignment vertical="center"/>
      <protection locked="0"/>
    </xf>
    <xf numFmtId="4" fontId="15" fillId="2" borderId="78" xfId="0" applyNumberFormat="1" applyFont="1" applyFill="1" applyBorder="1" applyAlignment="1" applyProtection="1">
      <alignment vertical="center"/>
      <protection locked="0"/>
    </xf>
    <xf numFmtId="4" fontId="11" fillId="2" borderId="84" xfId="0" applyNumberFormat="1" applyFont="1" applyFill="1" applyBorder="1" applyAlignment="1" applyProtection="1">
      <alignment vertical="center"/>
      <protection locked="0"/>
    </xf>
    <xf numFmtId="4" fontId="11" fillId="2" borderId="85" xfId="0" applyNumberFormat="1" applyFont="1" applyFill="1" applyBorder="1" applyAlignment="1" applyProtection="1">
      <alignment vertical="center"/>
      <protection locked="0"/>
    </xf>
    <xf numFmtId="4" fontId="11" fillId="2" borderId="86" xfId="0" applyNumberFormat="1" applyFont="1" applyFill="1" applyBorder="1" applyAlignment="1" applyProtection="1">
      <alignment vertical="center"/>
      <protection locked="0"/>
    </xf>
    <xf numFmtId="4" fontId="15" fillId="2" borderId="79" xfId="0" applyNumberFormat="1" applyFont="1" applyFill="1" applyBorder="1" applyAlignment="1" applyProtection="1">
      <alignment vertical="center"/>
      <protection locked="0"/>
    </xf>
    <xf numFmtId="4" fontId="11" fillId="2" borderId="87" xfId="0" applyNumberFormat="1" applyFont="1" applyFill="1" applyBorder="1" applyAlignment="1" applyProtection="1">
      <alignment vertical="center"/>
      <protection locked="0"/>
    </xf>
    <xf numFmtId="4" fontId="11" fillId="2" borderId="88" xfId="0" applyNumberFormat="1" applyFont="1" applyFill="1" applyBorder="1" applyAlignment="1" applyProtection="1">
      <alignment vertical="center"/>
      <protection locked="0"/>
    </xf>
    <xf numFmtId="4" fontId="11" fillId="2" borderId="89" xfId="0" applyNumberFormat="1" applyFont="1" applyFill="1" applyBorder="1" applyAlignment="1" applyProtection="1">
      <alignment vertical="center"/>
      <protection locked="0"/>
    </xf>
    <xf numFmtId="4" fontId="11" fillId="2" borderId="102" xfId="0" applyNumberFormat="1" applyFont="1" applyFill="1" applyBorder="1" applyAlignment="1" applyProtection="1">
      <alignment vertical="center"/>
      <protection locked="0"/>
    </xf>
    <xf numFmtId="4" fontId="11" fillId="2" borderId="103" xfId="0" applyNumberFormat="1" applyFont="1" applyFill="1" applyBorder="1" applyAlignment="1" applyProtection="1">
      <alignment vertical="center"/>
      <protection locked="0"/>
    </xf>
    <xf numFmtId="4" fontId="11" fillId="2" borderId="96" xfId="0" applyNumberFormat="1" applyFont="1" applyFill="1" applyBorder="1" applyAlignment="1" applyProtection="1">
      <alignment vertical="center"/>
      <protection locked="0"/>
    </xf>
    <xf numFmtId="4" fontId="11" fillId="2" borderId="97" xfId="0" applyNumberFormat="1" applyFont="1" applyFill="1" applyBorder="1" applyAlignment="1" applyProtection="1">
      <alignment vertical="center"/>
      <protection locked="0"/>
    </xf>
    <xf numFmtId="0" fontId="11" fillId="2" borderId="69" xfId="0" applyFont="1" applyFill="1" applyBorder="1" applyAlignment="1" applyProtection="1">
      <alignment horizontal="left" vertical="center"/>
      <protection locked="0"/>
    </xf>
    <xf numFmtId="0" fontId="11" fillId="2" borderId="71" xfId="0" applyFont="1" applyFill="1" applyBorder="1" applyAlignment="1" applyProtection="1">
      <alignment horizontal="left" vertical="center"/>
      <protection locked="0"/>
    </xf>
    <xf numFmtId="4" fontId="11" fillId="2" borderId="68" xfId="0" applyNumberFormat="1" applyFont="1" applyFill="1" applyBorder="1" applyAlignment="1" applyProtection="1">
      <alignment horizontal="left" vertical="center"/>
      <protection locked="0"/>
    </xf>
    <xf numFmtId="4" fontId="11" fillId="2" borderId="98" xfId="0" applyNumberFormat="1" applyFont="1" applyFill="1" applyBorder="1" applyAlignment="1" applyProtection="1">
      <alignment horizontal="left" vertical="center"/>
      <protection locked="0"/>
    </xf>
    <xf numFmtId="10" fontId="10" fillId="2" borderId="104" xfId="131" applyNumberFormat="1" applyFont="1" applyFill="1" applyBorder="1" applyAlignment="1" applyProtection="1">
      <alignment vertical="center"/>
      <protection locked="0"/>
    </xf>
    <xf numFmtId="4" fontId="10" fillId="2" borderId="104" xfId="0" applyNumberFormat="1" applyFont="1" applyFill="1" applyBorder="1" applyAlignment="1" applyProtection="1">
      <alignment vertical="center"/>
      <protection locked="0"/>
    </xf>
    <xf numFmtId="10" fontId="10" fillId="2" borderId="68" xfId="131" applyNumberFormat="1" applyFont="1" applyFill="1" applyBorder="1" applyAlignment="1" applyProtection="1">
      <alignment vertical="center"/>
      <protection locked="0"/>
    </xf>
    <xf numFmtId="4" fontId="10" fillId="2" borderId="68" xfId="0" applyNumberFormat="1" applyFont="1" applyFill="1" applyBorder="1" applyAlignment="1" applyProtection="1">
      <alignment vertical="center"/>
      <protection locked="0"/>
    </xf>
    <xf numFmtId="10" fontId="10" fillId="2" borderId="98" xfId="131" applyNumberFormat="1" applyFont="1" applyFill="1" applyBorder="1" applyAlignment="1" applyProtection="1">
      <alignment vertical="center"/>
      <protection locked="0"/>
    </xf>
    <xf numFmtId="4" fontId="10" fillId="2" borderId="98" xfId="0" applyNumberFormat="1" applyFont="1" applyFill="1" applyBorder="1" applyAlignment="1" applyProtection="1">
      <alignment vertical="center"/>
      <protection locked="0"/>
    </xf>
    <xf numFmtId="10" fontId="10" fillId="2" borderId="71" xfId="131" applyNumberFormat="1" applyFont="1" applyFill="1" applyBorder="1" applyAlignment="1" applyProtection="1">
      <alignment vertical="center"/>
      <protection locked="0"/>
    </xf>
    <xf numFmtId="4" fontId="10" fillId="2" borderId="71" xfId="0" applyNumberFormat="1" applyFont="1" applyFill="1" applyBorder="1" applyAlignment="1" applyProtection="1">
      <alignment vertical="center"/>
      <protection locked="0"/>
    </xf>
    <xf numFmtId="10" fontId="15" fillId="2" borderId="75" xfId="131" applyNumberFormat="1" applyFont="1" applyFill="1" applyBorder="1" applyAlignment="1">
      <alignment vertical="center"/>
    </xf>
    <xf numFmtId="4" fontId="15" fillId="2" borderId="15" xfId="0" applyNumberFormat="1" applyFont="1" applyFill="1" applyBorder="1" applyAlignment="1" applyProtection="1">
      <alignment vertical="center"/>
      <protection locked="0"/>
    </xf>
    <xf numFmtId="4" fontId="15" fillId="2" borderId="105" xfId="0" applyNumberFormat="1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horizontal="left"/>
      <protection locked="0"/>
    </xf>
    <xf numFmtId="4" fontId="11" fillId="2" borderId="77" xfId="0" applyNumberFormat="1" applyFont="1" applyFill="1" applyBorder="1" applyAlignment="1" applyProtection="1">
      <alignment vertical="center"/>
      <protection locked="0"/>
    </xf>
    <xf numFmtId="4" fontId="11" fillId="2" borderId="65" xfId="0" applyNumberFormat="1" applyFont="1" applyFill="1" applyBorder="1" applyAlignment="1" applyProtection="1">
      <alignment horizontal="left" vertical="center"/>
      <protection locked="0"/>
    </xf>
    <xf numFmtId="4" fontId="11" fillId="2" borderId="101" xfId="0" applyNumberFormat="1" applyFont="1" applyFill="1" applyBorder="1" applyAlignment="1" applyProtection="1">
      <alignment vertical="center"/>
      <protection locked="0"/>
    </xf>
    <xf numFmtId="4" fontId="11" fillId="2" borderId="78" xfId="0" applyNumberFormat="1" applyFont="1" applyFill="1" applyBorder="1" applyAlignment="1" applyProtection="1">
      <alignment vertical="center"/>
      <protection locked="0"/>
    </xf>
    <xf numFmtId="4" fontId="11" fillId="2" borderId="95" xfId="0" applyNumberFormat="1" applyFont="1" applyFill="1" applyBorder="1" applyAlignment="1" applyProtection="1">
      <alignment vertical="center"/>
      <protection locked="0"/>
    </xf>
    <xf numFmtId="4" fontId="11" fillId="2" borderId="79" xfId="0" applyNumberFormat="1" applyFont="1" applyFill="1" applyBorder="1" applyAlignment="1" applyProtection="1">
      <alignment vertical="center"/>
      <protection locked="0"/>
    </xf>
    <xf numFmtId="0" fontId="11" fillId="2" borderId="100" xfId="0" applyFont="1" applyFill="1" applyBorder="1" applyAlignment="1" applyProtection="1">
      <alignment horizontal="left" vertical="center"/>
      <protection locked="0"/>
    </xf>
    <xf numFmtId="0" fontId="11" fillId="2" borderId="67" xfId="0" applyFont="1" applyFill="1" applyBorder="1" applyAlignment="1" applyProtection="1">
      <alignment horizontal="left" vertical="center"/>
      <protection locked="0"/>
    </xf>
    <xf numFmtId="0" fontId="11" fillId="2" borderId="70" xfId="0" applyFont="1" applyFill="1" applyBorder="1" applyAlignment="1" applyProtection="1">
      <alignment horizontal="left" vertical="center"/>
      <protection locked="0"/>
    </xf>
    <xf numFmtId="0" fontId="15" fillId="2" borderId="18" xfId="0" applyFont="1" applyFill="1" applyBorder="1" applyAlignment="1">
      <alignment horizontal="left" vertical="center"/>
    </xf>
    <xf numFmtId="4" fontId="11" fillId="2" borderId="63" xfId="0" applyNumberFormat="1" applyFont="1" applyFill="1" applyBorder="1" applyAlignment="1" applyProtection="1">
      <alignment vertical="center"/>
      <protection locked="0"/>
    </xf>
    <xf numFmtId="4" fontId="11" fillId="2" borderId="66" xfId="0" applyNumberFormat="1" applyFont="1" applyFill="1" applyBorder="1" applyAlignment="1" applyProtection="1">
      <alignment vertical="center"/>
      <protection locked="0"/>
    </xf>
    <xf numFmtId="0" fontId="11" fillId="2" borderId="101" xfId="0" applyFont="1" applyFill="1" applyBorder="1" applyAlignment="1" applyProtection="1">
      <alignment horizontal="left" vertical="center"/>
      <protection locked="0"/>
    </xf>
    <xf numFmtId="0" fontId="11" fillId="2" borderId="78" xfId="0" applyFont="1" applyFill="1" applyBorder="1" applyAlignment="1" applyProtection="1">
      <alignment horizontal="left" vertical="center"/>
      <protection locked="0"/>
    </xf>
    <xf numFmtId="0" fontId="11" fillId="2" borderId="79" xfId="0" applyFont="1" applyFill="1" applyBorder="1" applyAlignment="1" applyProtection="1">
      <alignment horizontal="left" vertical="center"/>
      <protection locked="0"/>
    </xf>
    <xf numFmtId="0" fontId="21" fillId="3" borderId="76" xfId="0" applyFont="1" applyFill="1" applyBorder="1" applyAlignment="1">
      <alignment horizontal="center" vertical="center"/>
    </xf>
    <xf numFmtId="4" fontId="15" fillId="2" borderId="72" xfId="0" applyNumberFormat="1" applyFont="1" applyFill="1" applyBorder="1" applyAlignment="1" applyProtection="1">
      <alignment vertical="center"/>
      <protection locked="0"/>
    </xf>
    <xf numFmtId="4" fontId="15" fillId="2" borderId="115" xfId="0" applyNumberFormat="1" applyFont="1" applyFill="1" applyBorder="1" applyAlignment="1" applyProtection="1">
      <alignment vertical="center"/>
      <protection locked="0"/>
    </xf>
    <xf numFmtId="4" fontId="15" fillId="2" borderId="91" xfId="0" applyNumberFormat="1" applyFont="1" applyFill="1" applyBorder="1" applyAlignment="1" applyProtection="1">
      <alignment vertical="center"/>
      <protection locked="0"/>
    </xf>
    <xf numFmtId="4" fontId="11" fillId="2" borderId="108" xfId="0" applyNumberFormat="1" applyFont="1" applyFill="1" applyBorder="1" applyAlignment="1" applyProtection="1">
      <alignment vertical="center"/>
      <protection locked="0"/>
    </xf>
    <xf numFmtId="4" fontId="11" fillId="2" borderId="109" xfId="0" applyNumberFormat="1" applyFont="1" applyFill="1" applyBorder="1" applyAlignment="1" applyProtection="1">
      <alignment vertical="center"/>
      <protection locked="0"/>
    </xf>
    <xf numFmtId="4" fontId="11" fillId="2" borderId="110" xfId="0" applyNumberFormat="1" applyFont="1" applyFill="1" applyBorder="1" applyAlignment="1" applyProtection="1">
      <alignment vertical="center"/>
      <protection locked="0"/>
    </xf>
    <xf numFmtId="0" fontId="22" fillId="2" borderId="15" xfId="0" applyFont="1" applyFill="1" applyBorder="1" applyAlignment="1" applyProtection="1">
      <alignment horizontal="center" vertical="center"/>
      <protection locked="0"/>
    </xf>
    <xf numFmtId="4" fontId="11" fillId="2" borderId="100" xfId="0" applyNumberFormat="1" applyFont="1" applyFill="1" applyBorder="1" applyAlignment="1" applyProtection="1">
      <alignment horizontal="left" vertical="center"/>
      <protection locked="0"/>
    </xf>
    <xf numFmtId="4" fontId="11" fillId="2" borderId="70" xfId="0" applyNumberFormat="1" applyFont="1" applyFill="1" applyBorder="1" applyAlignment="1" applyProtection="1">
      <alignment horizontal="left" vertical="center"/>
      <protection locked="0"/>
    </xf>
    <xf numFmtId="4" fontId="11" fillId="2" borderId="79" xfId="0" applyNumberFormat="1" applyFont="1" applyFill="1" applyBorder="1" applyAlignment="1" applyProtection="1">
      <alignment horizontal="left" vertical="center"/>
      <protection locked="0"/>
    </xf>
    <xf numFmtId="4" fontId="22" fillId="2" borderId="101" xfId="0" applyNumberFormat="1" applyFont="1" applyFill="1" applyBorder="1" applyAlignment="1" applyProtection="1">
      <alignment vertical="center"/>
      <protection locked="0"/>
    </xf>
    <xf numFmtId="4" fontId="22" fillId="2" borderId="42" xfId="0" applyNumberFormat="1" applyFont="1" applyFill="1" applyBorder="1" applyAlignment="1" applyProtection="1">
      <alignment vertical="center"/>
      <protection locked="0"/>
    </xf>
    <xf numFmtId="4" fontId="11" fillId="2" borderId="99" xfId="0" applyNumberFormat="1" applyFont="1" applyFill="1" applyBorder="1" applyAlignment="1" applyProtection="1">
      <alignment horizontal="left" vertical="center"/>
      <protection locked="0"/>
    </xf>
    <xf numFmtId="4" fontId="11" fillId="2" borderId="104" xfId="0" applyNumberFormat="1" applyFont="1" applyFill="1" applyBorder="1" applyAlignment="1" applyProtection="1">
      <alignment horizontal="left" vertical="center"/>
      <protection locked="0"/>
    </xf>
    <xf numFmtId="4" fontId="11" fillId="2" borderId="68" xfId="0" applyNumberFormat="1" applyFont="1" applyFill="1" applyBorder="1" applyAlignment="1" applyProtection="1">
      <alignment horizontal="left" vertical="center"/>
      <protection locked="0"/>
    </xf>
    <xf numFmtId="4" fontId="11" fillId="2" borderId="69" xfId="0" applyNumberFormat="1" applyFont="1" applyFill="1" applyBorder="1" applyAlignment="1" applyProtection="1">
      <alignment horizontal="left" vertical="center"/>
      <protection locked="0"/>
    </xf>
    <xf numFmtId="4" fontId="11" fillId="2" borderId="71" xfId="0" applyNumberFormat="1" applyFont="1" applyFill="1" applyBorder="1" applyAlignment="1" applyProtection="1">
      <alignment horizontal="left" vertical="center"/>
      <protection locked="0"/>
    </xf>
    <xf numFmtId="4" fontId="11" fillId="2" borderId="66" xfId="0" applyNumberFormat="1" applyFont="1" applyFill="1" applyBorder="1" applyAlignment="1" applyProtection="1">
      <alignment horizontal="left" vertical="center"/>
      <protection locked="0"/>
    </xf>
    <xf numFmtId="3" fontId="18" fillId="2" borderId="15" xfId="0" applyNumberFormat="1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/>
    <xf numFmtId="0" fontId="15" fillId="2" borderId="2" xfId="0" applyFont="1" applyFill="1" applyBorder="1"/>
    <xf numFmtId="0" fontId="15" fillId="2" borderId="3" xfId="0" applyFont="1" applyFill="1" applyBorder="1"/>
    <xf numFmtId="0" fontId="15" fillId="2" borderId="3" xfId="0" applyFont="1" applyFill="1" applyBorder="1" applyProtection="1">
      <protection locked="0"/>
    </xf>
    <xf numFmtId="0" fontId="22" fillId="2" borderId="4" xfId="0" applyFont="1" applyFill="1" applyBorder="1" applyAlignment="1" applyProtection="1">
      <protection locked="0"/>
    </xf>
    <xf numFmtId="0" fontId="22" fillId="2" borderId="5" xfId="0" applyFont="1" applyFill="1" applyBorder="1" applyAlignment="1" applyProtection="1">
      <protection locked="0"/>
    </xf>
    <xf numFmtId="0" fontId="22" fillId="2" borderId="2" xfId="0" applyFont="1" applyFill="1" applyBorder="1" applyAlignment="1" applyProtection="1">
      <protection locked="0"/>
    </xf>
    <xf numFmtId="10" fontId="26" fillId="2" borderId="4" xfId="0" applyNumberFormat="1" applyFont="1" applyFill="1" applyBorder="1" applyProtection="1">
      <protection locked="0"/>
    </xf>
    <xf numFmtId="10" fontId="26" fillId="2" borderId="5" xfId="0" applyNumberFormat="1" applyFont="1" applyFill="1" applyBorder="1" applyProtection="1">
      <protection locked="0"/>
    </xf>
    <xf numFmtId="4" fontId="11" fillId="2" borderId="77" xfId="0" applyNumberFormat="1" applyFont="1" applyFill="1" applyBorder="1" applyAlignment="1" applyProtection="1">
      <alignment horizontal="left" vertical="center"/>
      <protection locked="0"/>
    </xf>
    <xf numFmtId="0" fontId="11" fillId="2" borderId="77" xfId="0" applyFont="1" applyFill="1" applyBorder="1" applyAlignment="1" applyProtection="1">
      <alignment horizontal="left" vertical="center"/>
      <protection locked="0"/>
    </xf>
    <xf numFmtId="4" fontId="11" fillId="2" borderId="78" xfId="0" applyNumberFormat="1" applyFont="1" applyFill="1" applyBorder="1" applyAlignment="1" applyProtection="1">
      <alignment horizontal="left" vertical="center"/>
      <protection locked="0"/>
    </xf>
    <xf numFmtId="4" fontId="15" fillId="2" borderId="171" xfId="0" applyNumberFormat="1" applyFont="1" applyFill="1" applyBorder="1" applyProtection="1"/>
    <xf numFmtId="0" fontId="9" fillId="2" borderId="23" xfId="0" applyFont="1" applyFill="1" applyBorder="1"/>
    <xf numFmtId="4" fontId="11" fillId="2" borderId="72" xfId="0" applyNumberFormat="1" applyFont="1" applyFill="1" applyBorder="1" applyAlignment="1" applyProtection="1">
      <alignment horizontal="right" vertical="center"/>
      <protection locked="0"/>
    </xf>
    <xf numFmtId="4" fontId="11" fillId="2" borderId="90" xfId="0" applyNumberFormat="1" applyFont="1" applyFill="1" applyBorder="1" applyAlignment="1" applyProtection="1">
      <alignment horizontal="right" vertical="center"/>
      <protection locked="0"/>
    </xf>
    <xf numFmtId="4" fontId="11" fillId="2" borderId="91" xfId="0" applyNumberFormat="1" applyFont="1" applyFill="1" applyBorder="1" applyAlignment="1" applyProtection="1">
      <alignment horizontal="right" vertical="center"/>
      <protection locked="0"/>
    </xf>
    <xf numFmtId="4" fontId="11" fillId="2" borderId="92" xfId="0" applyNumberFormat="1" applyFont="1" applyFill="1" applyBorder="1" applyAlignment="1" applyProtection="1">
      <alignment horizontal="right" vertical="center"/>
      <protection locked="0"/>
    </xf>
    <xf numFmtId="4" fontId="9" fillId="2" borderId="101" xfId="0" applyNumberFormat="1" applyFont="1" applyFill="1" applyBorder="1" applyAlignment="1" applyProtection="1">
      <alignment vertical="center"/>
      <protection locked="0"/>
    </xf>
    <xf numFmtId="4" fontId="9" fillId="2" borderId="78" xfId="0" applyNumberFormat="1" applyFont="1" applyFill="1" applyBorder="1" applyAlignment="1" applyProtection="1">
      <alignment vertical="center"/>
      <protection locked="0"/>
    </xf>
    <xf numFmtId="4" fontId="9" fillId="2" borderId="95" xfId="0" applyNumberFormat="1" applyFont="1" applyFill="1" applyBorder="1" applyAlignment="1" applyProtection="1">
      <alignment vertical="center"/>
      <protection locked="0"/>
    </xf>
    <xf numFmtId="4" fontId="9" fillId="2" borderId="79" xfId="0" applyNumberFormat="1" applyFont="1" applyFill="1" applyBorder="1" applyAlignment="1" applyProtection="1">
      <alignment vertical="center"/>
      <protection locked="0"/>
    </xf>
    <xf numFmtId="0" fontId="11" fillId="2" borderId="63" xfId="0" applyFont="1" applyFill="1" applyBorder="1" applyAlignment="1" applyProtection="1">
      <alignment vertical="center"/>
      <protection locked="0"/>
    </xf>
    <xf numFmtId="0" fontId="11" fillId="2" borderId="65" xfId="0" applyFont="1" applyFill="1" applyBorder="1" applyAlignment="1" applyProtection="1">
      <alignment vertical="center"/>
      <protection locked="0"/>
    </xf>
    <xf numFmtId="0" fontId="11" fillId="2" borderId="66" xfId="0" applyFont="1" applyFill="1" applyBorder="1" applyAlignment="1" applyProtection="1">
      <alignment vertical="center"/>
      <protection locked="0"/>
    </xf>
    <xf numFmtId="0" fontId="11" fillId="2" borderId="68" xfId="0" applyFont="1" applyFill="1" applyBorder="1" applyAlignment="1" applyProtection="1">
      <alignment vertical="center"/>
      <protection locked="0"/>
    </xf>
    <xf numFmtId="0" fontId="11" fillId="2" borderId="69" xfId="0" applyFont="1" applyFill="1" applyBorder="1" applyAlignment="1" applyProtection="1">
      <alignment vertical="center"/>
      <protection locked="0"/>
    </xf>
    <xf numFmtId="0" fontId="11" fillId="2" borderId="71" xfId="0" applyFont="1" applyFill="1" applyBorder="1" applyAlignment="1" applyProtection="1">
      <alignment vertical="center"/>
      <protection locked="0"/>
    </xf>
    <xf numFmtId="4" fontId="9" fillId="2" borderId="77" xfId="0" applyNumberFormat="1" applyFont="1" applyFill="1" applyBorder="1" applyAlignment="1" applyProtection="1">
      <alignment vertical="center"/>
      <protection locked="0"/>
    </xf>
    <xf numFmtId="4" fontId="15" fillId="2" borderId="92" xfId="0" applyNumberFormat="1" applyFont="1" applyFill="1" applyBorder="1" applyAlignment="1" applyProtection="1">
      <alignment vertical="center"/>
      <protection locked="0"/>
    </xf>
    <xf numFmtId="4" fontId="11" fillId="2" borderId="114" xfId="0" applyNumberFormat="1" applyFont="1" applyFill="1" applyBorder="1" applyAlignment="1" applyProtection="1">
      <alignment horizontal="right" vertical="center"/>
      <protection locked="0"/>
    </xf>
    <xf numFmtId="4" fontId="11" fillId="2" borderId="86" xfId="0" applyNumberFormat="1" applyFont="1" applyFill="1" applyBorder="1" applyAlignment="1" applyProtection="1">
      <alignment horizontal="right" vertical="center"/>
      <protection locked="0"/>
    </xf>
    <xf numFmtId="4" fontId="11" fillId="2" borderId="89" xfId="0" applyNumberFormat="1" applyFont="1" applyFill="1" applyBorder="1" applyAlignment="1" applyProtection="1">
      <alignment horizontal="right" vertical="center"/>
      <protection locked="0"/>
    </xf>
    <xf numFmtId="4" fontId="9" fillId="2" borderId="108" xfId="0" applyNumberFormat="1" applyFont="1" applyFill="1" applyBorder="1" applyAlignment="1" applyProtection="1">
      <alignment vertical="center"/>
      <protection locked="0"/>
    </xf>
    <xf numFmtId="4" fontId="9" fillId="2" borderId="103" xfId="0" applyNumberFormat="1" applyFont="1" applyFill="1" applyBorder="1" applyAlignment="1" applyProtection="1">
      <alignment vertical="center"/>
      <protection locked="0"/>
    </xf>
    <xf numFmtId="4" fontId="9" fillId="2" borderId="110" xfId="0" applyNumberFormat="1" applyFont="1" applyFill="1" applyBorder="1" applyAlignment="1" applyProtection="1">
      <alignment horizontal="right" vertical="center"/>
      <protection locked="0"/>
    </xf>
    <xf numFmtId="4" fontId="9" fillId="2" borderId="88" xfId="0" applyNumberFormat="1" applyFont="1" applyFill="1" applyBorder="1" applyAlignment="1" applyProtection="1">
      <alignment horizontal="right" vertical="center"/>
      <protection locked="0"/>
    </xf>
    <xf numFmtId="4" fontId="9" fillId="2" borderId="89" xfId="0" applyNumberFormat="1" applyFont="1" applyFill="1" applyBorder="1" applyAlignment="1" applyProtection="1">
      <alignment horizontal="right" vertical="center"/>
      <protection locked="0"/>
    </xf>
    <xf numFmtId="4" fontId="9" fillId="2" borderId="108" xfId="0" applyNumberFormat="1" applyFont="1" applyFill="1" applyBorder="1" applyAlignment="1" applyProtection="1">
      <alignment horizontal="right" vertical="center"/>
      <protection locked="0"/>
    </xf>
    <xf numFmtId="4" fontId="9" fillId="2" borderId="103" xfId="0" applyNumberFormat="1" applyFont="1" applyFill="1" applyBorder="1" applyAlignment="1" applyProtection="1">
      <alignment horizontal="right" vertical="center"/>
      <protection locked="0"/>
    </xf>
    <xf numFmtId="4" fontId="9" fillId="2" borderId="114" xfId="0" applyNumberFormat="1" applyFont="1" applyFill="1" applyBorder="1" applyAlignment="1" applyProtection="1">
      <alignment horizontal="right" vertical="center"/>
      <protection locked="0"/>
    </xf>
    <xf numFmtId="0" fontId="11" fillId="2" borderId="101" xfId="0" applyFont="1" applyFill="1" applyBorder="1" applyAlignment="1" applyProtection="1">
      <alignment horizontal="center" vertical="center"/>
      <protection locked="0"/>
    </xf>
    <xf numFmtId="0" fontId="11" fillId="2" borderId="78" xfId="0" applyFont="1" applyFill="1" applyBorder="1" applyAlignment="1" applyProtection="1">
      <alignment horizontal="center" vertical="center"/>
      <protection locked="0"/>
    </xf>
    <xf numFmtId="0" fontId="11" fillId="2" borderId="79" xfId="0" applyFont="1" applyFill="1" applyBorder="1" applyAlignment="1" applyProtection="1">
      <alignment horizontal="center" vertical="center"/>
      <protection locked="0"/>
    </xf>
    <xf numFmtId="4" fontId="11" fillId="2" borderId="101" xfId="0" applyNumberFormat="1" applyFont="1" applyFill="1" applyBorder="1" applyAlignment="1" applyProtection="1">
      <alignment horizontal="right" vertical="center"/>
      <protection locked="0"/>
    </xf>
    <xf numFmtId="4" fontId="11" fillId="2" borderId="78" xfId="0" applyNumberFormat="1" applyFont="1" applyFill="1" applyBorder="1" applyAlignment="1" applyProtection="1">
      <alignment horizontal="right" vertical="center"/>
      <protection locked="0"/>
    </xf>
    <xf numFmtId="4" fontId="11" fillId="2" borderId="79" xfId="0" applyNumberFormat="1" applyFont="1" applyFill="1" applyBorder="1" applyAlignment="1" applyProtection="1">
      <alignment horizontal="right" vertical="center"/>
      <protection locked="0"/>
    </xf>
    <xf numFmtId="4" fontId="15" fillId="3" borderId="77" xfId="0" applyNumberFormat="1" applyFont="1" applyFill="1" applyBorder="1" applyAlignment="1" applyProtection="1">
      <alignment horizontal="right" vertical="center"/>
      <protection locked="0"/>
    </xf>
    <xf numFmtId="4" fontId="15" fillId="3" borderId="101" xfId="0" applyNumberFormat="1" applyFont="1" applyFill="1" applyBorder="1" applyAlignment="1" applyProtection="1">
      <alignment horizontal="right" vertical="center"/>
      <protection locked="0"/>
    </xf>
    <xf numFmtId="4" fontId="15" fillId="3" borderId="78" xfId="0" applyNumberFormat="1" applyFont="1" applyFill="1" applyBorder="1" applyAlignment="1" applyProtection="1">
      <alignment horizontal="right" vertical="center"/>
      <protection locked="0"/>
    </xf>
    <xf numFmtId="4" fontId="15" fillId="3" borderId="79" xfId="0" applyNumberFormat="1" applyFont="1" applyFill="1" applyBorder="1" applyAlignment="1" applyProtection="1">
      <alignment horizontal="right" vertical="center"/>
      <protection locked="0"/>
    </xf>
    <xf numFmtId="4" fontId="9" fillId="2" borderId="101" xfId="0" applyNumberFormat="1" applyFont="1" applyFill="1" applyBorder="1" applyAlignment="1" applyProtection="1">
      <alignment horizontal="right" vertical="center"/>
      <protection locked="0"/>
    </xf>
    <xf numFmtId="4" fontId="9" fillId="2" borderId="78" xfId="0" applyNumberFormat="1" applyFont="1" applyFill="1" applyBorder="1" applyAlignment="1" applyProtection="1">
      <alignment horizontal="right" vertical="center"/>
      <protection locked="0"/>
    </xf>
    <xf numFmtId="4" fontId="9" fillId="2" borderId="79" xfId="0" applyNumberFormat="1" applyFont="1" applyFill="1" applyBorder="1" applyAlignment="1" applyProtection="1">
      <alignment horizontal="right" vertical="center"/>
      <protection locked="0"/>
    </xf>
    <xf numFmtId="0" fontId="47" fillId="2" borderId="0" xfId="0" applyFont="1" applyFill="1" applyBorder="1" applyAlignment="1">
      <alignment horizontal="left" vertical="center"/>
    </xf>
    <xf numFmtId="0" fontId="41" fillId="2" borderId="0" xfId="0" applyFont="1" applyFill="1" applyBorder="1" applyAlignment="1">
      <alignment horizontal="center" vertical="center"/>
    </xf>
    <xf numFmtId="4" fontId="15" fillId="2" borderId="114" xfId="0" applyNumberFormat="1" applyFont="1" applyFill="1" applyBorder="1" applyAlignment="1">
      <alignment horizontal="right" vertical="center"/>
    </xf>
    <xf numFmtId="4" fontId="9" fillId="2" borderId="15" xfId="0" applyNumberFormat="1" applyFont="1" applyFill="1" applyBorder="1" applyAlignment="1" applyProtection="1">
      <alignment vertical="center"/>
      <protection locked="0"/>
    </xf>
    <xf numFmtId="0" fontId="11" fillId="2" borderId="64" xfId="0" applyFont="1" applyFill="1" applyBorder="1" applyAlignment="1" applyProtection="1">
      <protection locked="0"/>
    </xf>
    <xf numFmtId="0" fontId="11" fillId="2" borderId="65" xfId="0" applyFont="1" applyFill="1" applyBorder="1" applyAlignment="1" applyProtection="1">
      <protection locked="0"/>
    </xf>
    <xf numFmtId="0" fontId="11" fillId="2" borderId="67" xfId="0" applyFont="1" applyFill="1" applyBorder="1" applyAlignment="1" applyProtection="1">
      <protection locked="0"/>
    </xf>
    <xf numFmtId="0" fontId="11" fillId="2" borderId="68" xfId="0" applyFont="1" applyFill="1" applyBorder="1" applyAlignment="1" applyProtection="1">
      <protection locked="0"/>
    </xf>
    <xf numFmtId="0" fontId="11" fillId="2" borderId="69" xfId="0" applyFont="1" applyFill="1" applyBorder="1" applyAlignment="1" applyProtection="1">
      <protection locked="0"/>
    </xf>
    <xf numFmtId="0" fontId="11" fillId="2" borderId="70" xfId="0" applyFont="1" applyFill="1" applyBorder="1" applyAlignment="1" applyProtection="1">
      <protection locked="0"/>
    </xf>
    <xf numFmtId="0" fontId="11" fillId="2" borderId="71" xfId="0" applyFont="1" applyFill="1" applyBorder="1" applyAlignment="1" applyProtection="1">
      <protection locked="0"/>
    </xf>
    <xf numFmtId="165" fontId="11" fillId="2" borderId="114" xfId="0" applyNumberFormat="1" applyFont="1" applyFill="1" applyBorder="1" applyAlignment="1" applyProtection="1">
      <alignment horizontal="right" vertical="center"/>
      <protection locked="0"/>
    </xf>
    <xf numFmtId="165" fontId="11" fillId="2" borderId="86" xfId="0" applyNumberFormat="1" applyFont="1" applyFill="1" applyBorder="1" applyAlignment="1" applyProtection="1">
      <alignment horizontal="right" vertical="center"/>
      <protection locked="0"/>
    </xf>
    <xf numFmtId="165" fontId="11" fillId="2" borderId="89" xfId="0" applyNumberFormat="1" applyFont="1" applyFill="1" applyBorder="1" applyAlignment="1" applyProtection="1">
      <alignment horizontal="right" vertical="center"/>
      <protection locked="0"/>
    </xf>
    <xf numFmtId="4" fontId="15" fillId="2" borderId="15" xfId="0" applyNumberFormat="1" applyFont="1" applyFill="1" applyBorder="1" applyAlignment="1" applyProtection="1">
      <protection locked="0"/>
    </xf>
    <xf numFmtId="0" fontId="9" fillId="2" borderId="99" xfId="0" applyFont="1" applyFill="1" applyBorder="1" applyAlignment="1">
      <alignment horizontal="left" vertical="center"/>
    </xf>
    <xf numFmtId="4" fontId="11" fillId="2" borderId="101" xfId="0" applyNumberFormat="1" applyFont="1" applyFill="1" applyBorder="1" applyAlignment="1" applyProtection="1">
      <alignment vertical="center"/>
    </xf>
    <xf numFmtId="4" fontId="11" fillId="2" borderId="79" xfId="0" applyNumberFormat="1" applyFont="1" applyFill="1" applyBorder="1" applyAlignment="1" applyProtection="1">
      <alignment vertical="center"/>
    </xf>
    <xf numFmtId="0" fontId="48" fillId="0" borderId="9" xfId="0" applyFont="1" applyFill="1" applyBorder="1" applyAlignment="1" applyProtection="1">
      <alignment horizontal="left"/>
      <protection locked="0"/>
    </xf>
    <xf numFmtId="0" fontId="48" fillId="0" borderId="0" xfId="0" applyFont="1" applyFill="1" applyBorder="1" applyAlignment="1" applyProtection="1">
      <alignment horizontal="left"/>
      <protection locked="0"/>
    </xf>
    <xf numFmtId="0" fontId="48" fillId="0" borderId="10" xfId="0" applyFont="1" applyFill="1" applyBorder="1" applyAlignment="1" applyProtection="1">
      <alignment horizontal="left"/>
      <protection locked="0"/>
    </xf>
    <xf numFmtId="0" fontId="48" fillId="0" borderId="9" xfId="0" applyFont="1" applyFill="1" applyBorder="1" applyAlignment="1" applyProtection="1">
      <alignment horizontal="left" vertical="center"/>
      <protection locked="0"/>
    </xf>
    <xf numFmtId="0" fontId="48" fillId="0" borderId="0" xfId="0" applyFont="1" applyFill="1" applyBorder="1" applyAlignment="1" applyProtection="1">
      <alignment horizontal="left" vertical="center"/>
      <protection locked="0"/>
    </xf>
    <xf numFmtId="0" fontId="48" fillId="0" borderId="10" xfId="0" applyFont="1" applyFill="1" applyBorder="1" applyAlignment="1" applyProtection="1">
      <alignment horizontal="left" vertical="center"/>
      <protection locked="0"/>
    </xf>
    <xf numFmtId="0" fontId="26" fillId="2" borderId="0" xfId="0" applyFont="1" applyFill="1" applyAlignment="1" applyProtection="1">
      <alignment horizontal="left"/>
    </xf>
    <xf numFmtId="0" fontId="11" fillId="2" borderId="0" xfId="0" applyFont="1" applyFill="1" applyBorder="1" applyAlignment="1" applyProtection="1">
      <alignment horizontal="left" vertical="center"/>
    </xf>
    <xf numFmtId="4" fontId="26" fillId="2" borderId="0" xfId="0" applyNumberFormat="1" applyFont="1" applyFill="1" applyAlignment="1" applyProtection="1">
      <alignment horizontal="left"/>
    </xf>
    <xf numFmtId="0" fontId="26" fillId="2" borderId="6" xfId="0" applyFont="1" applyFill="1" applyBorder="1" applyAlignment="1" applyProtection="1">
      <alignment horizontal="left"/>
    </xf>
    <xf numFmtId="0" fontId="26" fillId="2" borderId="7" xfId="0" applyFont="1" applyFill="1" applyBorder="1" applyAlignment="1" applyProtection="1">
      <alignment horizontal="left"/>
    </xf>
    <xf numFmtId="4" fontId="26" fillId="2" borderId="7" xfId="0" applyNumberFormat="1" applyFont="1" applyFill="1" applyBorder="1" applyAlignment="1" applyProtection="1">
      <alignment horizontal="left"/>
    </xf>
    <xf numFmtId="0" fontId="26" fillId="2" borderId="8" xfId="0" applyFont="1" applyFill="1" applyBorder="1" applyAlignment="1" applyProtection="1">
      <alignment horizontal="left"/>
    </xf>
    <xf numFmtId="0" fontId="26" fillId="2" borderId="9" xfId="0" applyFont="1" applyFill="1" applyBorder="1" applyAlignment="1" applyProtection="1">
      <alignment horizontal="left"/>
    </xf>
    <xf numFmtId="0" fontId="15" fillId="2" borderId="0" xfId="0" applyFont="1" applyFill="1" applyBorder="1" applyAlignment="1" applyProtection="1">
      <alignment horizontal="left"/>
    </xf>
    <xf numFmtId="0" fontId="26" fillId="2" borderId="0" xfId="0" applyFont="1" applyFill="1" applyBorder="1" applyAlignment="1" applyProtection="1">
      <alignment horizontal="left"/>
    </xf>
    <xf numFmtId="4" fontId="26" fillId="2" borderId="0" xfId="0" applyNumberFormat="1" applyFont="1" applyFill="1" applyBorder="1" applyAlignment="1" applyProtection="1">
      <alignment horizontal="left"/>
    </xf>
    <xf numFmtId="0" fontId="26" fillId="2" borderId="10" xfId="0" applyFont="1" applyFill="1" applyBorder="1" applyAlignment="1" applyProtection="1">
      <alignment horizontal="left"/>
    </xf>
    <xf numFmtId="0" fontId="11" fillId="2" borderId="10" xfId="0" applyFont="1" applyFill="1" applyBorder="1" applyAlignment="1" applyProtection="1">
      <alignment horizontal="left"/>
    </xf>
    <xf numFmtId="0" fontId="27" fillId="2" borderId="0" xfId="0" applyFont="1" applyFill="1" applyBorder="1" applyAlignment="1" applyProtection="1">
      <alignment horizontal="left"/>
    </xf>
    <xf numFmtId="0" fontId="11" fillId="2" borderId="9" xfId="0" applyFont="1" applyFill="1" applyBorder="1" applyAlignment="1" applyProtection="1">
      <alignment horizontal="left"/>
    </xf>
    <xf numFmtId="0" fontId="15" fillId="4" borderId="0" xfId="0" applyFont="1" applyFill="1" applyBorder="1" applyAlignment="1" applyProtection="1">
      <alignment horizontal="left" vertical="center"/>
    </xf>
    <xf numFmtId="0" fontId="11" fillId="2" borderId="0" xfId="0" applyFont="1" applyFill="1" applyAlignment="1" applyProtection="1">
      <alignment horizontal="left"/>
    </xf>
    <xf numFmtId="0" fontId="20" fillId="2" borderId="9" xfId="0" applyFont="1" applyFill="1" applyBorder="1" applyAlignment="1" applyProtection="1">
      <alignment horizontal="left"/>
    </xf>
    <xf numFmtId="0" fontId="18" fillId="5" borderId="0" xfId="0" applyFont="1" applyFill="1" applyBorder="1" applyAlignment="1" applyProtection="1">
      <alignment horizontal="left" vertical="center"/>
    </xf>
    <xf numFmtId="4" fontId="18" fillId="5" borderId="0" xfId="0" applyNumberFormat="1" applyFont="1" applyFill="1" applyBorder="1" applyAlignment="1" applyProtection="1">
      <alignment horizontal="left" vertical="center"/>
    </xf>
    <xf numFmtId="0" fontId="18" fillId="2" borderId="0" xfId="0" applyFont="1" applyFill="1" applyAlignment="1" applyProtection="1">
      <alignment horizontal="left" vertical="center"/>
    </xf>
    <xf numFmtId="4" fontId="18" fillId="2" borderId="0" xfId="0" applyNumberFormat="1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vertical="center"/>
    </xf>
    <xf numFmtId="0" fontId="22" fillId="2" borderId="9" xfId="0" applyFont="1" applyFill="1" applyBorder="1" applyAlignment="1" applyProtection="1">
      <alignment horizontal="left"/>
    </xf>
    <xf numFmtId="0" fontId="22" fillId="3" borderId="57" xfId="0" applyFont="1" applyFill="1" applyBorder="1" applyAlignment="1" applyProtection="1">
      <alignment vertical="center"/>
    </xf>
    <xf numFmtId="0" fontId="22" fillId="3" borderId="59" xfId="0" applyFont="1" applyFill="1" applyBorder="1" applyAlignment="1" applyProtection="1">
      <alignment vertical="center"/>
    </xf>
    <xf numFmtId="4" fontId="21" fillId="3" borderId="16" xfId="0" applyNumberFormat="1" applyFont="1" applyFill="1" applyBorder="1" applyAlignment="1" applyProtection="1">
      <alignment horizontal="right" vertical="center"/>
    </xf>
    <xf numFmtId="1" fontId="21" fillId="3" borderId="17" xfId="0" applyNumberFormat="1" applyFont="1" applyFill="1" applyBorder="1" applyAlignment="1" applyProtection="1">
      <alignment horizontal="center" vertical="center"/>
    </xf>
    <xf numFmtId="1" fontId="18" fillId="3" borderId="18" xfId="0" applyNumberFormat="1" applyFont="1" applyFill="1" applyBorder="1" applyAlignment="1" applyProtection="1">
      <alignment horizontal="left" vertical="center"/>
    </xf>
    <xf numFmtId="1" fontId="21" fillId="3" borderId="17" xfId="0" applyNumberFormat="1" applyFont="1" applyFill="1" applyBorder="1" applyAlignment="1" applyProtection="1">
      <alignment horizontal="left" vertical="center"/>
    </xf>
    <xf numFmtId="0" fontId="22" fillId="2" borderId="0" xfId="0" applyFont="1" applyFill="1" applyAlignment="1" applyProtection="1">
      <alignment horizontal="left" vertical="center"/>
    </xf>
    <xf numFmtId="0" fontId="27" fillId="2" borderId="9" xfId="0" applyFont="1" applyFill="1" applyBorder="1" applyAlignment="1" applyProtection="1">
      <alignment horizontal="center"/>
    </xf>
    <xf numFmtId="0" fontId="18" fillId="3" borderId="62" xfId="0" applyFont="1" applyFill="1" applyBorder="1" applyAlignment="1" applyProtection="1">
      <alignment vertical="center"/>
    </xf>
    <xf numFmtId="0" fontId="27" fillId="3" borderId="19" xfId="0" applyFont="1" applyFill="1" applyBorder="1" applyAlignment="1" applyProtection="1">
      <alignment horizontal="center" vertical="center"/>
    </xf>
    <xf numFmtId="4" fontId="27" fillId="3" borderId="15" xfId="0" applyNumberFormat="1" applyFont="1" applyFill="1" applyBorder="1" applyAlignment="1" applyProtection="1">
      <alignment horizontal="center" vertical="center"/>
    </xf>
    <xf numFmtId="0" fontId="27" fillId="2" borderId="0" xfId="0" applyFont="1" applyFill="1" applyAlignment="1" applyProtection="1">
      <alignment horizontal="center" vertical="center"/>
    </xf>
    <xf numFmtId="0" fontId="15" fillId="2" borderId="9" xfId="0" applyFont="1" applyFill="1" applyBorder="1" applyAlignment="1" applyProtection="1">
      <alignment horizontal="left"/>
    </xf>
    <xf numFmtId="0" fontId="15" fillId="2" borderId="16" xfId="0" applyFont="1" applyFill="1" applyBorder="1" applyAlignment="1" applyProtection="1">
      <alignment vertical="center"/>
    </xf>
    <xf numFmtId="0" fontId="15" fillId="2" borderId="18" xfId="0" applyFont="1" applyFill="1" applyBorder="1" applyAlignment="1" applyProtection="1">
      <alignment vertical="center"/>
    </xf>
    <xf numFmtId="4" fontId="15" fillId="2" borderId="15" xfId="0" applyNumberFormat="1" applyFont="1" applyFill="1" applyBorder="1" applyAlignment="1" applyProtection="1">
      <alignment vertical="center"/>
    </xf>
    <xf numFmtId="4" fontId="15" fillId="2" borderId="15" xfId="0" applyNumberFormat="1" applyFont="1" applyFill="1" applyBorder="1" applyAlignment="1" applyProtection="1">
      <alignment horizontal="left" vertical="center"/>
    </xf>
    <xf numFmtId="0" fontId="15" fillId="2" borderId="15" xfId="0" applyFont="1" applyFill="1" applyBorder="1" applyAlignment="1" applyProtection="1">
      <alignment horizontal="left" vertical="center"/>
    </xf>
    <xf numFmtId="0" fontId="15" fillId="2" borderId="0" xfId="0" applyFont="1" applyFill="1" applyAlignment="1" applyProtection="1">
      <alignment horizontal="left" vertical="center"/>
    </xf>
    <xf numFmtId="0" fontId="11" fillId="2" borderId="63" xfId="0" applyFont="1" applyFill="1" applyBorder="1" applyAlignment="1" applyProtection="1">
      <alignment vertical="center"/>
    </xf>
    <xf numFmtId="0" fontId="11" fillId="2" borderId="65" xfId="0" applyFont="1" applyFill="1" applyBorder="1" applyAlignment="1" applyProtection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11" fillId="2" borderId="69" xfId="0" applyFont="1" applyFill="1" applyBorder="1" applyAlignment="1" applyProtection="1">
      <alignment vertical="center"/>
    </xf>
    <xf numFmtId="0" fontId="11" fillId="2" borderId="71" xfId="0" applyFont="1" applyFill="1" applyBorder="1" applyAlignment="1" applyProtection="1">
      <alignment vertical="center"/>
    </xf>
    <xf numFmtId="0" fontId="11" fillId="2" borderId="68" xfId="0" applyFont="1" applyFill="1" applyBorder="1" applyAlignment="1" applyProtection="1">
      <alignment vertical="center"/>
    </xf>
    <xf numFmtId="0" fontId="49" fillId="2" borderId="9" xfId="0" applyFont="1" applyFill="1" applyBorder="1" applyAlignment="1" applyProtection="1">
      <alignment horizontal="left"/>
    </xf>
    <xf numFmtId="0" fontId="49" fillId="2" borderId="63" xfId="0" applyFont="1" applyFill="1" applyBorder="1" applyAlignment="1" applyProtection="1">
      <alignment vertical="center"/>
    </xf>
    <xf numFmtId="0" fontId="49" fillId="2" borderId="65" xfId="0" applyFont="1" applyFill="1" applyBorder="1" applyAlignment="1" applyProtection="1">
      <alignment vertical="center"/>
    </xf>
    <xf numFmtId="4" fontId="49" fillId="2" borderId="77" xfId="0" applyNumberFormat="1" applyFont="1" applyFill="1" applyBorder="1" applyAlignment="1" applyProtection="1">
      <alignment vertical="center"/>
    </xf>
    <xf numFmtId="4" fontId="49" fillId="2" borderId="77" xfId="0" applyNumberFormat="1" applyFont="1" applyFill="1" applyBorder="1" applyAlignment="1" applyProtection="1">
      <alignment horizontal="left" vertical="center"/>
    </xf>
    <xf numFmtId="0" fontId="49" fillId="2" borderId="77" xfId="0" applyFont="1" applyFill="1" applyBorder="1" applyAlignment="1" applyProtection="1">
      <alignment horizontal="left" vertical="center"/>
    </xf>
    <xf numFmtId="0" fontId="49" fillId="2" borderId="10" xfId="0" applyFont="1" applyFill="1" applyBorder="1" applyAlignment="1" applyProtection="1">
      <alignment horizontal="left"/>
    </xf>
    <xf numFmtId="0" fontId="49" fillId="2" borderId="0" xfId="0" applyFont="1" applyFill="1" applyAlignment="1" applyProtection="1">
      <alignment horizontal="left" vertical="center"/>
    </xf>
    <xf numFmtId="0" fontId="15" fillId="2" borderId="73" xfId="0" applyFont="1" applyFill="1" applyBorder="1" applyAlignment="1" applyProtection="1">
      <alignment vertical="center"/>
    </xf>
    <xf numFmtId="0" fontId="15" fillId="2" borderId="75" xfId="0" applyFont="1" applyFill="1" applyBorder="1" applyAlignment="1" applyProtection="1">
      <alignment vertical="center"/>
    </xf>
    <xf numFmtId="4" fontId="15" fillId="2" borderId="72" xfId="0" applyNumberFormat="1" applyFont="1" applyFill="1" applyBorder="1" applyAlignment="1" applyProtection="1">
      <alignment vertical="center"/>
    </xf>
    <xf numFmtId="4" fontId="15" fillId="2" borderId="72" xfId="0" applyNumberFormat="1" applyFont="1" applyFill="1" applyBorder="1" applyAlignment="1" applyProtection="1">
      <alignment horizontal="left" vertical="center"/>
    </xf>
    <xf numFmtId="0" fontId="15" fillId="2" borderId="72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vertical="center"/>
    </xf>
    <xf numFmtId="4" fontId="11" fillId="2" borderId="0" xfId="0" applyNumberFormat="1" applyFont="1" applyFill="1" applyBorder="1" applyAlignment="1" applyProtection="1">
      <alignment horizontal="left" vertical="center"/>
    </xf>
    <xf numFmtId="4" fontId="27" fillId="3" borderId="76" xfId="0" applyNumberFormat="1" applyFont="1" applyFill="1" applyBorder="1" applyAlignment="1" applyProtection="1">
      <alignment horizontal="center" vertical="center"/>
    </xf>
    <xf numFmtId="1" fontId="18" fillId="3" borderId="80" xfId="0" applyNumberFormat="1" applyFont="1" applyFill="1" applyBorder="1" applyAlignment="1" applyProtection="1">
      <alignment horizontal="center" vertical="center"/>
    </xf>
    <xf numFmtId="4" fontId="15" fillId="2" borderId="73" xfId="0" applyNumberFormat="1" applyFont="1" applyFill="1" applyBorder="1" applyAlignment="1" applyProtection="1">
      <alignment horizontal="left" vertical="center"/>
    </xf>
    <xf numFmtId="4" fontId="15" fillId="2" borderId="74" xfId="0" applyNumberFormat="1" applyFont="1" applyFill="1" applyBorder="1" applyAlignment="1" applyProtection="1">
      <alignment horizontal="left" vertical="center"/>
    </xf>
    <xf numFmtId="4" fontId="15" fillId="2" borderId="75" xfId="0" applyNumberFormat="1" applyFont="1" applyFill="1" applyBorder="1" applyAlignment="1" applyProtection="1">
      <alignment horizontal="left" vertical="center"/>
    </xf>
    <xf numFmtId="4" fontId="15" fillId="2" borderId="16" xfId="0" applyNumberFormat="1" applyFont="1" applyFill="1" applyBorder="1" applyAlignment="1" applyProtection="1">
      <alignment horizontal="left" vertical="center"/>
    </xf>
    <xf numFmtId="4" fontId="15" fillId="2" borderId="17" xfId="0" applyNumberFormat="1" applyFont="1" applyFill="1" applyBorder="1" applyAlignment="1" applyProtection="1">
      <alignment horizontal="left" vertical="center"/>
    </xf>
    <xf numFmtId="4" fontId="15" fillId="2" borderId="18" xfId="0" applyNumberFormat="1" applyFont="1" applyFill="1" applyBorder="1" applyAlignment="1" applyProtection="1">
      <alignment horizontal="left" vertical="center"/>
    </xf>
    <xf numFmtId="0" fontId="10" fillId="2" borderId="99" xfId="0" applyFont="1" applyFill="1" applyBorder="1" applyAlignment="1" applyProtection="1">
      <alignment vertical="center"/>
    </xf>
    <xf numFmtId="0" fontId="11" fillId="2" borderId="104" xfId="0" applyFont="1" applyFill="1" applyBorder="1" applyAlignment="1" applyProtection="1">
      <alignment vertical="center"/>
    </xf>
    <xf numFmtId="0" fontId="10" fillId="2" borderId="66" xfId="0" applyFont="1" applyFill="1" applyBorder="1" applyAlignment="1" applyProtection="1">
      <alignment vertical="center"/>
    </xf>
    <xf numFmtId="0" fontId="10" fillId="2" borderId="93" xfId="0" applyFont="1" applyFill="1" applyBorder="1" applyAlignment="1" applyProtection="1">
      <alignment vertical="center"/>
    </xf>
    <xf numFmtId="0" fontId="11" fillId="2" borderId="98" xfId="0" applyFont="1" applyFill="1" applyBorder="1" applyAlignment="1" applyProtection="1">
      <alignment vertical="center"/>
    </xf>
    <xf numFmtId="0" fontId="15" fillId="2" borderId="10" xfId="0" applyFont="1" applyFill="1" applyBorder="1" applyAlignment="1" applyProtection="1">
      <alignment horizontal="left"/>
    </xf>
    <xf numFmtId="0" fontId="9" fillId="2" borderId="66" xfId="0" applyFont="1" applyFill="1" applyBorder="1" applyAlignment="1" applyProtection="1">
      <alignment vertical="center"/>
    </xf>
    <xf numFmtId="0" fontId="37" fillId="2" borderId="0" xfId="0" applyFont="1" applyFill="1" applyBorder="1" applyAlignment="1" applyProtection="1">
      <alignment horizontal="left" vertical="center"/>
    </xf>
    <xf numFmtId="0" fontId="40" fillId="2" borderId="0" xfId="0" applyFont="1" applyFill="1" applyBorder="1" applyAlignment="1" applyProtection="1">
      <alignment vertical="center"/>
    </xf>
    <xf numFmtId="4" fontId="40" fillId="2" borderId="0" xfId="0" applyNumberFormat="1" applyFont="1" applyFill="1" applyBorder="1" applyAlignment="1" applyProtection="1">
      <alignment horizontal="left" vertical="center"/>
    </xf>
    <xf numFmtId="0" fontId="26" fillId="2" borderId="11" xfId="0" applyFont="1" applyFill="1" applyBorder="1" applyAlignment="1" applyProtection="1">
      <alignment horizontal="left"/>
    </xf>
    <xf numFmtId="0" fontId="26" fillId="2" borderId="12" xfId="0" applyFont="1" applyFill="1" applyBorder="1" applyAlignment="1" applyProtection="1">
      <alignment horizontal="left"/>
    </xf>
    <xf numFmtId="0" fontId="26" fillId="2" borderId="13" xfId="0" applyFont="1" applyFill="1" applyBorder="1" applyAlignment="1" applyProtection="1">
      <alignment horizontal="left"/>
    </xf>
    <xf numFmtId="0" fontId="23" fillId="2" borderId="0" xfId="0" applyFont="1" applyFill="1" applyBorder="1" applyAlignment="1" applyProtection="1">
      <alignment horizontal="left"/>
    </xf>
    <xf numFmtId="0" fontId="25" fillId="2" borderId="0" xfId="0" applyFont="1" applyFill="1" applyAlignment="1" applyProtection="1">
      <alignment horizontal="right"/>
    </xf>
    <xf numFmtId="0" fontId="23" fillId="2" borderId="0" xfId="0" applyFont="1" applyFill="1" applyAlignment="1" applyProtection="1">
      <alignment horizontal="left"/>
    </xf>
    <xf numFmtId="0" fontId="11" fillId="2" borderId="156" xfId="0" applyFont="1" applyFill="1" applyBorder="1" applyAlignment="1" applyProtection="1">
      <alignment vertical="center"/>
      <protection locked="0"/>
    </xf>
    <xf numFmtId="0" fontId="11" fillId="2" borderId="157" xfId="0" applyFont="1" applyFill="1" applyBorder="1" applyAlignment="1" applyProtection="1">
      <alignment vertical="center"/>
      <protection locked="0"/>
    </xf>
    <xf numFmtId="4" fontId="11" fillId="2" borderId="158" xfId="0" applyNumberFormat="1" applyFont="1" applyFill="1" applyBorder="1" applyAlignment="1" applyProtection="1">
      <alignment horizontal="right" vertical="center"/>
      <protection locked="0"/>
    </xf>
    <xf numFmtId="4" fontId="11" fillId="2" borderId="156" xfId="0" applyNumberFormat="1" applyFont="1" applyFill="1" applyBorder="1" applyAlignment="1" applyProtection="1">
      <alignment horizontal="left" vertical="center"/>
      <protection locked="0"/>
    </xf>
    <xf numFmtId="4" fontId="11" fillId="2" borderId="159" xfId="0" applyNumberFormat="1" applyFont="1" applyFill="1" applyBorder="1" applyAlignment="1" applyProtection="1">
      <alignment horizontal="left" vertical="center"/>
      <protection locked="0"/>
    </xf>
    <xf numFmtId="4" fontId="11" fillId="2" borderId="157" xfId="0" applyNumberFormat="1" applyFont="1" applyFill="1" applyBorder="1" applyAlignment="1" applyProtection="1">
      <alignment horizontal="left" vertical="center"/>
      <protection locked="0"/>
    </xf>
    <xf numFmtId="4" fontId="11" fillId="2" borderId="67" xfId="0" applyNumberFormat="1" applyFont="1" applyFill="1" applyBorder="1" applyAlignment="1" applyProtection="1">
      <alignment horizontal="left" vertical="center"/>
      <protection locked="0"/>
    </xf>
    <xf numFmtId="4" fontId="11" fillId="2" borderId="63" xfId="0" applyNumberFormat="1" applyFont="1" applyFill="1" applyBorder="1" applyAlignment="1" applyProtection="1">
      <alignment horizontal="left" vertical="center"/>
      <protection locked="0"/>
    </xf>
    <xf numFmtId="4" fontId="11" fillId="2" borderId="64" xfId="0" applyNumberFormat="1" applyFont="1" applyFill="1" applyBorder="1" applyAlignment="1" applyProtection="1">
      <alignment horizontal="left" vertical="center"/>
      <protection locked="0"/>
    </xf>
    <xf numFmtId="4" fontId="11" fillId="2" borderId="93" xfId="0" applyNumberFormat="1" applyFont="1" applyFill="1" applyBorder="1" applyAlignment="1" applyProtection="1">
      <alignment horizontal="left" vertical="center"/>
      <protection locked="0"/>
    </xf>
    <xf numFmtId="4" fontId="11" fillId="2" borderId="94" xfId="0" applyNumberFormat="1" applyFont="1" applyFill="1" applyBorder="1" applyAlignment="1" applyProtection="1">
      <alignment horizontal="left" vertical="center"/>
      <protection locked="0"/>
    </xf>
    <xf numFmtId="4" fontId="30" fillId="2" borderId="29" xfId="0" applyNumberFormat="1" applyFont="1" applyFill="1" applyBorder="1" applyProtection="1">
      <protection locked="0"/>
    </xf>
    <xf numFmtId="4" fontId="30" fillId="2" borderId="131" xfId="0" applyNumberFormat="1" applyFont="1" applyFill="1" applyBorder="1" applyProtection="1">
      <protection locked="0"/>
    </xf>
    <xf numFmtId="4" fontId="30" fillId="2" borderId="61" xfId="0" applyNumberFormat="1" applyFont="1" applyFill="1" applyBorder="1" applyProtection="1">
      <protection locked="0"/>
    </xf>
    <xf numFmtId="4" fontId="28" fillId="2" borderId="42" xfId="0" applyNumberFormat="1" applyFont="1" applyFill="1" applyBorder="1" applyProtection="1">
      <protection locked="0"/>
    </xf>
    <xf numFmtId="0" fontId="46" fillId="2" borderId="0" xfId="0" applyFont="1" applyFill="1" applyBorder="1" applyAlignment="1">
      <alignment horizontal="right"/>
    </xf>
    <xf numFmtId="0" fontId="9" fillId="2" borderId="63" xfId="0" applyFont="1" applyFill="1" applyBorder="1" applyAlignment="1" applyProtection="1">
      <alignment vertical="center"/>
      <protection locked="0"/>
    </xf>
    <xf numFmtId="0" fontId="26" fillId="2" borderId="12" xfId="0" applyFont="1" applyFill="1" applyBorder="1" applyAlignment="1">
      <alignment horizontal="left"/>
    </xf>
    <xf numFmtId="0" fontId="15" fillId="4" borderId="0" xfId="0" applyFont="1" applyFill="1" applyBorder="1" applyAlignment="1" applyProtection="1">
      <alignment horizontal="left" vertical="center" wrapText="1"/>
    </xf>
    <xf numFmtId="4" fontId="11" fillId="2" borderId="99" xfId="0" applyNumberFormat="1" applyFont="1" applyFill="1" applyBorder="1" applyAlignment="1" applyProtection="1">
      <alignment horizontal="left" vertical="center"/>
      <protection locked="0"/>
    </xf>
    <xf numFmtId="4" fontId="11" fillId="2" borderId="104" xfId="0" applyNumberFormat="1" applyFont="1" applyFill="1" applyBorder="1" applyAlignment="1" applyProtection="1">
      <alignment horizontal="left" vertical="center"/>
      <protection locked="0"/>
    </xf>
    <xf numFmtId="4" fontId="11" fillId="2" borderId="66" xfId="0" applyNumberFormat="1" applyFont="1" applyFill="1" applyBorder="1" applyAlignment="1" applyProtection="1">
      <alignment horizontal="left" vertical="center"/>
      <protection locked="0"/>
    </xf>
    <xf numFmtId="4" fontId="11" fillId="2" borderId="68" xfId="0" applyNumberFormat="1" applyFont="1" applyFill="1" applyBorder="1" applyAlignment="1" applyProtection="1">
      <alignment horizontal="left" vertical="center"/>
      <protection locked="0"/>
    </xf>
    <xf numFmtId="0" fontId="46" fillId="2" borderId="0" xfId="0" applyFont="1" applyFill="1" applyBorder="1" applyAlignment="1">
      <alignment horizontal="right" wrapText="1"/>
    </xf>
    <xf numFmtId="4" fontId="9" fillId="2" borderId="104" xfId="0" applyNumberFormat="1" applyFont="1" applyFill="1" applyBorder="1" applyAlignment="1" applyProtection="1">
      <alignment horizontal="right" vertical="center"/>
      <protection locked="0"/>
    </xf>
    <xf numFmtId="4" fontId="9" fillId="2" borderId="68" xfId="0" applyNumberFormat="1" applyFont="1" applyFill="1" applyBorder="1" applyAlignment="1" applyProtection="1">
      <alignment horizontal="right" vertical="center"/>
      <protection locked="0"/>
    </xf>
    <xf numFmtId="4" fontId="9" fillId="2" borderId="71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Border="1" applyAlignment="1">
      <alignment horizontal="center" vertical="center"/>
    </xf>
    <xf numFmtId="0" fontId="26" fillId="2" borderId="0" xfId="0" applyFont="1" applyFill="1" applyProtection="1"/>
    <xf numFmtId="0" fontId="26" fillId="2" borderId="0" xfId="0" applyFont="1" applyFill="1" applyBorder="1" applyProtection="1"/>
    <xf numFmtId="0" fontId="16" fillId="2" borderId="0" xfId="0" applyFont="1" applyFill="1" applyBorder="1" applyAlignment="1" applyProtection="1">
      <alignment vertical="center"/>
    </xf>
    <xf numFmtId="0" fontId="26" fillId="2" borderId="6" xfId="0" applyFont="1" applyFill="1" applyBorder="1" applyProtection="1"/>
    <xf numFmtId="0" fontId="26" fillId="2" borderId="7" xfId="0" applyFont="1" applyFill="1" applyBorder="1" applyProtection="1"/>
    <xf numFmtId="0" fontId="26" fillId="2" borderId="8" xfId="0" applyFont="1" applyFill="1" applyBorder="1" applyProtection="1"/>
    <xf numFmtId="0" fontId="26" fillId="2" borderId="9" xfId="0" applyFont="1" applyFill="1" applyBorder="1" applyProtection="1"/>
    <xf numFmtId="0" fontId="15" fillId="2" borderId="0" xfId="0" applyFont="1" applyFill="1" applyBorder="1" applyProtection="1"/>
    <xf numFmtId="0" fontId="26" fillId="2" borderId="10" xfId="0" applyFont="1" applyFill="1" applyBorder="1" applyProtection="1"/>
    <xf numFmtId="0" fontId="2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Protection="1"/>
    <xf numFmtId="0" fontId="27" fillId="2" borderId="0" xfId="0" applyFont="1" applyFill="1" applyBorder="1" applyAlignment="1" applyProtection="1">
      <alignment horizontal="center" vertical="center"/>
    </xf>
    <xf numFmtId="0" fontId="12" fillId="2" borderId="9" xfId="0" applyFont="1" applyFill="1" applyBorder="1" applyProtection="1"/>
    <xf numFmtId="0" fontId="15" fillId="4" borderId="0" xfId="0" applyFont="1" applyFill="1" applyBorder="1" applyAlignment="1" applyProtection="1">
      <alignment vertical="center"/>
    </xf>
    <xf numFmtId="0" fontId="12" fillId="2" borderId="10" xfId="0" applyFont="1" applyFill="1" applyBorder="1" applyProtection="1"/>
    <xf numFmtId="0" fontId="12" fillId="2" borderId="0" xfId="0" applyFont="1" applyFill="1" applyProtection="1"/>
    <xf numFmtId="0" fontId="20" fillId="2" borderId="9" xfId="0" applyFont="1" applyFill="1" applyBorder="1" applyProtection="1"/>
    <xf numFmtId="0" fontId="18" fillId="5" borderId="0" xfId="0" applyFont="1" applyFill="1" applyBorder="1" applyAlignment="1" applyProtection="1">
      <alignment vertical="center"/>
    </xf>
    <xf numFmtId="0" fontId="20" fillId="2" borderId="10" xfId="0" applyFont="1" applyFill="1" applyBorder="1" applyProtection="1"/>
    <xf numFmtId="0" fontId="18" fillId="2" borderId="0" xfId="0" applyFont="1" applyFill="1" applyAlignment="1" applyProtection="1">
      <alignment vertical="center"/>
    </xf>
    <xf numFmtId="0" fontId="15" fillId="2" borderId="1" xfId="0" applyFont="1" applyFill="1" applyBorder="1" applyProtection="1"/>
    <xf numFmtId="0" fontId="34" fillId="2" borderId="1" xfId="0" applyNumberFormat="1" applyFont="1" applyFill="1" applyBorder="1" applyAlignment="1" applyProtection="1">
      <alignment horizontal="left"/>
    </xf>
    <xf numFmtId="0" fontId="26" fillId="2" borderId="1" xfId="0" applyFont="1" applyFill="1" applyBorder="1" applyProtection="1"/>
    <xf numFmtId="0" fontId="26" fillId="2" borderId="1" xfId="0" applyFont="1" applyFill="1" applyBorder="1" applyAlignment="1" applyProtection="1">
      <alignment horizontal="left"/>
    </xf>
    <xf numFmtId="0" fontId="50" fillId="2" borderId="0" xfId="0" applyFont="1" applyFill="1" applyBorder="1" applyAlignment="1" applyProtection="1">
      <alignment horizontal="center"/>
    </xf>
    <xf numFmtId="0" fontId="26" fillId="2" borderId="9" xfId="0" applyFont="1" applyFill="1" applyBorder="1" applyAlignment="1" applyProtection="1">
      <alignment wrapText="1"/>
    </xf>
    <xf numFmtId="0" fontId="26" fillId="2" borderId="1" xfId="0" applyFont="1" applyFill="1" applyBorder="1" applyAlignment="1" applyProtection="1">
      <alignment wrapText="1"/>
    </xf>
    <xf numFmtId="0" fontId="26" fillId="2" borderId="1" xfId="0" applyFont="1" applyFill="1" applyBorder="1" applyAlignment="1" applyProtection="1">
      <alignment horizontal="center" wrapText="1"/>
    </xf>
    <xf numFmtId="0" fontId="34" fillId="2" borderId="1" xfId="0" applyFont="1" applyFill="1" applyBorder="1" applyAlignment="1" applyProtection="1">
      <alignment horizontal="center" wrapText="1"/>
    </xf>
    <xf numFmtId="0" fontId="26" fillId="2" borderId="1" xfId="0" applyFont="1" applyFill="1" applyBorder="1" applyAlignment="1" applyProtection="1">
      <alignment horizontal="center" vertical="center" wrapText="1"/>
    </xf>
    <xf numFmtId="0" fontId="34" fillId="2" borderId="1" xfId="0" applyFont="1" applyFill="1" applyBorder="1" applyAlignment="1" applyProtection="1">
      <alignment horizontal="center"/>
    </xf>
    <xf numFmtId="0" fontId="26" fillId="2" borderId="10" xfId="0" applyFont="1" applyFill="1" applyBorder="1" applyAlignment="1" applyProtection="1">
      <alignment wrapText="1"/>
    </xf>
    <xf numFmtId="0" fontId="26" fillId="2" borderId="0" xfId="0" applyFont="1" applyFill="1" applyAlignment="1" applyProtection="1">
      <alignment wrapText="1"/>
    </xf>
    <xf numFmtId="0" fontId="23" fillId="6" borderId="1" xfId="0" applyFont="1" applyFill="1" applyBorder="1" applyAlignment="1" applyProtection="1">
      <alignment horizontal="left"/>
    </xf>
    <xf numFmtId="0" fontId="26" fillId="2" borderId="0" xfId="0" applyFont="1" applyFill="1" applyBorder="1" applyAlignment="1" applyProtection="1">
      <alignment horizontal="center" wrapText="1"/>
    </xf>
    <xf numFmtId="0" fontId="26" fillId="2" borderId="0" xfId="0" quotePrefix="1" applyFont="1" applyFill="1" applyBorder="1" applyAlignment="1" applyProtection="1">
      <alignment horizontal="left"/>
    </xf>
    <xf numFmtId="0" fontId="26" fillId="2" borderId="11" xfId="0" applyFont="1" applyFill="1" applyBorder="1" applyProtection="1"/>
    <xf numFmtId="0" fontId="26" fillId="2" borderId="12" xfId="0" applyFont="1" applyFill="1" applyBorder="1" applyProtection="1"/>
    <xf numFmtId="0" fontId="26" fillId="2" borderId="13" xfId="0" applyFont="1" applyFill="1" applyBorder="1" applyProtection="1"/>
    <xf numFmtId="0" fontId="23" fillId="2" borderId="0" xfId="0" applyFont="1" applyFill="1" applyBorder="1" applyProtection="1"/>
    <xf numFmtId="0" fontId="23" fillId="2" borderId="0" xfId="0" applyFont="1" applyFill="1" applyProtection="1"/>
    <xf numFmtId="3" fontId="26" fillId="2" borderId="4" xfId="0" applyNumberFormat="1" applyFont="1" applyFill="1" applyBorder="1" applyAlignment="1" applyProtection="1">
      <alignment horizontal="center"/>
      <protection locked="0"/>
    </xf>
    <xf numFmtId="3" fontId="26" fillId="2" borderId="5" xfId="0" applyNumberFormat="1" applyFont="1" applyFill="1" applyBorder="1" applyAlignment="1" applyProtection="1">
      <alignment horizontal="center"/>
      <protection locked="0"/>
    </xf>
    <xf numFmtId="0" fontId="26" fillId="2" borderId="4" xfId="0" applyFont="1" applyFill="1" applyBorder="1" applyAlignment="1" applyProtection="1">
      <alignment horizontal="center"/>
      <protection locked="0"/>
    </xf>
    <xf numFmtId="0" fontId="26" fillId="2" borderId="5" xfId="0" applyFont="1" applyFill="1" applyBorder="1" applyAlignment="1" applyProtection="1">
      <alignment horizontal="center"/>
      <protection locked="0"/>
    </xf>
    <xf numFmtId="0" fontId="8" fillId="2" borderId="9" xfId="0" applyFont="1" applyFill="1" applyBorder="1" applyProtection="1"/>
    <xf numFmtId="0" fontId="8" fillId="2" borderId="0" xfId="0" applyFont="1" applyFill="1" applyBorder="1" applyProtection="1"/>
    <xf numFmtId="0" fontId="8" fillId="2" borderId="10" xfId="0" applyFont="1" applyFill="1" applyBorder="1" applyProtection="1"/>
    <xf numFmtId="0" fontId="8" fillId="2" borderId="0" xfId="0" applyFont="1" applyFill="1" applyProtection="1"/>
    <xf numFmtId="0" fontId="15" fillId="0" borderId="9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left"/>
    </xf>
    <xf numFmtId="0" fontId="8" fillId="0" borderId="9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8" fillId="0" borderId="10" xfId="0" applyFont="1" applyFill="1" applyBorder="1" applyAlignment="1" applyProtection="1">
      <alignment horizontal="left"/>
      <protection locked="0"/>
    </xf>
    <xf numFmtId="0" fontId="8" fillId="2" borderId="9" xfId="0" applyFont="1" applyFill="1" applyBorder="1" applyAlignment="1" applyProtection="1">
      <alignment wrapText="1"/>
    </xf>
    <xf numFmtId="0" fontId="8" fillId="2" borderId="10" xfId="0" applyFont="1" applyFill="1" applyBorder="1" applyAlignment="1" applyProtection="1">
      <alignment wrapText="1"/>
    </xf>
    <xf numFmtId="0" fontId="8" fillId="2" borderId="0" xfId="0" applyFont="1" applyFill="1" applyAlignment="1" applyProtection="1">
      <alignment wrapText="1"/>
    </xf>
    <xf numFmtId="0" fontId="15" fillId="0" borderId="9" xfId="0" applyFont="1" applyFill="1" applyBorder="1" applyAlignment="1" applyProtection="1">
      <alignment horizontal="left"/>
      <protection locked="0"/>
    </xf>
    <xf numFmtId="0" fontId="15" fillId="0" borderId="10" xfId="0" applyFont="1" applyFill="1" applyBorder="1" applyAlignment="1" applyProtection="1">
      <alignment horizontal="left"/>
      <protection locked="0"/>
    </xf>
    <xf numFmtId="0" fontId="8" fillId="0" borderId="9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0" borderId="10" xfId="0" applyFont="1" applyFill="1" applyBorder="1" applyAlignment="1" applyProtection="1">
      <alignment horizontal="left" vertical="center"/>
      <protection locked="0"/>
    </xf>
    <xf numFmtId="0" fontId="15" fillId="3" borderId="15" xfId="0" applyNumberFormat="1" applyFont="1" applyFill="1" applyBorder="1" applyAlignment="1" applyProtection="1">
      <alignment horizontal="center" wrapText="1"/>
    </xf>
    <xf numFmtId="4" fontId="15" fillId="2" borderId="77" xfId="0" applyNumberFormat="1" applyFont="1" applyFill="1" applyBorder="1" applyProtection="1"/>
    <xf numFmtId="4" fontId="15" fillId="2" borderId="78" xfId="0" applyNumberFormat="1" applyFont="1" applyFill="1" applyBorder="1" applyProtection="1"/>
    <xf numFmtId="4" fontId="15" fillId="2" borderId="79" xfId="0" applyNumberFormat="1" applyFont="1" applyFill="1" applyBorder="1" applyProtection="1"/>
    <xf numFmtId="4" fontId="29" fillId="2" borderId="130" xfId="0" applyNumberFormat="1" applyFont="1" applyFill="1" applyBorder="1" applyAlignment="1" applyProtection="1">
      <alignment horizontal="center"/>
    </xf>
    <xf numFmtId="3" fontId="29" fillId="2" borderId="130" xfId="0" applyNumberFormat="1" applyFont="1" applyFill="1" applyBorder="1" applyAlignment="1" applyProtection="1">
      <alignment horizontal="center"/>
    </xf>
    <xf numFmtId="4" fontId="29" fillId="3" borderId="189" xfId="0" applyNumberFormat="1" applyFont="1" applyFill="1" applyBorder="1" applyProtection="1"/>
    <xf numFmtId="4" fontId="29" fillId="3" borderId="129" xfId="0" applyNumberFormat="1" applyFont="1" applyFill="1" applyBorder="1" applyProtection="1"/>
    <xf numFmtId="4" fontId="29" fillId="3" borderId="130" xfId="0" applyNumberFormat="1" applyFont="1" applyFill="1" applyBorder="1" applyProtection="1"/>
    <xf numFmtId="4" fontId="29" fillId="2" borderId="188" xfId="0" applyNumberFormat="1" applyFont="1" applyFill="1" applyBorder="1" applyProtection="1"/>
    <xf numFmtId="4" fontId="29" fillId="2" borderId="187" xfId="0" applyNumberFormat="1" applyFont="1" applyFill="1" applyBorder="1" applyProtection="1"/>
    <xf numFmtId="165" fontId="8" fillId="2" borderId="77" xfId="0" applyNumberFormat="1" applyFont="1" applyFill="1" applyBorder="1" applyAlignment="1" applyProtection="1">
      <alignment horizontal="center"/>
      <protection locked="0"/>
    </xf>
    <xf numFmtId="3" fontId="8" fillId="2" borderId="77" xfId="0" applyNumberFormat="1" applyFont="1" applyFill="1" applyBorder="1" applyAlignment="1" applyProtection="1">
      <alignment horizontal="center"/>
      <protection locked="0"/>
    </xf>
    <xf numFmtId="3" fontId="8" fillId="2" borderId="81" xfId="0" applyNumberFormat="1" applyFont="1" applyFill="1" applyBorder="1" applyAlignment="1" applyProtection="1">
      <alignment horizontal="center"/>
      <protection locked="0"/>
    </xf>
    <xf numFmtId="0" fontId="8" fillId="2" borderId="83" xfId="0" applyFont="1" applyFill="1" applyBorder="1" applyAlignment="1" applyProtection="1">
      <alignment horizontal="center"/>
      <protection locked="0"/>
    </xf>
    <xf numFmtId="4" fontId="8" fillId="2" borderId="77" xfId="0" applyNumberFormat="1" applyFont="1" applyFill="1" applyBorder="1" applyProtection="1">
      <protection locked="0"/>
    </xf>
    <xf numFmtId="165" fontId="8" fillId="2" borderId="78" xfId="0" applyNumberFormat="1" applyFont="1" applyFill="1" applyBorder="1" applyAlignment="1" applyProtection="1">
      <alignment horizontal="center" wrapText="1"/>
      <protection locked="0"/>
    </xf>
    <xf numFmtId="3" fontId="8" fillId="2" borderId="78" xfId="0" applyNumberFormat="1" applyFont="1" applyFill="1" applyBorder="1" applyAlignment="1" applyProtection="1">
      <alignment horizontal="center" wrapText="1"/>
      <protection locked="0"/>
    </xf>
    <xf numFmtId="3" fontId="8" fillId="2" borderId="84" xfId="0" applyNumberFormat="1" applyFont="1" applyFill="1" applyBorder="1" applyAlignment="1" applyProtection="1">
      <alignment horizontal="center" wrapText="1"/>
      <protection locked="0"/>
    </xf>
    <xf numFmtId="0" fontId="8" fillId="2" borderId="86" xfId="0" applyFont="1" applyFill="1" applyBorder="1" applyAlignment="1" applyProtection="1">
      <alignment horizontal="center" wrapText="1"/>
      <protection locked="0"/>
    </xf>
    <xf numFmtId="4" fontId="8" fillId="2" borderId="78" xfId="0" applyNumberFormat="1" applyFont="1" applyFill="1" applyBorder="1" applyAlignment="1" applyProtection="1">
      <alignment wrapText="1"/>
      <protection locked="0"/>
    </xf>
    <xf numFmtId="165" fontId="8" fillId="2" borderId="78" xfId="0" applyNumberFormat="1" applyFont="1" applyFill="1" applyBorder="1" applyAlignment="1" applyProtection="1">
      <alignment horizontal="center"/>
      <protection locked="0"/>
    </xf>
    <xf numFmtId="3" fontId="8" fillId="2" borderId="78" xfId="0" applyNumberFormat="1" applyFont="1" applyFill="1" applyBorder="1" applyAlignment="1" applyProtection="1">
      <alignment horizontal="center"/>
      <protection locked="0"/>
    </xf>
    <xf numFmtId="3" fontId="8" fillId="2" borderId="84" xfId="0" applyNumberFormat="1" applyFont="1" applyFill="1" applyBorder="1" applyAlignment="1" applyProtection="1">
      <alignment horizontal="center"/>
      <protection locked="0"/>
    </xf>
    <xf numFmtId="0" fontId="8" fillId="2" borderId="86" xfId="0" applyFont="1" applyFill="1" applyBorder="1" applyAlignment="1" applyProtection="1">
      <alignment horizontal="center"/>
      <protection locked="0"/>
    </xf>
    <xf numFmtId="0" fontId="8" fillId="2" borderId="78" xfId="0" applyFont="1" applyFill="1" applyBorder="1" applyAlignment="1" applyProtection="1">
      <alignment horizontal="center"/>
      <protection locked="0"/>
    </xf>
    <xf numFmtId="4" fontId="8" fillId="2" borderId="78" xfId="0" applyNumberFormat="1" applyFont="1" applyFill="1" applyBorder="1" applyProtection="1">
      <protection locked="0"/>
    </xf>
    <xf numFmtId="4" fontId="8" fillId="2" borderId="78" xfId="0" applyNumberFormat="1" applyFont="1" applyFill="1" applyBorder="1" applyAlignment="1" applyProtection="1">
      <alignment horizontal="left"/>
      <protection locked="0"/>
    </xf>
    <xf numFmtId="165" fontId="8" fillId="2" borderId="79" xfId="0" applyNumberFormat="1" applyFont="1" applyFill="1" applyBorder="1" applyAlignment="1" applyProtection="1">
      <alignment horizontal="center"/>
      <protection locked="0"/>
    </xf>
    <xf numFmtId="3" fontId="8" fillId="2" borderId="87" xfId="0" applyNumberFormat="1" applyFont="1" applyFill="1" applyBorder="1" applyAlignment="1" applyProtection="1">
      <alignment horizontal="center"/>
      <protection locked="0"/>
    </xf>
    <xf numFmtId="0" fontId="8" fillId="2" borderId="89" xfId="0" applyFont="1" applyFill="1" applyBorder="1" applyAlignment="1" applyProtection="1">
      <alignment horizontal="center"/>
      <protection locked="0"/>
    </xf>
    <xf numFmtId="0" fontId="8" fillId="2" borderId="79" xfId="0" applyFont="1" applyFill="1" applyBorder="1" applyAlignment="1" applyProtection="1">
      <alignment horizontal="center"/>
      <protection locked="0"/>
    </xf>
    <xf numFmtId="4" fontId="29" fillId="2" borderId="130" xfId="0" applyNumberFormat="1" applyFont="1" applyFill="1" applyBorder="1" applyProtection="1">
      <protection locked="0"/>
    </xf>
    <xf numFmtId="0" fontId="8" fillId="2" borderId="66" xfId="0" applyFont="1" applyFill="1" applyBorder="1" applyAlignment="1" applyProtection="1">
      <alignment horizontal="left"/>
      <protection locked="0"/>
    </xf>
    <xf numFmtId="0" fontId="8" fillId="2" borderId="68" xfId="0" applyFont="1" applyFill="1" applyBorder="1" applyAlignment="1" applyProtection="1">
      <alignment horizontal="left"/>
      <protection locked="0"/>
    </xf>
    <xf numFmtId="4" fontId="8" fillId="3" borderId="76" xfId="0" applyNumberFormat="1" applyFont="1" applyFill="1" applyBorder="1" applyProtection="1"/>
    <xf numFmtId="0" fontId="8" fillId="3" borderId="59" xfId="0" applyFont="1" applyFill="1" applyBorder="1" applyProtection="1"/>
    <xf numFmtId="4" fontId="8" fillId="3" borderId="42" xfId="0" applyNumberFormat="1" applyFont="1" applyFill="1" applyBorder="1" applyAlignment="1" applyProtection="1">
      <alignment wrapText="1"/>
    </xf>
    <xf numFmtId="0" fontId="8" fillId="3" borderId="61" xfId="0" applyFont="1" applyFill="1" applyBorder="1" applyAlignment="1" applyProtection="1">
      <alignment wrapText="1"/>
    </xf>
    <xf numFmtId="4" fontId="8" fillId="3" borderId="42" xfId="0" applyNumberFormat="1" applyFont="1" applyFill="1" applyBorder="1" applyProtection="1"/>
    <xf numFmtId="0" fontId="8" fillId="3" borderId="61" xfId="0" applyFont="1" applyFill="1" applyBorder="1" applyProtection="1"/>
    <xf numFmtId="4" fontId="8" fillId="3" borderId="42" xfId="0" applyNumberFormat="1" applyFont="1" applyFill="1" applyBorder="1" applyAlignment="1" applyProtection="1">
      <alignment horizontal="left"/>
    </xf>
    <xf numFmtId="0" fontId="8" fillId="3" borderId="61" xfId="0" applyFont="1" applyFill="1" applyBorder="1" applyAlignment="1" applyProtection="1">
      <alignment horizontal="left"/>
    </xf>
    <xf numFmtId="4" fontId="8" fillId="3" borderId="80" xfId="0" applyNumberFormat="1" applyFont="1" applyFill="1" applyBorder="1" applyAlignment="1" applyProtection="1">
      <alignment horizontal="left"/>
    </xf>
    <xf numFmtId="0" fontId="8" fillId="3" borderId="19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vertical="center"/>
    </xf>
    <xf numFmtId="4" fontId="11" fillId="2" borderId="0" xfId="0" applyNumberFormat="1" applyFont="1" applyFill="1" applyBorder="1" applyAlignment="1" applyProtection="1">
      <alignment vertical="center"/>
      <protection locked="0"/>
    </xf>
    <xf numFmtId="4" fontId="11" fillId="2" borderId="0" xfId="0" applyNumberFormat="1" applyFont="1" applyFill="1" applyBorder="1" applyAlignment="1" applyProtection="1">
      <alignment horizontal="left" vertical="center"/>
      <protection locked="0"/>
    </xf>
    <xf numFmtId="0" fontId="27" fillId="2" borderId="0" xfId="0" applyFont="1" applyFill="1" applyBorder="1" applyAlignment="1" applyProtection="1">
      <alignment horizontal="left" vertical="center"/>
    </xf>
    <xf numFmtId="0" fontId="26" fillId="2" borderId="0" xfId="0" applyFont="1" applyFill="1" applyBorder="1" applyAlignment="1" applyProtection="1">
      <alignment vertical="center"/>
    </xf>
    <xf numFmtId="0" fontId="26" fillId="2" borderId="0" xfId="0" quotePrefix="1" applyFont="1" applyFill="1" applyBorder="1" applyAlignment="1" applyProtection="1">
      <alignment vertical="center"/>
    </xf>
    <xf numFmtId="4" fontId="15" fillId="3" borderId="76" xfId="0" applyNumberFormat="1" applyFont="1" applyFill="1" applyBorder="1" applyAlignment="1" applyProtection="1">
      <alignment horizontal="center" vertical="center"/>
    </xf>
    <xf numFmtId="1" fontId="15" fillId="3" borderId="80" xfId="0" applyNumberFormat="1" applyFont="1" applyFill="1" applyBorder="1" applyAlignment="1" applyProtection="1">
      <alignment horizontal="center" vertical="center"/>
    </xf>
    <xf numFmtId="0" fontId="8" fillId="2" borderId="66" xfId="0" applyFont="1" applyFill="1" applyBorder="1" applyAlignment="1" applyProtection="1">
      <alignment vertical="center"/>
    </xf>
    <xf numFmtId="0" fontId="8" fillId="2" borderId="67" xfId="0" applyFont="1" applyFill="1" applyBorder="1" applyAlignment="1" applyProtection="1">
      <alignment vertical="center"/>
    </xf>
    <xf numFmtId="0" fontId="8" fillId="2" borderId="68" xfId="0" applyFont="1" applyFill="1" applyBorder="1" applyAlignment="1" applyProtection="1">
      <alignment vertical="center"/>
    </xf>
    <xf numFmtId="0" fontId="15" fillId="2" borderId="74" xfId="0" applyFont="1" applyFill="1" applyBorder="1" applyAlignment="1" applyProtection="1">
      <alignment vertical="center"/>
    </xf>
    <xf numFmtId="4" fontId="15" fillId="2" borderId="75" xfId="0" applyNumberFormat="1" applyFont="1" applyFill="1" applyBorder="1" applyAlignment="1" applyProtection="1">
      <alignment vertical="center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0" fontId="7" fillId="2" borderId="0" xfId="0" applyFont="1" applyFill="1"/>
    <xf numFmtId="4" fontId="53" fillId="2" borderId="101" xfId="0" applyNumberFormat="1" applyFont="1" applyFill="1" applyBorder="1" applyAlignment="1">
      <alignment vertical="center"/>
    </xf>
    <xf numFmtId="4" fontId="53" fillId="2" borderId="42" xfId="0" applyNumberFormat="1" applyFont="1" applyFill="1" applyBorder="1" applyAlignment="1">
      <alignment vertical="center"/>
    </xf>
    <xf numFmtId="4" fontId="36" fillId="2" borderId="15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3" fontId="15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quotePrefix="1" applyFont="1" applyFill="1" applyBorder="1" applyAlignment="1">
      <alignment horizontal="left" vertical="center"/>
    </xf>
    <xf numFmtId="3" fontId="7" fillId="2" borderId="0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15" fillId="3" borderId="33" xfId="0" quotePrefix="1" applyFont="1" applyFill="1" applyBorder="1" applyAlignment="1">
      <alignment horizontal="left" vertical="center"/>
    </xf>
    <xf numFmtId="0" fontId="52" fillId="2" borderId="0" xfId="0" applyFont="1" applyFill="1"/>
    <xf numFmtId="0" fontId="15" fillId="3" borderId="76" xfId="0" applyFont="1" applyFill="1" applyBorder="1" applyAlignment="1">
      <alignment horizontal="center" vertical="center" wrapText="1"/>
    </xf>
    <xf numFmtId="0" fontId="53" fillId="2" borderId="101" xfId="0" applyFont="1" applyFill="1" applyBorder="1" applyAlignment="1" applyProtection="1">
      <alignment horizontal="center" vertical="center"/>
      <protection locked="0"/>
    </xf>
    <xf numFmtId="0" fontId="26" fillId="2" borderId="9" xfId="0" applyFont="1" applyFill="1" applyBorder="1" applyAlignment="1">
      <alignment horizontal="left" vertical="center"/>
    </xf>
    <xf numFmtId="0" fontId="27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left" vertical="center"/>
    </xf>
    <xf numFmtId="4" fontId="27" fillId="2" borderId="0" xfId="0" applyNumberFormat="1" applyFont="1" applyFill="1" applyBorder="1" applyAlignment="1">
      <alignment vertical="center"/>
    </xf>
    <xf numFmtId="0" fontId="26" fillId="2" borderId="0" xfId="0" quotePrefix="1" applyFont="1" applyFill="1" applyBorder="1" applyAlignment="1">
      <alignment horizontal="left" vertical="center"/>
    </xf>
    <xf numFmtId="0" fontId="26" fillId="2" borderId="0" xfId="0" quotePrefix="1" applyFont="1" applyFill="1" applyAlignment="1">
      <alignment horizontal="left" vertical="center"/>
    </xf>
    <xf numFmtId="4" fontId="26" fillId="2" borderId="0" xfId="0" applyNumberFormat="1" applyFont="1" applyFill="1" applyBorder="1" applyAlignment="1">
      <alignment horizontal="left" vertical="center"/>
    </xf>
    <xf numFmtId="4" fontId="9" fillId="2" borderId="77" xfId="0" applyNumberFormat="1" applyFont="1" applyFill="1" applyBorder="1" applyAlignment="1" applyProtection="1">
      <alignment horizontal="right" vertical="center"/>
      <protection locked="0"/>
    </xf>
    <xf numFmtId="0" fontId="15" fillId="2" borderId="18" xfId="0" applyFont="1" applyFill="1" applyBorder="1" applyAlignment="1">
      <alignment horizontal="left" vertical="center"/>
    </xf>
    <xf numFmtId="4" fontId="11" fillId="2" borderId="68" xfId="0" applyNumberFormat="1" applyFont="1" applyFill="1" applyBorder="1" applyAlignment="1" applyProtection="1">
      <alignment horizontal="left" vertical="center"/>
      <protection locked="0"/>
    </xf>
    <xf numFmtId="4" fontId="11" fillId="2" borderId="71" xfId="0" applyNumberFormat="1" applyFont="1" applyFill="1" applyBorder="1" applyAlignment="1" applyProtection="1">
      <alignment horizontal="left" vertical="center"/>
      <protection locked="0"/>
    </xf>
    <xf numFmtId="4" fontId="8" fillId="2" borderId="79" xfId="0" applyNumberFormat="1" applyFont="1" applyFill="1" applyBorder="1" applyAlignment="1" applyProtection="1">
      <alignment horizontal="right"/>
      <protection locked="0"/>
    </xf>
    <xf numFmtId="0" fontId="15" fillId="2" borderId="63" xfId="0" applyFont="1" applyFill="1" applyBorder="1" applyAlignment="1" applyProtection="1">
      <alignment vertical="center"/>
    </xf>
    <xf numFmtId="0" fontId="15" fillId="2" borderId="65" xfId="0" applyFont="1" applyFill="1" applyBorder="1" applyAlignment="1" applyProtection="1">
      <alignment vertical="center"/>
    </xf>
    <xf numFmtId="4" fontId="15" fillId="2" borderId="77" xfId="0" applyNumberFormat="1" applyFont="1" applyFill="1" applyBorder="1" applyAlignment="1" applyProtection="1">
      <alignment horizontal="left" vertical="center"/>
      <protection locked="0"/>
    </xf>
    <xf numFmtId="0" fontId="15" fillId="2" borderId="77" xfId="0" applyFont="1" applyFill="1" applyBorder="1" applyAlignment="1" applyProtection="1">
      <alignment horizontal="left" vertical="center"/>
      <protection locked="0"/>
    </xf>
    <xf numFmtId="0" fontId="15" fillId="2" borderId="69" xfId="0" applyFont="1" applyFill="1" applyBorder="1" applyAlignment="1" applyProtection="1">
      <alignment vertical="center"/>
    </xf>
    <xf numFmtId="0" fontId="15" fillId="2" borderId="71" xfId="0" applyFont="1" applyFill="1" applyBorder="1" applyAlignment="1" applyProtection="1">
      <alignment vertical="center"/>
    </xf>
    <xf numFmtId="4" fontId="15" fillId="2" borderId="79" xfId="0" applyNumberFormat="1" applyFont="1" applyFill="1" applyBorder="1" applyAlignment="1" applyProtection="1">
      <alignment horizontal="left" vertical="center"/>
      <protection locked="0"/>
    </xf>
    <xf numFmtId="0" fontId="15" fillId="2" borderId="79" xfId="0" applyFont="1" applyFill="1" applyBorder="1" applyAlignment="1" applyProtection="1">
      <alignment horizontal="left" vertical="center"/>
      <protection locked="0"/>
    </xf>
    <xf numFmtId="4" fontId="15" fillId="2" borderId="77" xfId="0" applyNumberFormat="1" applyFont="1" applyFill="1" applyBorder="1" applyAlignment="1" applyProtection="1">
      <alignment vertical="center"/>
    </xf>
    <xf numFmtId="4" fontId="15" fillId="2" borderId="77" xfId="0" applyNumberFormat="1" applyFont="1" applyFill="1" applyBorder="1" applyAlignment="1" applyProtection="1">
      <alignment horizontal="left" vertical="center"/>
    </xf>
    <xf numFmtId="0" fontId="15" fillId="2" borderId="77" xfId="0" applyFont="1" applyFill="1" applyBorder="1" applyAlignment="1" applyProtection="1">
      <alignment horizontal="left" vertical="center"/>
    </xf>
    <xf numFmtId="0" fontId="15" fillId="2" borderId="66" xfId="0" applyFont="1" applyFill="1" applyBorder="1" applyAlignment="1" applyProtection="1">
      <alignment vertical="center"/>
    </xf>
    <xf numFmtId="0" fontId="15" fillId="2" borderId="68" xfId="0" applyFont="1" applyFill="1" applyBorder="1" applyAlignment="1" applyProtection="1">
      <alignment vertical="center"/>
    </xf>
    <xf numFmtId="4" fontId="15" fillId="2" borderId="78" xfId="0" applyNumberFormat="1" applyFont="1" applyFill="1" applyBorder="1" applyAlignment="1" applyProtection="1">
      <alignment vertical="center"/>
    </xf>
    <xf numFmtId="4" fontId="15" fillId="2" borderId="78" xfId="0" applyNumberFormat="1" applyFont="1" applyFill="1" applyBorder="1" applyAlignment="1" applyProtection="1">
      <alignment horizontal="left" vertical="center"/>
    </xf>
    <xf numFmtId="0" fontId="15" fillId="2" borderId="78" xfId="0" applyFont="1" applyFill="1" applyBorder="1" applyAlignment="1" applyProtection="1">
      <alignment horizontal="left" vertical="center"/>
    </xf>
    <xf numFmtId="0" fontId="27" fillId="0" borderId="9" xfId="0" applyFont="1" applyFill="1" applyBorder="1" applyAlignment="1" applyProtection="1">
      <alignment horizontal="left" vertical="center"/>
      <protection locked="0"/>
    </xf>
    <xf numFmtId="0" fontId="27" fillId="0" borderId="0" xfId="0" applyFont="1" applyFill="1" applyBorder="1" applyAlignment="1" applyProtection="1">
      <alignment horizontal="left" vertical="center"/>
      <protection locked="0"/>
    </xf>
    <xf numFmtId="0" fontId="27" fillId="0" borderId="10" xfId="0" applyFont="1" applyFill="1" applyBorder="1" applyAlignment="1" applyProtection="1">
      <alignment horizontal="left" vertical="center"/>
      <protection locked="0"/>
    </xf>
    <xf numFmtId="0" fontId="15" fillId="2" borderId="57" xfId="0" applyFont="1" applyFill="1" applyBorder="1" applyAlignment="1" applyProtection="1">
      <alignment vertical="center"/>
    </xf>
    <xf numFmtId="0" fontId="15" fillId="2" borderId="59" xfId="0" applyFont="1" applyFill="1" applyBorder="1" applyAlignment="1" applyProtection="1">
      <alignment vertical="center"/>
    </xf>
    <xf numFmtId="4" fontId="15" fillId="2" borderId="76" xfId="0" applyNumberFormat="1" applyFont="1" applyFill="1" applyBorder="1" applyAlignment="1" applyProtection="1">
      <alignment vertical="center"/>
      <protection locked="0"/>
    </xf>
    <xf numFmtId="4" fontId="15" fillId="2" borderId="76" xfId="0" applyNumberFormat="1" applyFont="1" applyFill="1" applyBorder="1" applyAlignment="1" applyProtection="1">
      <alignment horizontal="left" vertical="center"/>
      <protection locked="0"/>
    </xf>
    <xf numFmtId="0" fontId="15" fillId="2" borderId="76" xfId="0" applyFont="1" applyFill="1" applyBorder="1" applyAlignment="1" applyProtection="1">
      <alignment horizontal="left" vertical="center"/>
      <protection locked="0"/>
    </xf>
    <xf numFmtId="4" fontId="11" fillId="2" borderId="77" xfId="0" applyNumberFormat="1" applyFont="1" applyFill="1" applyBorder="1" applyAlignment="1" applyProtection="1">
      <alignment horizontal="right" vertical="center"/>
      <protection locked="0"/>
    </xf>
    <xf numFmtId="1" fontId="11" fillId="2" borderId="101" xfId="0" applyNumberFormat="1" applyFont="1" applyFill="1" applyBorder="1" applyAlignment="1" applyProtection="1">
      <alignment horizontal="center" vertical="center"/>
      <protection locked="0"/>
    </xf>
    <xf numFmtId="1" fontId="11" fillId="2" borderId="78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left"/>
    </xf>
    <xf numFmtId="4" fontId="18" fillId="2" borderId="0" xfId="0" applyNumberFormat="1" applyFont="1" applyFill="1" applyBorder="1"/>
    <xf numFmtId="0" fontId="27" fillId="2" borderId="0" xfId="0" quotePrefix="1" applyFont="1" applyFill="1" applyBorder="1" applyAlignment="1">
      <alignment horizontal="left"/>
    </xf>
    <xf numFmtId="4" fontId="11" fillId="2" borderId="75" xfId="0" applyNumberFormat="1" applyFont="1" applyFill="1" applyBorder="1" applyAlignment="1" applyProtection="1">
      <alignment horizontal="left" vertical="center"/>
      <protection locked="0"/>
    </xf>
    <xf numFmtId="4" fontId="10" fillId="2" borderId="104" xfId="131" applyNumberFormat="1" applyFont="1" applyFill="1" applyBorder="1" applyAlignment="1" applyProtection="1">
      <alignment vertical="center"/>
      <protection locked="0"/>
    </xf>
    <xf numFmtId="4" fontId="10" fillId="2" borderId="68" xfId="131" applyNumberFormat="1" applyFont="1" applyFill="1" applyBorder="1" applyAlignment="1" applyProtection="1">
      <alignment vertical="center"/>
      <protection locked="0"/>
    </xf>
    <xf numFmtId="4" fontId="10" fillId="2" borderId="98" xfId="131" applyNumberFormat="1" applyFont="1" applyFill="1" applyBorder="1" applyAlignment="1" applyProtection="1">
      <alignment vertical="center"/>
      <protection locked="0"/>
    </xf>
    <xf numFmtId="4" fontId="10" fillId="2" borderId="71" xfId="131" applyNumberFormat="1" applyFont="1" applyFill="1" applyBorder="1" applyAlignment="1" applyProtection="1">
      <alignment vertical="center"/>
      <protection locked="0"/>
    </xf>
    <xf numFmtId="0" fontId="10" fillId="2" borderId="104" xfId="0" applyNumberFormat="1" applyFont="1" applyFill="1" applyBorder="1" applyAlignment="1" applyProtection="1">
      <alignment horizontal="left" vertical="center"/>
      <protection locked="0"/>
    </xf>
    <xf numFmtId="0" fontId="10" fillId="2" borderId="68" xfId="0" applyNumberFormat="1" applyFont="1" applyFill="1" applyBorder="1" applyAlignment="1" applyProtection="1">
      <alignment horizontal="left" vertical="center"/>
      <protection locked="0"/>
    </xf>
    <xf numFmtId="0" fontId="10" fillId="2" borderId="98" xfId="0" applyNumberFormat="1" applyFont="1" applyFill="1" applyBorder="1" applyAlignment="1" applyProtection="1">
      <alignment horizontal="left" vertical="center"/>
      <protection locked="0"/>
    </xf>
    <xf numFmtId="0" fontId="10" fillId="2" borderId="71" xfId="0" applyNumberFormat="1" applyFont="1" applyFill="1" applyBorder="1" applyAlignment="1" applyProtection="1">
      <alignment horizontal="left" vertical="center"/>
      <protection locked="0"/>
    </xf>
    <xf numFmtId="0" fontId="6" fillId="2" borderId="101" xfId="0" applyNumberFormat="1" applyFont="1" applyFill="1" applyBorder="1" applyAlignment="1" applyProtection="1">
      <alignment horizontal="center" vertical="center"/>
      <protection locked="0"/>
    </xf>
    <xf numFmtId="0" fontId="6" fillId="2" borderId="78" xfId="0" applyNumberFormat="1" applyFont="1" applyFill="1" applyBorder="1" applyAlignment="1" applyProtection="1">
      <alignment horizontal="center" vertical="center"/>
      <protection locked="0"/>
    </xf>
    <xf numFmtId="0" fontId="6" fillId="2" borderId="95" xfId="0" applyNumberFormat="1" applyFont="1" applyFill="1" applyBorder="1" applyAlignment="1" applyProtection="1">
      <alignment horizontal="center" vertical="center"/>
      <protection locked="0"/>
    </xf>
    <xf numFmtId="0" fontId="6" fillId="2" borderId="79" xfId="0" applyNumberFormat="1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 applyProtection="1">
      <alignment horizontal="center"/>
      <protection locked="0"/>
    </xf>
    <xf numFmtId="4" fontId="15" fillId="2" borderId="65" xfId="0" applyNumberFormat="1" applyFont="1" applyFill="1" applyBorder="1" applyAlignment="1" applyProtection="1">
      <alignment horizontal="center" vertical="center"/>
      <protection locked="0"/>
    </xf>
    <xf numFmtId="4" fontId="11" fillId="2" borderId="65" xfId="0" applyNumberFormat="1" applyFont="1" applyFill="1" applyBorder="1" applyAlignment="1" applyProtection="1">
      <alignment horizontal="center" vertical="center"/>
      <protection locked="0"/>
    </xf>
    <xf numFmtId="4" fontId="15" fillId="2" borderId="104" xfId="0" applyNumberFormat="1" applyFont="1" applyFill="1" applyBorder="1" applyAlignment="1" applyProtection="1">
      <alignment horizontal="center" vertical="center"/>
      <protection locked="0"/>
    </xf>
    <xf numFmtId="4" fontId="11" fillId="2" borderId="104" xfId="0" applyNumberFormat="1" applyFont="1" applyFill="1" applyBorder="1" applyAlignment="1" applyProtection="1">
      <alignment horizontal="center" vertical="center"/>
      <protection locked="0"/>
    </xf>
    <xf numFmtId="4" fontId="15" fillId="2" borderId="68" xfId="0" applyNumberFormat="1" applyFont="1" applyFill="1" applyBorder="1" applyAlignment="1" applyProtection="1">
      <alignment horizontal="center" vertical="center"/>
      <protection locked="0"/>
    </xf>
    <xf numFmtId="4" fontId="11" fillId="2" borderId="68" xfId="0" applyNumberFormat="1" applyFont="1" applyFill="1" applyBorder="1" applyAlignment="1" applyProtection="1">
      <alignment horizontal="center" vertical="center"/>
      <protection locked="0"/>
    </xf>
    <xf numFmtId="4" fontId="15" fillId="2" borderId="98" xfId="0" applyNumberFormat="1" applyFont="1" applyFill="1" applyBorder="1" applyAlignment="1" applyProtection="1">
      <alignment horizontal="center" vertical="center"/>
      <protection locked="0"/>
    </xf>
    <xf numFmtId="4" fontId="11" fillId="2" borderId="98" xfId="0" applyNumberFormat="1" applyFont="1" applyFill="1" applyBorder="1" applyAlignment="1" applyProtection="1">
      <alignment horizontal="center" vertical="center"/>
      <protection locked="0"/>
    </xf>
    <xf numFmtId="4" fontId="15" fillId="2" borderId="71" xfId="0" applyNumberFormat="1" applyFont="1" applyFill="1" applyBorder="1" applyAlignment="1" applyProtection="1">
      <alignment horizontal="center" vertical="center"/>
      <protection locked="0"/>
    </xf>
    <xf numFmtId="4" fontId="11" fillId="2" borderId="71" xfId="0" applyNumberFormat="1" applyFont="1" applyFill="1" applyBorder="1" applyAlignment="1" applyProtection="1">
      <alignment horizontal="center" vertical="center"/>
      <protection locked="0"/>
    </xf>
    <xf numFmtId="4" fontId="15" fillId="2" borderId="75" xfId="0" applyNumberFormat="1" applyFont="1" applyFill="1" applyBorder="1" applyAlignment="1">
      <alignment horizontal="center" vertical="center"/>
    </xf>
    <xf numFmtId="4" fontId="15" fillId="2" borderId="72" xfId="0" applyNumberFormat="1" applyFont="1" applyFill="1" applyBorder="1" applyAlignment="1">
      <alignment horizontal="center" vertical="center"/>
    </xf>
    <xf numFmtId="0" fontId="6" fillId="2" borderId="99" xfId="0" applyFont="1" applyFill="1" applyBorder="1" applyAlignment="1">
      <alignment horizontal="left" vertical="center"/>
    </xf>
    <xf numFmtId="4" fontId="11" fillId="2" borderId="83" xfId="0" applyNumberFormat="1" applyFont="1" applyFill="1" applyBorder="1" applyAlignment="1" applyProtection="1">
      <alignment horizontal="right" vertical="center"/>
      <protection locked="0"/>
    </xf>
    <xf numFmtId="4" fontId="6" fillId="2" borderId="102" xfId="0" applyNumberFormat="1" applyFont="1" applyFill="1" applyBorder="1" applyAlignment="1" applyProtection="1">
      <alignment horizontal="right" vertical="center"/>
      <protection locked="0"/>
    </xf>
    <xf numFmtId="4" fontId="6" fillId="2" borderId="77" xfId="0" applyNumberFormat="1" applyFont="1" applyFill="1" applyBorder="1" applyAlignment="1" applyProtection="1">
      <alignment horizontal="right" vertical="center"/>
      <protection locked="0"/>
    </xf>
    <xf numFmtId="4" fontId="6" fillId="2" borderId="84" xfId="0" applyNumberFormat="1" applyFont="1" applyFill="1" applyBorder="1" applyAlignment="1" applyProtection="1">
      <alignment horizontal="right" vertical="center"/>
      <protection locked="0"/>
    </xf>
    <xf numFmtId="4" fontId="6" fillId="2" borderId="78" xfId="0" applyNumberFormat="1" applyFont="1" applyFill="1" applyBorder="1" applyAlignment="1" applyProtection="1">
      <alignment horizontal="right" vertical="center"/>
      <protection locked="0"/>
    </xf>
    <xf numFmtId="4" fontId="6" fillId="2" borderId="87" xfId="0" applyNumberFormat="1" applyFont="1" applyFill="1" applyBorder="1" applyAlignment="1" applyProtection="1">
      <alignment horizontal="right" vertical="center"/>
      <protection locked="0"/>
    </xf>
    <xf numFmtId="4" fontId="6" fillId="2" borderId="79" xfId="0" applyNumberFormat="1" applyFont="1" applyFill="1" applyBorder="1" applyAlignment="1" applyProtection="1">
      <alignment horizontal="right" vertical="center"/>
      <protection locked="0"/>
    </xf>
    <xf numFmtId="0" fontId="15" fillId="3" borderId="76" xfId="0" applyFont="1" applyFill="1" applyBorder="1" applyAlignment="1">
      <alignment horizontal="center"/>
    </xf>
    <xf numFmtId="0" fontId="15" fillId="3" borderId="42" xfId="0" applyFont="1" applyFill="1" applyBorder="1" applyAlignment="1">
      <alignment horizontal="center"/>
    </xf>
    <xf numFmtId="0" fontId="11" fillId="2" borderId="9" xfId="0" applyFont="1" applyFill="1" applyBorder="1" applyAlignment="1">
      <alignment vertical="center"/>
    </xf>
    <xf numFmtId="0" fontId="11" fillId="2" borderId="77" xfId="0" applyFont="1" applyFill="1" applyBorder="1" applyAlignment="1">
      <alignment vertical="center"/>
    </xf>
    <xf numFmtId="4" fontId="11" fillId="2" borderId="77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52" fillId="2" borderId="0" xfId="0" applyFont="1" applyFill="1" applyAlignment="1">
      <alignment vertical="center"/>
    </xf>
    <xf numFmtId="0" fontId="11" fillId="2" borderId="78" xfId="0" applyFont="1" applyFill="1" applyBorder="1" applyAlignment="1">
      <alignment vertical="center"/>
    </xf>
    <xf numFmtId="0" fontId="11" fillId="2" borderId="78" xfId="0" applyFont="1" applyFill="1" applyBorder="1" applyAlignment="1">
      <alignment horizontal="center" vertical="center"/>
    </xf>
    <xf numFmtId="0" fontId="9" fillId="2" borderId="78" xfId="0" applyFont="1" applyFill="1" applyBorder="1" applyAlignment="1">
      <alignment vertical="center"/>
    </xf>
    <xf numFmtId="0" fontId="11" fillId="3" borderId="78" xfId="0" applyFont="1" applyFill="1" applyBorder="1" applyAlignment="1">
      <alignment vertical="center"/>
    </xf>
    <xf numFmtId="0" fontId="9" fillId="2" borderId="78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vertical="center"/>
    </xf>
    <xf numFmtId="0" fontId="6" fillId="2" borderId="78" xfId="0" applyFont="1" applyFill="1" applyBorder="1" applyAlignment="1">
      <alignment vertical="center"/>
    </xf>
    <xf numFmtId="0" fontId="6" fillId="3" borderId="78" xfId="0" applyFont="1" applyFill="1" applyBorder="1" applyAlignment="1">
      <alignment vertical="center"/>
    </xf>
    <xf numFmtId="0" fontId="6" fillId="2" borderId="78" xfId="0" applyFont="1" applyFill="1" applyBorder="1" applyAlignment="1">
      <alignment horizontal="center" vertical="center"/>
    </xf>
    <xf numFmtId="0" fontId="9" fillId="2" borderId="79" xfId="0" applyFont="1" applyFill="1" applyBorder="1" applyAlignment="1">
      <alignment vertical="center"/>
    </xf>
    <xf numFmtId="0" fontId="11" fillId="2" borderId="79" xfId="0" applyFont="1" applyFill="1" applyBorder="1" applyAlignment="1">
      <alignment vertical="center"/>
    </xf>
    <xf numFmtId="0" fontId="11" fillId="3" borderId="79" xfId="0" applyFont="1" applyFill="1" applyBorder="1" applyAlignment="1">
      <alignment vertical="center"/>
    </xf>
    <xf numFmtId="0" fontId="11" fillId="2" borderId="79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1" fillId="2" borderId="15" xfId="0" applyFont="1" applyFill="1" applyBorder="1" applyAlignment="1">
      <alignment horizontal="center" vertical="center"/>
    </xf>
    <xf numFmtId="0" fontId="43" fillId="7" borderId="0" xfId="0" applyFont="1" applyFill="1" applyBorder="1" applyAlignment="1">
      <alignment vertical="center"/>
    </xf>
    <xf numFmtId="0" fontId="56" fillId="7" borderId="0" xfId="0" applyFont="1" applyFill="1" applyBorder="1" applyAlignment="1">
      <alignment vertical="center"/>
    </xf>
    <xf numFmtId="0" fontId="5" fillId="2" borderId="6" xfId="0" applyFont="1" applyFill="1" applyBorder="1"/>
    <xf numFmtId="0" fontId="40" fillId="2" borderId="100" xfId="0" applyFont="1" applyFill="1" applyBorder="1" applyAlignment="1" applyProtection="1">
      <alignment horizontal="left" vertical="center"/>
      <protection locked="0"/>
    </xf>
    <xf numFmtId="4" fontId="40" fillId="2" borderId="100" xfId="0" applyNumberFormat="1" applyFont="1" applyFill="1" applyBorder="1" applyAlignment="1" applyProtection="1">
      <alignment horizontal="left" vertical="center"/>
      <protection locked="0"/>
    </xf>
    <xf numFmtId="4" fontId="18" fillId="2" borderId="100" xfId="0" applyNumberFormat="1" applyFont="1" applyFill="1" applyBorder="1" applyAlignment="1" applyProtection="1">
      <alignment horizontal="left" vertical="center"/>
      <protection locked="0"/>
    </xf>
    <xf numFmtId="0" fontId="40" fillId="2" borderId="67" xfId="0" applyFont="1" applyFill="1" applyBorder="1" applyAlignment="1" applyProtection="1">
      <alignment horizontal="left" vertical="center"/>
      <protection locked="0"/>
    </xf>
    <xf numFmtId="4" fontId="40" fillId="2" borderId="67" xfId="0" applyNumberFormat="1" applyFont="1" applyFill="1" applyBorder="1" applyAlignment="1" applyProtection="1">
      <alignment horizontal="left" vertical="center"/>
      <protection locked="0"/>
    </xf>
    <xf numFmtId="4" fontId="18" fillId="2" borderId="67" xfId="0" applyNumberFormat="1" applyFont="1" applyFill="1" applyBorder="1" applyAlignment="1" applyProtection="1">
      <alignment horizontal="left" vertical="center"/>
      <protection locked="0"/>
    </xf>
    <xf numFmtId="0" fontId="26" fillId="2" borderId="12" xfId="0" applyFont="1" applyFill="1" applyBorder="1" applyAlignment="1">
      <alignment horizontal="left"/>
    </xf>
    <xf numFmtId="4" fontId="11" fillId="2" borderId="65" xfId="0" applyNumberFormat="1" applyFont="1" applyFill="1" applyBorder="1" applyAlignment="1" applyProtection="1">
      <alignment vertical="center"/>
      <protection locked="0"/>
    </xf>
    <xf numFmtId="4" fontId="11" fillId="2" borderId="104" xfId="0" applyNumberFormat="1" applyFont="1" applyFill="1" applyBorder="1" applyAlignment="1" applyProtection="1">
      <alignment vertical="center"/>
      <protection locked="0"/>
    </xf>
    <xf numFmtId="4" fontId="11" fillId="2" borderId="68" xfId="0" applyNumberFormat="1" applyFont="1" applyFill="1" applyBorder="1" applyAlignment="1" applyProtection="1">
      <alignment vertical="center"/>
      <protection locked="0"/>
    </xf>
    <xf numFmtId="4" fontId="11" fillId="2" borderId="98" xfId="0" applyNumberFormat="1" applyFont="1" applyFill="1" applyBorder="1" applyAlignment="1" applyProtection="1">
      <alignment vertical="center"/>
      <protection locked="0"/>
    </xf>
    <xf numFmtId="4" fontId="11" fillId="2" borderId="71" xfId="0" applyNumberFormat="1" applyFont="1" applyFill="1" applyBorder="1" applyAlignment="1" applyProtection="1">
      <alignment vertical="center"/>
      <protection locked="0"/>
    </xf>
    <xf numFmtId="0" fontId="18" fillId="2" borderId="0" xfId="0" applyFont="1" applyFill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36" fillId="3" borderId="76" xfId="132" applyFont="1" applyFill="1" applyBorder="1" applyAlignment="1">
      <alignment horizontal="center" vertical="center" wrapText="1"/>
    </xf>
    <xf numFmtId="0" fontId="36" fillId="3" borderId="15" xfId="132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/>
    </xf>
    <xf numFmtId="0" fontId="26" fillId="0" borderId="9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26" fillId="0" borderId="1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36" fillId="3" borderId="80" xfId="132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0" fontId="40" fillId="2" borderId="0" xfId="0" applyFont="1" applyFill="1" applyBorder="1" applyAlignment="1" applyProtection="1">
      <alignment horizontal="left" vertical="center"/>
      <protection locked="0"/>
    </xf>
    <xf numFmtId="4" fontId="40" fillId="2" borderId="0" xfId="0" applyNumberFormat="1" applyFont="1" applyFill="1" applyBorder="1" applyAlignment="1" applyProtection="1">
      <alignment horizontal="left" vertical="center"/>
      <protection locked="0"/>
    </xf>
    <xf numFmtId="4" fontId="18" fillId="2" borderId="0" xfId="0" applyNumberFormat="1" applyFont="1" applyFill="1" applyBorder="1" applyAlignment="1" applyProtection="1">
      <alignment horizontal="left" vertical="center"/>
      <protection locked="0"/>
    </xf>
    <xf numFmtId="0" fontId="37" fillId="2" borderId="0" xfId="0" applyFont="1" applyFill="1" applyBorder="1" applyAlignment="1" applyProtection="1">
      <alignment horizontal="left" vertical="center"/>
      <protection locked="0"/>
    </xf>
    <xf numFmtId="0" fontId="40" fillId="2" borderId="0" xfId="0" quotePrefix="1" applyFont="1" applyFill="1" applyBorder="1" applyAlignment="1" applyProtection="1">
      <alignment horizontal="left" vertical="center"/>
      <protection locked="0"/>
    </xf>
    <xf numFmtId="3" fontId="37" fillId="2" borderId="0" xfId="0" applyNumberFormat="1" applyFont="1" applyFill="1" applyBorder="1" applyAlignment="1" applyProtection="1">
      <alignment horizontal="left" vertical="center"/>
      <protection locked="0"/>
    </xf>
    <xf numFmtId="0" fontId="22" fillId="0" borderId="9" xfId="0" applyFont="1" applyFill="1" applyBorder="1" applyAlignment="1">
      <alignment horizontal="left"/>
    </xf>
    <xf numFmtId="0" fontId="40" fillId="0" borderId="0" xfId="0" quotePrefix="1" applyFont="1" applyFill="1" applyBorder="1" applyAlignment="1" applyProtection="1">
      <alignment horizontal="left" vertical="center"/>
      <protection locked="0"/>
    </xf>
    <xf numFmtId="0" fontId="40" fillId="0" borderId="0" xfId="0" applyFont="1" applyFill="1" applyBorder="1" applyAlignment="1" applyProtection="1">
      <alignment horizontal="left" vertical="center"/>
      <protection locked="0"/>
    </xf>
    <xf numFmtId="4" fontId="40" fillId="0" borderId="0" xfId="0" applyNumberFormat="1" applyFont="1" applyFill="1" applyBorder="1" applyAlignment="1" applyProtection="1">
      <alignment horizontal="left" vertical="center"/>
      <protection locked="0"/>
    </xf>
    <xf numFmtId="4" fontId="18" fillId="0" borderId="0" xfId="0" applyNumberFormat="1" applyFont="1" applyFill="1" applyBorder="1" applyAlignment="1" applyProtection="1">
      <alignment horizontal="left" vertical="center"/>
      <protection locked="0"/>
    </xf>
    <xf numFmtId="0" fontId="26" fillId="0" borderId="10" xfId="0" applyFont="1" applyFill="1" applyBorder="1" applyAlignment="1">
      <alignment horizontal="left"/>
    </xf>
    <xf numFmtId="0" fontId="26" fillId="0" borderId="0" xfId="0" applyFont="1" applyFill="1" applyAlignment="1">
      <alignment horizontal="left"/>
    </xf>
    <xf numFmtId="0" fontId="11" fillId="2" borderId="0" xfId="0" applyFont="1" applyFill="1" applyBorder="1" applyAlignment="1" applyProtection="1">
      <protection locked="0"/>
    </xf>
    <xf numFmtId="0" fontId="27" fillId="2" borderId="0" xfId="0" applyFont="1" applyFill="1" applyBorder="1" applyAlignment="1" applyProtection="1">
      <protection locked="0"/>
    </xf>
    <xf numFmtId="0" fontId="23" fillId="0" borderId="0" xfId="0" applyFont="1"/>
    <xf numFmtId="0" fontId="4" fillId="2" borderId="0" xfId="0" applyFont="1" applyFill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78" xfId="0" applyFont="1" applyFill="1" applyBorder="1" applyAlignment="1">
      <alignment vertical="center"/>
    </xf>
    <xf numFmtId="0" fontId="4" fillId="3" borderId="78" xfId="0" applyFont="1" applyFill="1" applyBorder="1" applyAlignment="1">
      <alignment vertical="center"/>
    </xf>
    <xf numFmtId="0" fontId="4" fillId="2" borderId="7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59" fillId="0" borderId="190" xfId="0" applyFont="1" applyBorder="1" applyAlignment="1" applyProtection="1">
      <alignment vertical="center"/>
      <protection locked="0"/>
    </xf>
    <xf numFmtId="0" fontId="59" fillId="0" borderId="0" xfId="0" applyFont="1" applyBorder="1" applyAlignment="1" applyProtection="1">
      <alignment vertical="center"/>
      <protection locked="0"/>
    </xf>
    <xf numFmtId="10" fontId="59" fillId="0" borderId="0" xfId="131" applyNumberFormat="1" applyFont="1" applyBorder="1" applyAlignment="1" applyProtection="1">
      <alignment horizontal="right" vertical="center"/>
      <protection locked="0"/>
    </xf>
    <xf numFmtId="10" fontId="59" fillId="0" borderId="0" xfId="131" applyNumberFormat="1" applyFont="1" applyBorder="1" applyAlignment="1" applyProtection="1">
      <alignment vertical="center"/>
      <protection locked="0"/>
    </xf>
    <xf numFmtId="1" fontId="59" fillId="0" borderId="191" xfId="0" applyNumberFormat="1" applyFont="1" applyBorder="1" applyAlignment="1" applyProtection="1">
      <alignment horizontal="right" vertical="center"/>
      <protection locked="0"/>
    </xf>
    <xf numFmtId="1" fontId="59" fillId="0" borderId="0" xfId="0" applyNumberFormat="1" applyFont="1" applyBorder="1" applyAlignment="1" applyProtection="1">
      <alignment horizontal="right" vertical="center"/>
      <protection locked="0"/>
    </xf>
    <xf numFmtId="0" fontId="4" fillId="2" borderId="77" xfId="0" applyFont="1" applyFill="1" applyBorder="1" applyAlignment="1" applyProtection="1">
      <alignment horizontal="center"/>
      <protection locked="0"/>
    </xf>
    <xf numFmtId="0" fontId="4" fillId="2" borderId="78" xfId="0" applyFont="1" applyFill="1" applyBorder="1" applyAlignment="1" applyProtection="1">
      <alignment horizontal="center"/>
      <protection locked="0"/>
    </xf>
    <xf numFmtId="0" fontId="4" fillId="2" borderId="78" xfId="0" applyFont="1" applyFill="1" applyBorder="1" applyAlignment="1" applyProtection="1">
      <alignment horizontal="center" wrapText="1"/>
      <protection locked="0"/>
    </xf>
    <xf numFmtId="165" fontId="4" fillId="2" borderId="114" xfId="0" applyNumberFormat="1" applyFont="1" applyFill="1" applyBorder="1" applyAlignment="1" applyProtection="1">
      <alignment horizontal="right" vertical="center"/>
      <protection locked="0"/>
    </xf>
    <xf numFmtId="0" fontId="4" fillId="2" borderId="77" xfId="0" applyFont="1" applyFill="1" applyBorder="1" applyAlignment="1" applyProtection="1">
      <alignment horizontal="left" vertical="center"/>
      <protection locked="0"/>
    </xf>
    <xf numFmtId="4" fontId="4" fillId="2" borderId="77" xfId="0" applyNumberFormat="1" applyFont="1" applyFill="1" applyBorder="1" applyAlignment="1" applyProtection="1">
      <alignment vertical="center"/>
      <protection locked="0"/>
    </xf>
    <xf numFmtId="0" fontId="4" fillId="2" borderId="63" xfId="0" applyFont="1" applyFill="1" applyBorder="1" applyAlignment="1" applyProtection="1">
      <alignment vertical="center"/>
      <protection locked="0"/>
    </xf>
    <xf numFmtId="4" fontId="4" fillId="2" borderId="104" xfId="0" applyNumberFormat="1" applyFont="1" applyFill="1" applyBorder="1" applyAlignment="1" applyProtection="1">
      <alignment vertical="center"/>
      <protection locked="0"/>
    </xf>
    <xf numFmtId="0" fontId="4" fillId="2" borderId="66" xfId="0" applyFont="1" applyFill="1" applyBorder="1" applyAlignment="1" applyProtection="1">
      <alignment vertical="center"/>
      <protection locked="0"/>
    </xf>
    <xf numFmtId="4" fontId="4" fillId="2" borderId="65" xfId="0" applyNumberFormat="1" applyFont="1" applyFill="1" applyBorder="1" applyAlignment="1" applyProtection="1">
      <alignment vertical="center"/>
      <protection locked="0"/>
    </xf>
    <xf numFmtId="4" fontId="4" fillId="2" borderId="95" xfId="0" applyNumberFormat="1" applyFont="1" applyFill="1" applyBorder="1" applyAlignment="1" applyProtection="1">
      <alignment vertical="center"/>
      <protection locked="0"/>
    </xf>
    <xf numFmtId="0" fontId="4" fillId="2" borderId="69" xfId="0" applyFont="1" applyFill="1" applyBorder="1" applyAlignment="1" applyProtection="1">
      <alignment vertical="center"/>
      <protection locked="0"/>
    </xf>
    <xf numFmtId="4" fontId="4" fillId="2" borderId="79" xfId="0" applyNumberFormat="1" applyFont="1" applyFill="1" applyBorder="1" applyAlignment="1" applyProtection="1">
      <alignment vertical="center"/>
      <protection locked="0"/>
    </xf>
    <xf numFmtId="4" fontId="26" fillId="0" borderId="9" xfId="0" applyNumberFormat="1" applyFont="1" applyFill="1" applyBorder="1" applyAlignment="1" applyProtection="1">
      <alignment horizontal="left" vertical="center"/>
      <protection locked="0"/>
    </xf>
    <xf numFmtId="4" fontId="26" fillId="0" borderId="0" xfId="0" applyNumberFormat="1" applyFont="1" applyFill="1" applyBorder="1" applyAlignment="1" applyProtection="1">
      <alignment horizontal="left" vertical="center"/>
      <protection locked="0"/>
    </xf>
    <xf numFmtId="0" fontId="4" fillId="2" borderId="63" xfId="0" applyFont="1" applyFill="1" applyBorder="1" applyAlignment="1" applyProtection="1">
      <protection locked="0"/>
    </xf>
    <xf numFmtId="0" fontId="4" fillId="2" borderId="66" xfId="0" applyFont="1" applyFill="1" applyBorder="1" applyAlignment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78" xfId="0" applyFont="1" applyFill="1" applyBorder="1" applyAlignment="1">
      <alignment vertical="center"/>
    </xf>
    <xf numFmtId="0" fontId="3" fillId="3" borderId="78" xfId="0" applyFont="1" applyFill="1" applyBorder="1" applyAlignment="1">
      <alignment vertical="center"/>
    </xf>
    <xf numFmtId="4" fontId="3" fillId="2" borderId="78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4" fontId="27" fillId="0" borderId="9" xfId="0" applyNumberFormat="1" applyFont="1" applyFill="1" applyBorder="1" applyAlignment="1" applyProtection="1">
      <alignment horizontal="left"/>
      <protection locked="0"/>
    </xf>
    <xf numFmtId="49" fontId="2" fillId="2" borderId="65" xfId="0" applyNumberFormat="1" applyFont="1" applyFill="1" applyBorder="1" applyAlignment="1" applyProtection="1">
      <alignment horizontal="center" vertical="center"/>
      <protection locked="0"/>
    </xf>
    <xf numFmtId="4" fontId="11" fillId="2" borderId="64" xfId="0" applyNumberFormat="1" applyFont="1" applyFill="1" applyBorder="1" applyAlignment="1" applyProtection="1">
      <alignment vertical="center"/>
      <protection locked="0"/>
    </xf>
    <xf numFmtId="4" fontId="11" fillId="2" borderId="100" xfId="0" applyNumberFormat="1" applyFont="1" applyFill="1" applyBorder="1" applyAlignment="1" applyProtection="1">
      <alignment vertical="center"/>
      <protection locked="0"/>
    </xf>
    <xf numFmtId="49" fontId="64" fillId="9" borderId="0" xfId="723" applyNumberFormat="1" applyFont="1" applyFill="1" applyBorder="1" applyAlignment="1">
      <alignment horizontal="center" vertical="center"/>
    </xf>
    <xf numFmtId="0" fontId="64" fillId="9" borderId="0" xfId="723" applyFont="1" applyFill="1" applyBorder="1" applyAlignment="1">
      <alignment horizontal="center" vertical="center"/>
    </xf>
    <xf numFmtId="4" fontId="65" fillId="2" borderId="0" xfId="0" applyNumberFormat="1" applyFont="1" applyFill="1" applyBorder="1" applyAlignment="1" applyProtection="1">
      <alignment horizontal="center" vertical="center"/>
      <protection locked="0"/>
    </xf>
    <xf numFmtId="4" fontId="66" fillId="2" borderId="0" xfId="0" applyNumberFormat="1" applyFont="1" applyFill="1" applyBorder="1" applyAlignment="1" applyProtection="1">
      <alignment horizontal="center" vertical="center"/>
      <protection locked="0"/>
    </xf>
    <xf numFmtId="49" fontId="64" fillId="10" borderId="0" xfId="723" applyNumberFormat="1" applyFont="1" applyFill="1" applyBorder="1" applyAlignment="1">
      <alignment horizontal="center" vertical="center"/>
    </xf>
    <xf numFmtId="0" fontId="64" fillId="10" borderId="0" xfId="723" applyFont="1" applyFill="1" applyBorder="1" applyAlignment="1">
      <alignment horizontal="center" vertical="center"/>
    </xf>
    <xf numFmtId="49" fontId="64" fillId="10" borderId="0" xfId="723" applyNumberFormat="1" applyFont="1" applyFill="1" applyBorder="1" applyAlignment="1" applyProtection="1">
      <alignment horizontal="center" vertical="center"/>
      <protection locked="0"/>
    </xf>
    <xf numFmtId="0" fontId="64" fillId="10" borderId="0" xfId="723" applyFont="1" applyFill="1" applyBorder="1" applyAlignment="1" applyProtection="1">
      <alignment horizontal="center" vertical="center"/>
      <protection locked="0"/>
    </xf>
    <xf numFmtId="49" fontId="64" fillId="9" borderId="0" xfId="723" applyNumberFormat="1" applyFont="1" applyFill="1" applyBorder="1" applyAlignment="1" applyProtection="1">
      <alignment horizontal="center" vertical="center"/>
      <protection locked="0"/>
    </xf>
    <xf numFmtId="0" fontId="64" fillId="9" borderId="0" xfId="723" applyFont="1" applyFill="1" applyBorder="1" applyAlignment="1" applyProtection="1">
      <alignment horizontal="center" vertical="center"/>
      <protection locked="0"/>
    </xf>
    <xf numFmtId="49" fontId="64" fillId="11" borderId="0" xfId="725" applyNumberFormat="1" applyFont="1" applyFill="1" applyBorder="1" applyAlignment="1">
      <alignment horizontal="center" vertical="center"/>
    </xf>
    <xf numFmtId="0" fontId="64" fillId="11" borderId="0" xfId="725" applyFont="1" applyFill="1" applyBorder="1" applyAlignment="1">
      <alignment horizontal="center" vertical="center"/>
    </xf>
    <xf numFmtId="4" fontId="11" fillId="2" borderId="99" xfId="0" applyNumberFormat="1" applyFont="1" applyFill="1" applyBorder="1" applyAlignment="1" applyProtection="1">
      <alignment vertical="center"/>
      <protection locked="0"/>
    </xf>
    <xf numFmtId="4" fontId="11" fillId="2" borderId="192" xfId="0" applyNumberFormat="1" applyFont="1" applyFill="1" applyBorder="1" applyAlignment="1" applyProtection="1">
      <alignment vertical="center"/>
      <protection locked="0"/>
    </xf>
    <xf numFmtId="4" fontId="2" fillId="2" borderId="100" xfId="0" applyNumberFormat="1" applyFont="1" applyFill="1" applyBorder="1" applyAlignment="1" applyProtection="1">
      <alignment horizontal="right" vertical="center"/>
      <protection locked="0"/>
    </xf>
    <xf numFmtId="4" fontId="2" fillId="2" borderId="101" xfId="0" applyNumberFormat="1" applyFont="1" applyFill="1" applyBorder="1" applyAlignment="1" applyProtection="1">
      <alignment horizontal="right" vertical="center"/>
      <protection locked="0"/>
    </xf>
    <xf numFmtId="4" fontId="2" fillId="2" borderId="70" xfId="0" applyNumberFormat="1" applyFont="1" applyFill="1" applyBorder="1" applyAlignment="1" applyProtection="1">
      <alignment horizontal="right" vertical="center"/>
      <protection locked="0"/>
    </xf>
    <xf numFmtId="4" fontId="2" fillId="2" borderId="79" xfId="0" applyNumberFormat="1" applyFont="1" applyFill="1" applyBorder="1" applyAlignment="1" applyProtection="1">
      <alignment horizontal="right" vertical="center"/>
      <protection locked="0"/>
    </xf>
    <xf numFmtId="4" fontId="2" fillId="2" borderId="15" xfId="0" applyNumberFormat="1" applyFont="1" applyFill="1" applyBorder="1" applyAlignment="1" applyProtection="1">
      <alignment vertical="center"/>
      <protection locked="0"/>
    </xf>
    <xf numFmtId="0" fontId="2" fillId="2" borderId="100" xfId="0" applyFont="1" applyFill="1" applyBorder="1" applyAlignment="1" applyProtection="1">
      <alignment horizontal="left" vertical="center"/>
      <protection locked="0"/>
    </xf>
    <xf numFmtId="0" fontId="2" fillId="2" borderId="101" xfId="0" applyFont="1" applyFill="1" applyBorder="1" applyAlignment="1" applyProtection="1">
      <alignment horizontal="left" vertical="center"/>
      <protection locked="0"/>
    </xf>
    <xf numFmtId="0" fontId="2" fillId="2" borderId="101" xfId="0" applyFont="1" applyFill="1" applyBorder="1" applyAlignment="1" applyProtection="1">
      <alignment horizontal="center" vertical="center"/>
      <protection locked="0"/>
    </xf>
    <xf numFmtId="4" fontId="2" fillId="2" borderId="101" xfId="0" applyNumberFormat="1" applyFont="1" applyFill="1" applyBorder="1" applyAlignment="1" applyProtection="1">
      <alignment horizontal="right" vertical="center"/>
      <protection locked="0"/>
    </xf>
    <xf numFmtId="4" fontId="2" fillId="2" borderId="77" xfId="0" applyNumberFormat="1" applyFont="1" applyFill="1" applyBorder="1" applyAlignment="1" applyProtection="1">
      <alignment horizontal="right" vertical="center"/>
      <protection locked="0"/>
    </xf>
    <xf numFmtId="14" fontId="2" fillId="2" borderId="101" xfId="0" applyNumberFormat="1" applyFont="1" applyFill="1" applyBorder="1" applyAlignment="1" applyProtection="1">
      <alignment horizontal="center" vertical="center"/>
      <protection locked="0"/>
    </xf>
    <xf numFmtId="0" fontId="67" fillId="0" borderId="0" xfId="0" applyFont="1" applyFill="1" applyAlignment="1" applyProtection="1">
      <alignment horizontal="left" vertical="center"/>
      <protection locked="0"/>
    </xf>
    <xf numFmtId="0" fontId="23" fillId="0" borderId="0" xfId="0" applyFont="1" applyFill="1" applyAlignment="1" applyProtection="1">
      <alignment horizontal="left"/>
      <protection locked="0"/>
    </xf>
    <xf numFmtId="1" fontId="17" fillId="3" borderId="0" xfId="0" applyNumberFormat="1" applyFont="1" applyFill="1" applyBorder="1" applyAlignment="1">
      <alignment horizontal="center" vertical="center"/>
    </xf>
    <xf numFmtId="0" fontId="18" fillId="2" borderId="16" xfId="0" applyFont="1" applyFill="1" applyBorder="1" applyAlignment="1" applyProtection="1">
      <alignment horizontal="center" vertical="center"/>
      <protection locked="0"/>
    </xf>
    <xf numFmtId="0" fontId="18" fillId="2" borderId="17" xfId="0" applyFont="1" applyFill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 vertical="center"/>
    </xf>
    <xf numFmtId="0" fontId="3" fillId="2" borderId="66" xfId="0" quotePrefix="1" applyFont="1" applyFill="1" applyBorder="1" applyAlignment="1">
      <alignment horizontal="center" vertical="center"/>
    </xf>
    <xf numFmtId="0" fontId="3" fillId="2" borderId="68" xfId="0" quotePrefix="1" applyFont="1" applyFill="1" applyBorder="1" applyAlignment="1">
      <alignment horizontal="center" vertical="center"/>
    </xf>
    <xf numFmtId="1" fontId="17" fillId="3" borderId="0" xfId="0" applyNumberFormat="1" applyFont="1" applyFill="1" applyBorder="1" applyAlignment="1" applyProtection="1">
      <alignment horizontal="center" vertical="center"/>
    </xf>
    <xf numFmtId="0" fontId="26" fillId="2" borderId="12" xfId="0" applyFont="1" applyFill="1" applyBorder="1" applyAlignment="1" applyProtection="1">
      <alignment horizontal="left"/>
    </xf>
    <xf numFmtId="0" fontId="15" fillId="4" borderId="0" xfId="0" applyFont="1" applyFill="1" applyBorder="1" applyAlignment="1" applyProtection="1">
      <alignment horizontal="left" vertical="center" wrapText="1"/>
    </xf>
    <xf numFmtId="0" fontId="26" fillId="2" borderId="1" xfId="0" applyFont="1" applyFill="1" applyBorder="1" applyAlignment="1" applyProtection="1">
      <alignment horizontal="left" wrapText="1"/>
    </xf>
    <xf numFmtId="0" fontId="26" fillId="2" borderId="4" xfId="0" applyFont="1" applyFill="1" applyBorder="1" applyAlignment="1" applyProtection="1">
      <alignment horizontal="left"/>
      <protection locked="0"/>
    </xf>
    <xf numFmtId="0" fontId="26" fillId="2" borderId="1" xfId="0" applyFont="1" applyFill="1" applyBorder="1" applyAlignment="1" applyProtection="1">
      <alignment horizontal="right"/>
    </xf>
    <xf numFmtId="0" fontId="23" fillId="6" borderId="1" xfId="0" applyFont="1" applyFill="1" applyBorder="1" applyAlignment="1" applyProtection="1">
      <alignment horizontal="right"/>
    </xf>
    <xf numFmtId="0" fontId="8" fillId="2" borderId="66" xfId="0" applyFont="1" applyFill="1" applyBorder="1" applyAlignment="1" applyProtection="1">
      <alignment horizontal="left"/>
      <protection locked="0"/>
    </xf>
    <xf numFmtId="0" fontId="8" fillId="2" borderId="68" xfId="0" applyFont="1" applyFill="1" applyBorder="1" applyAlignment="1" applyProtection="1">
      <alignment horizontal="left"/>
      <protection locked="0"/>
    </xf>
    <xf numFmtId="0" fontId="15" fillId="3" borderId="16" xfId="0" applyNumberFormat="1" applyFont="1" applyFill="1" applyBorder="1" applyAlignment="1" applyProtection="1">
      <alignment horizontal="center" wrapText="1"/>
    </xf>
    <xf numFmtId="0" fontId="15" fillId="3" borderId="18" xfId="0" applyNumberFormat="1" applyFont="1" applyFill="1" applyBorder="1" applyAlignment="1" applyProtection="1">
      <alignment horizontal="center" wrapText="1"/>
    </xf>
    <xf numFmtId="0" fontId="8" fillId="2" borderId="63" xfId="0" applyFont="1" applyFill="1" applyBorder="1" applyAlignment="1" applyProtection="1">
      <alignment horizontal="left"/>
      <protection locked="0"/>
    </xf>
    <xf numFmtId="0" fontId="8" fillId="2" borderId="65" xfId="0" applyFont="1" applyFill="1" applyBorder="1" applyAlignment="1" applyProtection="1">
      <alignment horizontal="left"/>
      <protection locked="0"/>
    </xf>
    <xf numFmtId="0" fontId="8" fillId="2" borderId="185" xfId="0" applyFont="1" applyFill="1" applyBorder="1" applyAlignment="1" applyProtection="1">
      <alignment horizontal="left"/>
      <protection locked="0"/>
    </xf>
    <xf numFmtId="0" fontId="8" fillId="2" borderId="186" xfId="0" applyFont="1" applyFill="1" applyBorder="1" applyAlignment="1" applyProtection="1">
      <alignment horizontal="left"/>
      <protection locked="0"/>
    </xf>
    <xf numFmtId="0" fontId="26" fillId="2" borderId="12" xfId="0" applyFont="1" applyFill="1" applyBorder="1" applyAlignment="1">
      <alignment horizontal="left"/>
    </xf>
    <xf numFmtId="0" fontId="15" fillId="4" borderId="0" xfId="0" applyFont="1" applyFill="1" applyBorder="1" applyAlignment="1">
      <alignment horizontal="left" vertical="center" wrapText="1"/>
    </xf>
    <xf numFmtId="4" fontId="27" fillId="3" borderId="57" xfId="0" applyNumberFormat="1" applyFont="1" applyFill="1" applyBorder="1" applyAlignment="1" applyProtection="1">
      <alignment horizontal="center" vertical="center"/>
    </xf>
    <xf numFmtId="4" fontId="27" fillId="3" borderId="58" xfId="0" applyNumberFormat="1" applyFont="1" applyFill="1" applyBorder="1" applyAlignment="1" applyProtection="1">
      <alignment horizontal="center" vertical="center"/>
    </xf>
    <xf numFmtId="4" fontId="27" fillId="3" borderId="59" xfId="0" applyNumberFormat="1" applyFont="1" applyFill="1" applyBorder="1" applyAlignment="1" applyProtection="1">
      <alignment horizontal="center" vertical="center"/>
    </xf>
    <xf numFmtId="4" fontId="27" fillId="3" borderId="62" xfId="0" applyNumberFormat="1" applyFont="1" applyFill="1" applyBorder="1" applyAlignment="1" applyProtection="1">
      <alignment horizontal="center" vertical="center"/>
    </xf>
    <xf numFmtId="4" fontId="27" fillId="3" borderId="20" xfId="0" applyNumberFormat="1" applyFont="1" applyFill="1" applyBorder="1" applyAlignment="1" applyProtection="1">
      <alignment horizontal="center" vertical="center"/>
    </xf>
    <xf numFmtId="4" fontId="27" fillId="3" borderId="19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4" fontId="27" fillId="3" borderId="76" xfId="0" applyNumberFormat="1" applyFont="1" applyFill="1" applyBorder="1" applyAlignment="1" applyProtection="1">
      <alignment horizontal="center" vertical="center"/>
    </xf>
    <xf numFmtId="4" fontId="27" fillId="3" borderId="80" xfId="0" applyNumberFormat="1" applyFont="1" applyFill="1" applyBorder="1" applyAlignment="1" applyProtection="1">
      <alignment horizontal="center" vertical="center"/>
    </xf>
    <xf numFmtId="0" fontId="18" fillId="3" borderId="57" xfId="0" applyFont="1" applyFill="1" applyBorder="1" applyAlignment="1" applyProtection="1">
      <alignment vertical="center" wrapText="1"/>
    </xf>
    <xf numFmtId="0" fontId="0" fillId="0" borderId="58" xfId="0" applyBorder="1" applyAlignment="1" applyProtection="1">
      <alignment vertical="center" wrapText="1"/>
    </xf>
    <xf numFmtId="0" fontId="0" fillId="0" borderId="59" xfId="0" applyBorder="1" applyAlignment="1" applyProtection="1">
      <alignment vertical="center" wrapText="1"/>
    </xf>
    <xf numFmtId="0" fontId="0" fillId="0" borderId="62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8" fillId="2" borderId="63" xfId="0" applyFont="1" applyFill="1" applyBorder="1" applyAlignment="1" applyProtection="1">
      <alignment horizontal="left" vertical="center"/>
    </xf>
    <xf numFmtId="0" fontId="8" fillId="2" borderId="64" xfId="0" applyFont="1" applyFill="1" applyBorder="1" applyAlignment="1" applyProtection="1">
      <alignment horizontal="left" vertical="center"/>
    </xf>
    <xf numFmtId="0" fontId="8" fillId="2" borderId="65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8" fillId="2" borderId="67" xfId="0" applyFont="1" applyFill="1" applyBorder="1" applyAlignment="1" applyProtection="1">
      <alignment horizontal="left" vertical="center"/>
    </xf>
    <xf numFmtId="0" fontId="8" fillId="2" borderId="68" xfId="0" applyFont="1" applyFill="1" applyBorder="1" applyAlignment="1" applyProtection="1">
      <alignment horizontal="left" vertical="center"/>
    </xf>
    <xf numFmtId="4" fontId="21" fillId="3" borderId="31" xfId="0" applyNumberFormat="1" applyFont="1" applyFill="1" applyBorder="1" applyAlignment="1">
      <alignment horizontal="center" vertical="center"/>
    </xf>
    <xf numFmtId="4" fontId="21" fillId="3" borderId="32" xfId="0" applyNumberFormat="1" applyFont="1" applyFill="1" applyBorder="1" applyAlignment="1">
      <alignment horizontal="center" vertical="center"/>
    </xf>
    <xf numFmtId="4" fontId="21" fillId="3" borderId="33" xfId="0" applyNumberFormat="1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1" fillId="3" borderId="57" xfId="0" applyFont="1" applyFill="1" applyBorder="1" applyAlignment="1">
      <alignment horizontal="center" vertical="center"/>
    </xf>
    <xf numFmtId="0" fontId="11" fillId="3" borderId="59" xfId="0" applyFont="1" applyFill="1" applyBorder="1" applyAlignment="1">
      <alignment horizontal="center" vertical="center"/>
    </xf>
    <xf numFmtId="0" fontId="35" fillId="3" borderId="76" xfId="132" applyFont="1" applyFill="1" applyBorder="1" applyAlignment="1">
      <alignment horizontal="center" wrapText="1"/>
    </xf>
    <xf numFmtId="0" fontId="35" fillId="3" borderId="80" xfId="132" applyFont="1" applyFill="1" applyBorder="1" applyAlignment="1">
      <alignment horizontal="center" wrapText="1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2" borderId="74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1" fillId="2" borderId="156" xfId="0" applyFont="1" applyFill="1" applyBorder="1" applyAlignment="1" applyProtection="1">
      <alignment horizontal="left" vertical="center"/>
      <protection locked="0"/>
    </xf>
    <xf numFmtId="0" fontId="11" fillId="2" borderId="157" xfId="0" applyFont="1" applyFill="1" applyBorder="1" applyAlignment="1" applyProtection="1">
      <alignment horizontal="left" vertical="center"/>
      <protection locked="0"/>
    </xf>
    <xf numFmtId="0" fontId="11" fillId="2" borderId="66" xfId="0" applyFont="1" applyFill="1" applyBorder="1" applyAlignment="1" applyProtection="1">
      <alignment horizontal="left" vertical="center"/>
      <protection locked="0"/>
    </xf>
    <xf numFmtId="0" fontId="11" fillId="2" borderId="68" xfId="0" applyFont="1" applyFill="1" applyBorder="1" applyAlignment="1" applyProtection="1">
      <alignment horizontal="left" vertical="center"/>
      <protection locked="0"/>
    </xf>
    <xf numFmtId="0" fontId="4" fillId="2" borderId="156" xfId="0" applyFont="1" applyFill="1" applyBorder="1" applyAlignment="1" applyProtection="1">
      <alignment horizontal="left" vertical="center"/>
      <protection locked="0"/>
    </xf>
    <xf numFmtId="0" fontId="4" fillId="2" borderId="66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Border="1" applyAlignment="1">
      <alignment horizontal="center" vertical="center"/>
    </xf>
    <xf numFmtId="0" fontId="11" fillId="2" borderId="69" xfId="0" applyFont="1" applyFill="1" applyBorder="1" applyAlignment="1" applyProtection="1">
      <alignment horizontal="left" vertical="center"/>
      <protection locked="0"/>
    </xf>
    <xf numFmtId="0" fontId="11" fillId="2" borderId="71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Border="1" applyAlignment="1">
      <alignment horizontal="center"/>
    </xf>
    <xf numFmtId="0" fontId="11" fillId="2" borderId="63" xfId="0" applyFont="1" applyFill="1" applyBorder="1" applyAlignment="1">
      <alignment horizontal="left" vertical="center"/>
    </xf>
    <xf numFmtId="0" fontId="11" fillId="2" borderId="64" xfId="0" applyFont="1" applyFill="1" applyBorder="1" applyAlignment="1">
      <alignment horizontal="left" vertical="center"/>
    </xf>
    <xf numFmtId="0" fontId="11" fillId="2" borderId="65" xfId="0" applyFont="1" applyFill="1" applyBorder="1" applyAlignment="1">
      <alignment horizontal="left" vertical="center"/>
    </xf>
    <xf numFmtId="0" fontId="11" fillId="2" borderId="66" xfId="0" applyFont="1" applyFill="1" applyBorder="1" applyAlignment="1">
      <alignment horizontal="left" vertical="center"/>
    </xf>
    <xf numFmtId="0" fontId="11" fillId="2" borderId="67" xfId="0" applyFont="1" applyFill="1" applyBorder="1" applyAlignment="1">
      <alignment horizontal="left" vertical="center"/>
    </xf>
    <xf numFmtId="0" fontId="11" fillId="2" borderId="68" xfId="0" applyFont="1" applyFill="1" applyBorder="1" applyAlignment="1">
      <alignment horizontal="left" vertical="center"/>
    </xf>
    <xf numFmtId="0" fontId="15" fillId="2" borderId="73" xfId="0" applyFont="1" applyFill="1" applyBorder="1" applyAlignment="1">
      <alignment horizontal="left" vertical="center"/>
    </xf>
    <xf numFmtId="0" fontId="15" fillId="2" borderId="74" xfId="0" applyFont="1" applyFill="1" applyBorder="1" applyAlignment="1">
      <alignment horizontal="left" vertical="center"/>
    </xf>
    <xf numFmtId="0" fontId="15" fillId="2" borderId="75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left" vertical="center"/>
    </xf>
    <xf numFmtId="0" fontId="15" fillId="3" borderId="57" xfId="0" applyFont="1" applyFill="1" applyBorder="1" applyAlignment="1">
      <alignment horizontal="center" vertical="center"/>
    </xf>
    <xf numFmtId="0" fontId="15" fillId="3" borderId="59" xfId="0" applyFont="1" applyFill="1" applyBorder="1" applyAlignment="1">
      <alignment horizontal="center" vertical="center"/>
    </xf>
    <xf numFmtId="0" fontId="15" fillId="3" borderId="62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36" fillId="3" borderId="16" xfId="132" applyFont="1" applyFill="1" applyBorder="1" applyAlignment="1">
      <alignment horizontal="center" vertical="center" wrapText="1"/>
    </xf>
    <xf numFmtId="0" fontId="36" fillId="3" borderId="18" xfId="132" applyFont="1" applyFill="1" applyBorder="1" applyAlignment="1">
      <alignment horizontal="center" vertical="center" wrapText="1"/>
    </xf>
    <xf numFmtId="0" fontId="15" fillId="2" borderId="73" xfId="0" applyFont="1" applyFill="1" applyBorder="1" applyAlignment="1">
      <alignment horizontal="center" vertical="center"/>
    </xf>
    <xf numFmtId="0" fontId="15" fillId="2" borderId="74" xfId="0" applyFont="1" applyFill="1" applyBorder="1" applyAlignment="1">
      <alignment horizontal="center" vertical="center"/>
    </xf>
    <xf numFmtId="0" fontId="15" fillId="2" borderId="75" xfId="0" applyFont="1" applyFill="1" applyBorder="1" applyAlignment="1">
      <alignment horizontal="center" vertical="center"/>
    </xf>
    <xf numFmtId="0" fontId="36" fillId="3" borderId="57" xfId="132" applyFont="1" applyFill="1" applyBorder="1" applyAlignment="1">
      <alignment horizontal="center" wrapText="1"/>
    </xf>
    <xf numFmtId="0" fontId="36" fillId="3" borderId="58" xfId="132" applyFont="1" applyFill="1" applyBorder="1" applyAlignment="1">
      <alignment horizontal="center" wrapText="1"/>
    </xf>
    <xf numFmtId="0" fontId="36" fillId="3" borderId="59" xfId="132" applyFont="1" applyFill="1" applyBorder="1" applyAlignment="1">
      <alignment horizontal="center" wrapText="1"/>
    </xf>
    <xf numFmtId="0" fontId="15" fillId="3" borderId="62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0" fontId="15" fillId="3" borderId="19" xfId="0" applyFont="1" applyFill="1" applyBorder="1" applyAlignment="1">
      <alignment horizontal="center"/>
    </xf>
    <xf numFmtId="0" fontId="36" fillId="3" borderId="16" xfId="132" applyFont="1" applyFill="1" applyBorder="1" applyAlignment="1">
      <alignment horizontal="center" wrapText="1"/>
    </xf>
    <xf numFmtId="0" fontId="36" fillId="3" borderId="17" xfId="132" applyFont="1" applyFill="1" applyBorder="1" applyAlignment="1">
      <alignment horizontal="center" wrapText="1"/>
    </xf>
    <xf numFmtId="0" fontId="36" fillId="3" borderId="18" xfId="132" applyFont="1" applyFill="1" applyBorder="1" applyAlignment="1">
      <alignment horizontal="center" wrapText="1"/>
    </xf>
    <xf numFmtId="0" fontId="15" fillId="2" borderId="73" xfId="0" applyFont="1" applyFill="1" applyBorder="1" applyAlignment="1">
      <alignment horizontal="left"/>
    </xf>
    <xf numFmtId="0" fontId="15" fillId="2" borderId="75" xfId="0" applyFont="1" applyFill="1" applyBorder="1" applyAlignment="1">
      <alignment horizontal="left"/>
    </xf>
    <xf numFmtId="0" fontId="15" fillId="3" borderId="60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5" fillId="2" borderId="74" xfId="0" applyFont="1" applyFill="1" applyBorder="1" applyAlignment="1">
      <alignment horizontal="left"/>
    </xf>
    <xf numFmtId="0" fontId="18" fillId="3" borderId="16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4" fontId="11" fillId="2" borderId="66" xfId="0" applyNumberFormat="1" applyFont="1" applyFill="1" applyBorder="1" applyAlignment="1" applyProtection="1">
      <alignment horizontal="left" vertical="center"/>
      <protection locked="0"/>
    </xf>
    <xf numFmtId="4" fontId="11" fillId="2" borderId="68" xfId="0" applyNumberFormat="1" applyFont="1" applyFill="1" applyBorder="1" applyAlignment="1" applyProtection="1">
      <alignment horizontal="left" vertical="center"/>
      <protection locked="0"/>
    </xf>
    <xf numFmtId="4" fontId="11" fillId="2" borderId="69" xfId="0" applyNumberFormat="1" applyFont="1" applyFill="1" applyBorder="1" applyAlignment="1" applyProtection="1">
      <alignment horizontal="left" vertical="center"/>
      <protection locked="0"/>
    </xf>
    <xf numFmtId="4" fontId="11" fillId="2" borderId="71" xfId="0" applyNumberFormat="1" applyFont="1" applyFill="1" applyBorder="1" applyAlignment="1" applyProtection="1">
      <alignment horizontal="left" vertical="center"/>
      <protection locked="0"/>
    </xf>
    <xf numFmtId="4" fontId="15" fillId="2" borderId="73" xfId="0" applyNumberFormat="1" applyFont="1" applyFill="1" applyBorder="1" applyAlignment="1">
      <alignment horizontal="left"/>
    </xf>
    <xf numFmtId="4" fontId="15" fillId="2" borderId="75" xfId="0" applyNumberFormat="1" applyFont="1" applyFill="1" applyBorder="1" applyAlignment="1">
      <alignment horizontal="left"/>
    </xf>
    <xf numFmtId="4" fontId="11" fillId="2" borderId="99" xfId="0" applyNumberFormat="1" applyFont="1" applyFill="1" applyBorder="1" applyAlignment="1" applyProtection="1">
      <alignment horizontal="left" vertical="center"/>
      <protection locked="0"/>
    </xf>
    <xf numFmtId="4" fontId="11" fillId="2" borderId="104" xfId="0" applyNumberFormat="1" applyFont="1" applyFill="1" applyBorder="1" applyAlignment="1" applyProtection="1">
      <alignment horizontal="left" vertical="center"/>
      <protection locked="0"/>
    </xf>
    <xf numFmtId="0" fontId="15" fillId="2" borderId="16" xfId="0" applyFont="1" applyFill="1" applyBorder="1" applyAlignment="1">
      <alignment horizontal="left"/>
    </xf>
    <xf numFmtId="0" fontId="15" fillId="2" borderId="18" xfId="0" applyFont="1" applyFill="1" applyBorder="1" applyAlignment="1">
      <alignment horizontal="left"/>
    </xf>
    <xf numFmtId="0" fontId="45" fillId="6" borderId="120" xfId="0" applyFont="1" applyFill="1" applyBorder="1" applyAlignment="1">
      <alignment horizontal="left"/>
    </xf>
    <xf numFmtId="0" fontId="45" fillId="6" borderId="121" xfId="0" applyFont="1" applyFill="1" applyBorder="1" applyAlignment="1">
      <alignment horizontal="left"/>
    </xf>
    <xf numFmtId="0" fontId="44" fillId="6" borderId="120" xfId="0" applyFont="1" applyFill="1" applyBorder="1" applyAlignment="1">
      <alignment horizontal="left"/>
    </xf>
    <xf numFmtId="0" fontId="44" fillId="6" borderId="121" xfId="0" applyFont="1" applyFill="1" applyBorder="1" applyAlignment="1">
      <alignment horizontal="left"/>
    </xf>
  </cellXfs>
  <cellStyles count="288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" xfId="707" builtinId="8" hidden="1"/>
    <cellStyle name="Hipervínculo" xfId="709" builtinId="8" hidden="1"/>
    <cellStyle name="Hipervínculo" xfId="711" builtinId="8" hidden="1"/>
    <cellStyle name="Hipervínculo" xfId="713" builtinId="8" hidden="1"/>
    <cellStyle name="Hipervínculo" xfId="715" builtinId="8" hidden="1"/>
    <cellStyle name="Hipervínculo" xfId="717" builtinId="8" hidden="1"/>
    <cellStyle name="Hipervínculo" xfId="719" builtinId="8" hidden="1"/>
    <cellStyle name="Hipervínculo" xfId="721" builtinId="8" hidden="1"/>
    <cellStyle name="Hipervínculo" xfId="727" builtinId="8" hidden="1"/>
    <cellStyle name="Hipervínculo" xfId="729" builtinId="8" hidden="1"/>
    <cellStyle name="Hipervínculo" xfId="731" builtinId="8" hidden="1"/>
    <cellStyle name="Hipervínculo" xfId="733" builtinId="8" hidden="1"/>
    <cellStyle name="Hipervínculo" xfId="735" builtinId="8" hidden="1"/>
    <cellStyle name="Hipervínculo" xfId="737" builtinId="8" hidden="1"/>
    <cellStyle name="Hipervínculo" xfId="739" builtinId="8" hidden="1"/>
    <cellStyle name="Hipervínculo" xfId="741" builtinId="8" hidden="1"/>
    <cellStyle name="Hipervínculo" xfId="743" builtinId="8" hidden="1"/>
    <cellStyle name="Hipervínculo" xfId="745" builtinId="8" hidden="1"/>
    <cellStyle name="Hipervínculo" xfId="747" builtinId="8" hidden="1"/>
    <cellStyle name="Hipervínculo" xfId="749" builtinId="8" hidden="1"/>
    <cellStyle name="Hipervínculo" xfId="751" builtinId="8" hidden="1"/>
    <cellStyle name="Hipervínculo" xfId="753" builtinId="8" hidden="1"/>
    <cellStyle name="Hipervínculo" xfId="755" builtinId="8" hidden="1"/>
    <cellStyle name="Hipervínculo" xfId="757" builtinId="8" hidden="1"/>
    <cellStyle name="Hipervínculo" xfId="759" builtinId="8" hidden="1"/>
    <cellStyle name="Hipervínculo" xfId="761" builtinId="8" hidden="1"/>
    <cellStyle name="Hipervínculo" xfId="763" builtinId="8" hidden="1"/>
    <cellStyle name="Hipervínculo" xfId="765" builtinId="8" hidden="1"/>
    <cellStyle name="Hipervínculo" xfId="767" builtinId="8" hidden="1"/>
    <cellStyle name="Hipervínculo" xfId="769" builtinId="8" hidden="1"/>
    <cellStyle name="Hipervínculo" xfId="771" builtinId="8" hidden="1"/>
    <cellStyle name="Hipervínculo" xfId="773" builtinId="8" hidden="1"/>
    <cellStyle name="Hipervínculo" xfId="775" builtinId="8" hidden="1"/>
    <cellStyle name="Hipervínculo" xfId="777" builtinId="8" hidden="1"/>
    <cellStyle name="Hipervínculo" xfId="779" builtinId="8" hidden="1"/>
    <cellStyle name="Hipervínculo" xfId="781" builtinId="8" hidden="1"/>
    <cellStyle name="Hipervínculo" xfId="783" builtinId="8" hidden="1"/>
    <cellStyle name="Hipervínculo" xfId="785" builtinId="8" hidden="1"/>
    <cellStyle name="Hipervínculo" xfId="787" builtinId="8" hidden="1"/>
    <cellStyle name="Hipervínculo" xfId="789" builtinId="8" hidden="1"/>
    <cellStyle name="Hipervínculo" xfId="791" builtinId="8" hidden="1"/>
    <cellStyle name="Hipervínculo" xfId="793" builtinId="8" hidden="1"/>
    <cellStyle name="Hipervínculo" xfId="795" builtinId="8" hidden="1"/>
    <cellStyle name="Hipervínculo" xfId="797" builtinId="8" hidden="1"/>
    <cellStyle name="Hipervínculo" xfId="799" builtinId="8" hidden="1"/>
    <cellStyle name="Hipervínculo" xfId="801" builtinId="8" hidden="1"/>
    <cellStyle name="Hipervínculo" xfId="803" builtinId="8" hidden="1"/>
    <cellStyle name="Hipervínculo" xfId="805" builtinId="8" hidden="1"/>
    <cellStyle name="Hipervínculo" xfId="807" builtinId="8" hidden="1"/>
    <cellStyle name="Hipervínculo" xfId="809" builtinId="8" hidden="1"/>
    <cellStyle name="Hipervínculo" xfId="811" builtinId="8" hidden="1"/>
    <cellStyle name="Hipervínculo" xfId="813" builtinId="8" hidden="1"/>
    <cellStyle name="Hipervínculo" xfId="815" builtinId="8" hidden="1"/>
    <cellStyle name="Hipervínculo" xfId="817" builtinId="8" hidden="1"/>
    <cellStyle name="Hipervínculo" xfId="819" builtinId="8" hidden="1"/>
    <cellStyle name="Hipervínculo" xfId="821" builtinId="8" hidden="1"/>
    <cellStyle name="Hipervínculo" xfId="823" builtinId="8" hidden="1"/>
    <cellStyle name="Hipervínculo" xfId="825" builtinId="8" hidden="1"/>
    <cellStyle name="Hipervínculo" xfId="827" builtinId="8" hidden="1"/>
    <cellStyle name="Hipervínculo" xfId="829" builtinId="8" hidden="1"/>
    <cellStyle name="Hipervínculo" xfId="831" builtinId="8" hidden="1"/>
    <cellStyle name="Hipervínculo" xfId="833" builtinId="8" hidden="1"/>
    <cellStyle name="Hipervínculo" xfId="835" builtinId="8" hidden="1"/>
    <cellStyle name="Hipervínculo" xfId="837" builtinId="8" hidden="1"/>
    <cellStyle name="Hipervínculo" xfId="839" builtinId="8" hidden="1"/>
    <cellStyle name="Hipervínculo" xfId="841" builtinId="8" hidden="1"/>
    <cellStyle name="Hipervínculo" xfId="843" builtinId="8" hidden="1"/>
    <cellStyle name="Hipervínculo" xfId="845" builtinId="8" hidden="1"/>
    <cellStyle name="Hipervínculo" xfId="847" builtinId="8" hidden="1"/>
    <cellStyle name="Hipervínculo" xfId="849" builtinId="8" hidden="1"/>
    <cellStyle name="Hipervínculo" xfId="851" builtinId="8" hidden="1"/>
    <cellStyle name="Hipervínculo" xfId="853" builtinId="8" hidden="1"/>
    <cellStyle name="Hipervínculo" xfId="855" builtinId="8" hidden="1"/>
    <cellStyle name="Hipervínculo" xfId="859" builtinId="8" hidden="1"/>
    <cellStyle name="Hipervínculo" xfId="861" builtinId="8" hidden="1"/>
    <cellStyle name="Hipervínculo" xfId="863" builtinId="8" hidden="1"/>
    <cellStyle name="Hipervínculo" xfId="865" builtinId="8" hidden="1"/>
    <cellStyle name="Hipervínculo" xfId="867" builtinId="8" hidden="1"/>
    <cellStyle name="Hipervínculo" xfId="869" builtinId="8" hidden="1"/>
    <cellStyle name="Hipervínculo" xfId="871" builtinId="8" hidden="1"/>
    <cellStyle name="Hipervínculo" xfId="873" builtinId="8" hidden="1"/>
    <cellStyle name="Hipervínculo" xfId="875" builtinId="8" hidden="1"/>
    <cellStyle name="Hipervínculo" xfId="877" builtinId="8" hidden="1"/>
    <cellStyle name="Hipervínculo" xfId="879" builtinId="8" hidden="1"/>
    <cellStyle name="Hipervínculo" xfId="881" builtinId="8" hidden="1"/>
    <cellStyle name="Hipervínculo" xfId="883" builtinId="8" hidden="1"/>
    <cellStyle name="Hipervínculo" xfId="885" builtinId="8" hidden="1"/>
    <cellStyle name="Hipervínculo" xfId="887" builtinId="8" hidden="1"/>
    <cellStyle name="Hipervínculo" xfId="889" builtinId="8" hidden="1"/>
    <cellStyle name="Hipervínculo" xfId="891" builtinId="8" hidden="1"/>
    <cellStyle name="Hipervínculo" xfId="893" builtinId="8" hidden="1"/>
    <cellStyle name="Hipervínculo" xfId="895" builtinId="8" hidden="1"/>
    <cellStyle name="Hipervínculo" xfId="897" builtinId="8" hidden="1"/>
    <cellStyle name="Hipervínculo" xfId="899" builtinId="8" hidden="1"/>
    <cellStyle name="Hipervínculo" xfId="901" builtinId="8" hidden="1"/>
    <cellStyle name="Hipervínculo" xfId="903" builtinId="8" hidden="1"/>
    <cellStyle name="Hipervínculo" xfId="905" builtinId="8" hidden="1"/>
    <cellStyle name="Hipervínculo" xfId="907" builtinId="8" hidden="1"/>
    <cellStyle name="Hipervínculo" xfId="909" builtinId="8" hidden="1"/>
    <cellStyle name="Hipervínculo" xfId="911" builtinId="8" hidden="1"/>
    <cellStyle name="Hipervínculo" xfId="913" builtinId="8" hidden="1"/>
    <cellStyle name="Hipervínculo" xfId="915" builtinId="8" hidden="1"/>
    <cellStyle name="Hipervínculo" xfId="917" builtinId="8" hidden="1"/>
    <cellStyle name="Hipervínculo" xfId="919" builtinId="8" hidden="1"/>
    <cellStyle name="Hipervínculo" xfId="921" builtinId="8" hidden="1"/>
    <cellStyle name="Hipervínculo" xfId="923" builtinId="8" hidden="1"/>
    <cellStyle name="Hipervínculo" xfId="925" builtinId="8" hidden="1"/>
    <cellStyle name="Hipervínculo" xfId="927" builtinId="8" hidden="1"/>
    <cellStyle name="Hipervínculo" xfId="929" builtinId="8" hidden="1"/>
    <cellStyle name="Hipervínculo" xfId="931" builtinId="8" hidden="1"/>
    <cellStyle name="Hipervínculo" xfId="933" builtinId="8" hidden="1"/>
    <cellStyle name="Hipervínculo" xfId="935" builtinId="8" hidden="1"/>
    <cellStyle name="Hipervínculo" xfId="937" builtinId="8" hidden="1"/>
    <cellStyle name="Hipervínculo" xfId="939" builtinId="8" hidden="1"/>
    <cellStyle name="Hipervínculo" xfId="941" builtinId="8" hidden="1"/>
    <cellStyle name="Hipervínculo" xfId="943" builtinId="8" hidden="1"/>
    <cellStyle name="Hipervínculo" xfId="945" builtinId="8" hidden="1"/>
    <cellStyle name="Hipervínculo" xfId="947" builtinId="8" hidden="1"/>
    <cellStyle name="Hipervínculo" xfId="949" builtinId="8" hidden="1"/>
    <cellStyle name="Hipervínculo" xfId="951" builtinId="8" hidden="1"/>
    <cellStyle name="Hipervínculo" xfId="953" builtinId="8" hidden="1"/>
    <cellStyle name="Hipervínculo" xfId="955" builtinId="8" hidden="1"/>
    <cellStyle name="Hipervínculo" xfId="957" builtinId="8" hidden="1"/>
    <cellStyle name="Hipervínculo" xfId="959" builtinId="8" hidden="1"/>
    <cellStyle name="Hipervínculo" xfId="961" builtinId="8" hidden="1"/>
    <cellStyle name="Hipervínculo" xfId="963" builtinId="8" hidden="1"/>
    <cellStyle name="Hipervínculo" xfId="965" builtinId="8" hidden="1"/>
    <cellStyle name="Hipervínculo" xfId="967" builtinId="8" hidden="1"/>
    <cellStyle name="Hipervínculo" xfId="969" builtinId="8" hidden="1"/>
    <cellStyle name="Hipervínculo" xfId="971" builtinId="8" hidden="1"/>
    <cellStyle name="Hipervínculo" xfId="973" builtinId="8" hidden="1"/>
    <cellStyle name="Hipervínculo" xfId="975" builtinId="8" hidden="1"/>
    <cellStyle name="Hipervínculo" xfId="977" builtinId="8" hidden="1"/>
    <cellStyle name="Hipervínculo" xfId="979" builtinId="8" hidden="1"/>
    <cellStyle name="Hipervínculo" xfId="981" builtinId="8" hidden="1"/>
    <cellStyle name="Hipervínculo" xfId="983" builtinId="8" hidden="1"/>
    <cellStyle name="Hipervínculo" xfId="985" builtinId="8" hidden="1"/>
    <cellStyle name="Hipervínculo" xfId="987" builtinId="8" hidden="1"/>
    <cellStyle name="Hipervínculo" xfId="989" builtinId="8" hidden="1"/>
    <cellStyle name="Hipervínculo" xfId="991" builtinId="8" hidden="1"/>
    <cellStyle name="Hipervínculo" xfId="993" builtinId="8" hidden="1"/>
    <cellStyle name="Hipervínculo" xfId="995" builtinId="8" hidden="1"/>
    <cellStyle name="Hipervínculo" xfId="997" builtinId="8" hidden="1"/>
    <cellStyle name="Hipervínculo" xfId="999" builtinId="8" hidden="1"/>
    <cellStyle name="Hipervínculo" xfId="1001" builtinId="8" hidden="1"/>
    <cellStyle name="Hipervínculo" xfId="1003" builtinId="8" hidden="1"/>
    <cellStyle name="Hipervínculo" xfId="1005" builtinId="8" hidden="1"/>
    <cellStyle name="Hipervínculo" xfId="1007" builtinId="8" hidden="1"/>
    <cellStyle name="Hipervínculo" xfId="1009" builtinId="8" hidden="1"/>
    <cellStyle name="Hipervínculo" xfId="1011" builtinId="8" hidden="1"/>
    <cellStyle name="Hipervínculo" xfId="1013" builtinId="8" hidden="1"/>
    <cellStyle name="Hipervínculo" xfId="1015" builtinId="8" hidden="1"/>
    <cellStyle name="Hipervínculo" xfId="1017" builtinId="8" hidden="1"/>
    <cellStyle name="Hipervínculo" xfId="1019" builtinId="8" hidden="1"/>
    <cellStyle name="Hipervínculo" xfId="1021" builtinId="8" hidden="1"/>
    <cellStyle name="Hipervínculo" xfId="1023" builtinId="8" hidden="1"/>
    <cellStyle name="Hipervínculo" xfId="1025" builtinId="8" hidden="1"/>
    <cellStyle name="Hipervínculo" xfId="1027" builtinId="8" hidden="1"/>
    <cellStyle name="Hipervínculo" xfId="1029" builtinId="8" hidden="1"/>
    <cellStyle name="Hipervínculo" xfId="1031" builtinId="8" hidden="1"/>
    <cellStyle name="Hipervínculo" xfId="1033" builtinId="8" hidden="1"/>
    <cellStyle name="Hipervínculo" xfId="1035" builtinId="8" hidden="1"/>
    <cellStyle name="Hipervínculo" xfId="1037" builtinId="8" hidden="1"/>
    <cellStyle name="Hipervínculo" xfId="1039" builtinId="8" hidden="1"/>
    <cellStyle name="Hipervínculo" xfId="1041" builtinId="8" hidden="1"/>
    <cellStyle name="Hipervínculo" xfId="1043" builtinId="8" hidden="1"/>
    <cellStyle name="Hipervínculo" xfId="1045" builtinId="8" hidden="1"/>
    <cellStyle name="Hipervínculo" xfId="1047" builtinId="8" hidden="1"/>
    <cellStyle name="Hipervínculo" xfId="1049" builtinId="8" hidden="1"/>
    <cellStyle name="Hipervínculo" xfId="1051" builtinId="8" hidden="1"/>
    <cellStyle name="Hipervínculo" xfId="1053" builtinId="8" hidden="1"/>
    <cellStyle name="Hipervínculo" xfId="1055" builtinId="8" hidden="1"/>
    <cellStyle name="Hipervínculo" xfId="1057" builtinId="8" hidden="1"/>
    <cellStyle name="Hipervínculo" xfId="1059" builtinId="8" hidden="1"/>
    <cellStyle name="Hipervínculo" xfId="1061" builtinId="8" hidden="1"/>
    <cellStyle name="Hipervínculo" xfId="1063" builtinId="8" hidden="1"/>
    <cellStyle name="Hipervínculo" xfId="1065" builtinId="8" hidden="1"/>
    <cellStyle name="Hipervínculo" xfId="1067" builtinId="8" hidden="1"/>
    <cellStyle name="Hipervínculo" xfId="1069" builtinId="8" hidden="1"/>
    <cellStyle name="Hipervínculo" xfId="1071" builtinId="8" hidden="1"/>
    <cellStyle name="Hipervínculo" xfId="1073" builtinId="8" hidden="1"/>
    <cellStyle name="Hipervínculo" xfId="1075" builtinId="8" hidden="1"/>
    <cellStyle name="Hipervínculo" xfId="1077" builtinId="8" hidden="1"/>
    <cellStyle name="Hipervínculo" xfId="1079" builtinId="8" hidden="1"/>
    <cellStyle name="Hipervínculo" xfId="1081" builtinId="8" hidden="1"/>
    <cellStyle name="Hipervínculo" xfId="1083" builtinId="8" hidden="1"/>
    <cellStyle name="Hipervínculo" xfId="1085" builtinId="8" hidden="1"/>
    <cellStyle name="Hipervínculo" xfId="1087" builtinId="8" hidden="1"/>
    <cellStyle name="Hipervínculo" xfId="1089" builtinId="8" hidden="1"/>
    <cellStyle name="Hipervínculo" xfId="1091" builtinId="8" hidden="1"/>
    <cellStyle name="Hipervínculo" xfId="1093" builtinId="8" hidden="1"/>
    <cellStyle name="Hipervínculo" xfId="1095" builtinId="8" hidden="1"/>
    <cellStyle name="Hipervínculo" xfId="1097" builtinId="8" hidden="1"/>
    <cellStyle name="Hipervínculo" xfId="1099" builtinId="8" hidden="1"/>
    <cellStyle name="Hipervínculo" xfId="1101" builtinId="8" hidden="1"/>
    <cellStyle name="Hipervínculo" xfId="1103" builtinId="8" hidden="1"/>
    <cellStyle name="Hipervínculo" xfId="1105" builtinId="8" hidden="1"/>
    <cellStyle name="Hipervínculo" xfId="1107" builtinId="8" hidden="1"/>
    <cellStyle name="Hipervínculo" xfId="1109" builtinId="8" hidden="1"/>
    <cellStyle name="Hipervínculo" xfId="1111" builtinId="8" hidden="1"/>
    <cellStyle name="Hipervínculo" xfId="1113" builtinId="8" hidden="1"/>
    <cellStyle name="Hipervínculo" xfId="1115" builtinId="8" hidden="1"/>
    <cellStyle name="Hipervínculo" xfId="1117" builtinId="8" hidden="1"/>
    <cellStyle name="Hipervínculo" xfId="1119" builtinId="8" hidden="1"/>
    <cellStyle name="Hipervínculo" xfId="1121" builtinId="8" hidden="1"/>
    <cellStyle name="Hipervínculo" xfId="1123" builtinId="8" hidden="1"/>
    <cellStyle name="Hipervínculo" xfId="1125" builtinId="8" hidden="1"/>
    <cellStyle name="Hipervínculo" xfId="1127" builtinId="8" hidden="1"/>
    <cellStyle name="Hipervínculo" xfId="1129" builtinId="8" hidden="1"/>
    <cellStyle name="Hipervínculo" xfId="1131" builtinId="8" hidden="1"/>
    <cellStyle name="Hipervínculo" xfId="1133" builtinId="8" hidden="1"/>
    <cellStyle name="Hipervínculo" xfId="1135" builtinId="8" hidden="1"/>
    <cellStyle name="Hipervínculo" xfId="1137" builtinId="8" hidden="1"/>
    <cellStyle name="Hipervínculo" xfId="1139" builtinId="8" hidden="1"/>
    <cellStyle name="Hipervínculo" xfId="1141" builtinId="8" hidden="1"/>
    <cellStyle name="Hipervínculo" xfId="1143" builtinId="8" hidden="1"/>
    <cellStyle name="Hipervínculo" xfId="1145" builtinId="8" hidden="1"/>
    <cellStyle name="Hipervínculo" xfId="1147" builtinId="8" hidden="1"/>
    <cellStyle name="Hipervínculo" xfId="1149" builtinId="8" hidden="1"/>
    <cellStyle name="Hipervínculo" xfId="1151" builtinId="8" hidden="1"/>
    <cellStyle name="Hipervínculo" xfId="1153" builtinId="8" hidden="1"/>
    <cellStyle name="Hipervínculo" xfId="1155" builtinId="8" hidden="1"/>
    <cellStyle name="Hipervínculo" xfId="1157" builtinId="8" hidden="1"/>
    <cellStyle name="Hipervínculo" xfId="1159" builtinId="8" hidden="1"/>
    <cellStyle name="Hipervínculo" xfId="1161" builtinId="8" hidden="1"/>
    <cellStyle name="Hipervínculo" xfId="1163" builtinId="8" hidden="1"/>
    <cellStyle name="Hipervínculo" xfId="1165" builtinId="8" hidden="1"/>
    <cellStyle name="Hipervínculo" xfId="1167" builtinId="8" hidden="1"/>
    <cellStyle name="Hipervínculo" xfId="1169" builtinId="8" hidden="1"/>
    <cellStyle name="Hipervínculo" xfId="1171" builtinId="8" hidden="1"/>
    <cellStyle name="Hipervínculo" xfId="1173" builtinId="8" hidden="1"/>
    <cellStyle name="Hipervínculo" xfId="1175" builtinId="8" hidden="1"/>
    <cellStyle name="Hipervínculo" xfId="1177" builtinId="8" hidden="1"/>
    <cellStyle name="Hipervínculo" xfId="1179" builtinId="8" hidden="1"/>
    <cellStyle name="Hipervínculo" xfId="1181" builtinId="8" hidden="1"/>
    <cellStyle name="Hipervínculo" xfId="1183" builtinId="8" hidden="1"/>
    <cellStyle name="Hipervínculo" xfId="1185" builtinId="8" hidden="1"/>
    <cellStyle name="Hipervínculo" xfId="1187" builtinId="8" hidden="1"/>
    <cellStyle name="Hipervínculo" xfId="1189" builtinId="8" hidden="1"/>
    <cellStyle name="Hipervínculo" xfId="1191" builtinId="8" hidden="1"/>
    <cellStyle name="Hipervínculo" xfId="1193" builtinId="8" hidden="1"/>
    <cellStyle name="Hipervínculo" xfId="1195" builtinId="8" hidden="1"/>
    <cellStyle name="Hipervínculo" xfId="1197" builtinId="8" hidden="1"/>
    <cellStyle name="Hipervínculo" xfId="1199" builtinId="8" hidden="1"/>
    <cellStyle name="Hipervínculo" xfId="1201" builtinId="8" hidden="1"/>
    <cellStyle name="Hipervínculo" xfId="1203" builtinId="8" hidden="1"/>
    <cellStyle name="Hipervínculo" xfId="1205" builtinId="8" hidden="1"/>
    <cellStyle name="Hipervínculo" xfId="1207" builtinId="8" hidden="1"/>
    <cellStyle name="Hipervínculo" xfId="1209" builtinId="8" hidden="1"/>
    <cellStyle name="Hipervínculo" xfId="1211" builtinId="8" hidden="1"/>
    <cellStyle name="Hipervínculo" xfId="1213" builtinId="8" hidden="1"/>
    <cellStyle name="Hipervínculo" xfId="1215" builtinId="8" hidden="1"/>
    <cellStyle name="Hipervínculo" xfId="1217" builtinId="8" hidden="1"/>
    <cellStyle name="Hipervínculo" xfId="1219" builtinId="8" hidden="1"/>
    <cellStyle name="Hipervínculo" xfId="1221" builtinId="8" hidden="1"/>
    <cellStyle name="Hipervínculo" xfId="1223" builtinId="8" hidden="1"/>
    <cellStyle name="Hipervínculo" xfId="1225" builtinId="8" hidden="1"/>
    <cellStyle name="Hipervínculo" xfId="1227" builtinId="8" hidden="1"/>
    <cellStyle name="Hipervínculo" xfId="1229" builtinId="8" hidden="1"/>
    <cellStyle name="Hipervínculo" xfId="1231" builtinId="8" hidden="1"/>
    <cellStyle name="Hipervínculo" xfId="1233" builtinId="8" hidden="1"/>
    <cellStyle name="Hipervínculo" xfId="1235" builtinId="8" hidden="1"/>
    <cellStyle name="Hipervínculo" xfId="1237" builtinId="8" hidden="1"/>
    <cellStyle name="Hipervínculo" xfId="1239" builtinId="8" hidden="1"/>
    <cellStyle name="Hipervínculo" xfId="1241" builtinId="8" hidden="1"/>
    <cellStyle name="Hipervínculo" xfId="1243" builtinId="8" hidden="1"/>
    <cellStyle name="Hipervínculo" xfId="1245" builtinId="8" hidden="1"/>
    <cellStyle name="Hipervínculo" xfId="1247" builtinId="8" hidden="1"/>
    <cellStyle name="Hipervínculo" xfId="1249" builtinId="8" hidden="1"/>
    <cellStyle name="Hipervínculo" xfId="1251" builtinId="8" hidden="1"/>
    <cellStyle name="Hipervínculo" xfId="1253" builtinId="8" hidden="1"/>
    <cellStyle name="Hipervínculo" xfId="1255" builtinId="8" hidden="1"/>
    <cellStyle name="Hipervínculo" xfId="1257" builtinId="8" hidden="1"/>
    <cellStyle name="Hipervínculo" xfId="1259" builtinId="8" hidden="1"/>
    <cellStyle name="Hipervínculo" xfId="1261" builtinId="8" hidden="1"/>
    <cellStyle name="Hipervínculo" xfId="1263" builtinId="8" hidden="1"/>
    <cellStyle name="Hipervínculo" xfId="1265" builtinId="8" hidden="1"/>
    <cellStyle name="Hipervínculo" xfId="1267" builtinId="8" hidden="1"/>
    <cellStyle name="Hipervínculo" xfId="1269" builtinId="8" hidden="1"/>
    <cellStyle name="Hipervínculo" xfId="1271" builtinId="8" hidden="1"/>
    <cellStyle name="Hipervínculo" xfId="1273" builtinId="8" hidden="1"/>
    <cellStyle name="Hipervínculo" xfId="1275" builtinId="8" hidden="1"/>
    <cellStyle name="Hipervínculo" xfId="1277" builtinId="8" hidden="1"/>
    <cellStyle name="Hipervínculo" xfId="1279" builtinId="8" hidden="1"/>
    <cellStyle name="Hipervínculo" xfId="1281" builtinId="8" hidden="1"/>
    <cellStyle name="Hipervínculo" xfId="1283" builtinId="8" hidden="1"/>
    <cellStyle name="Hipervínculo" xfId="1285" builtinId="8" hidden="1"/>
    <cellStyle name="Hipervínculo" xfId="1287" builtinId="8" hidden="1"/>
    <cellStyle name="Hipervínculo" xfId="1289" builtinId="8" hidden="1"/>
    <cellStyle name="Hipervínculo" xfId="1291" builtinId="8" hidden="1"/>
    <cellStyle name="Hipervínculo" xfId="1293" builtinId="8" hidden="1"/>
    <cellStyle name="Hipervínculo" xfId="1295" builtinId="8" hidden="1"/>
    <cellStyle name="Hipervínculo" xfId="1297" builtinId="8" hidden="1"/>
    <cellStyle name="Hipervínculo" xfId="1299" builtinId="8" hidden="1"/>
    <cellStyle name="Hipervínculo" xfId="1301" builtinId="8" hidden="1"/>
    <cellStyle name="Hipervínculo" xfId="1303" builtinId="8" hidden="1"/>
    <cellStyle name="Hipervínculo" xfId="1305" builtinId="8" hidden="1"/>
    <cellStyle name="Hipervínculo" xfId="1307" builtinId="8" hidden="1"/>
    <cellStyle name="Hipervínculo" xfId="1309" builtinId="8" hidden="1"/>
    <cellStyle name="Hipervínculo" xfId="1311" builtinId="8" hidden="1"/>
    <cellStyle name="Hipervínculo" xfId="1313" builtinId="8" hidden="1"/>
    <cellStyle name="Hipervínculo" xfId="1315" builtinId="8" hidden="1"/>
    <cellStyle name="Hipervínculo" xfId="1317" builtinId="8" hidden="1"/>
    <cellStyle name="Hipervínculo" xfId="1319" builtinId="8" hidden="1"/>
    <cellStyle name="Hipervínculo" xfId="1321" builtinId="8" hidden="1"/>
    <cellStyle name="Hipervínculo" xfId="1323" builtinId="8" hidden="1"/>
    <cellStyle name="Hipervínculo" xfId="1325" builtinId="8" hidden="1"/>
    <cellStyle name="Hipervínculo" xfId="1327" builtinId="8" hidden="1"/>
    <cellStyle name="Hipervínculo" xfId="1329" builtinId="8" hidden="1"/>
    <cellStyle name="Hipervínculo" xfId="1331" builtinId="8" hidden="1"/>
    <cellStyle name="Hipervínculo" xfId="1333" builtinId="8" hidden="1"/>
    <cellStyle name="Hipervínculo" xfId="1335" builtinId="8" hidden="1"/>
    <cellStyle name="Hipervínculo" xfId="1337" builtinId="8" hidden="1"/>
    <cellStyle name="Hipervínculo" xfId="1339" builtinId="8" hidden="1"/>
    <cellStyle name="Hipervínculo" xfId="1341" builtinId="8" hidden="1"/>
    <cellStyle name="Hipervínculo" xfId="1343" builtinId="8" hidden="1"/>
    <cellStyle name="Hipervínculo" xfId="1345" builtinId="8" hidden="1"/>
    <cellStyle name="Hipervínculo" xfId="1347" builtinId="8" hidden="1"/>
    <cellStyle name="Hipervínculo" xfId="1349" builtinId="8" hidden="1"/>
    <cellStyle name="Hipervínculo" xfId="1351" builtinId="8" hidden="1"/>
    <cellStyle name="Hipervínculo" xfId="1353" builtinId="8" hidden="1"/>
    <cellStyle name="Hipervínculo" xfId="1355" builtinId="8" hidden="1"/>
    <cellStyle name="Hipervínculo" xfId="1357" builtinId="8" hidden="1"/>
    <cellStyle name="Hipervínculo" xfId="1359" builtinId="8" hidden="1"/>
    <cellStyle name="Hipervínculo" xfId="1361" builtinId="8" hidden="1"/>
    <cellStyle name="Hipervínculo" xfId="1363" builtinId="8" hidden="1"/>
    <cellStyle name="Hipervínculo" xfId="1365" builtinId="8" hidden="1"/>
    <cellStyle name="Hipervínculo" xfId="1367" builtinId="8" hidden="1"/>
    <cellStyle name="Hipervínculo" xfId="1369" builtinId="8" hidden="1"/>
    <cellStyle name="Hipervínculo" xfId="1371" builtinId="8" hidden="1"/>
    <cellStyle name="Hipervínculo" xfId="1373" builtinId="8" hidden="1"/>
    <cellStyle name="Hipervínculo" xfId="1375" builtinId="8" hidden="1"/>
    <cellStyle name="Hipervínculo" xfId="1377" builtinId="8" hidden="1"/>
    <cellStyle name="Hipervínculo" xfId="1379" builtinId="8" hidden="1"/>
    <cellStyle name="Hipervínculo" xfId="1381" builtinId="8" hidden="1"/>
    <cellStyle name="Hipervínculo" xfId="1383" builtinId="8" hidden="1"/>
    <cellStyle name="Hipervínculo" xfId="1385" builtinId="8" hidden="1"/>
    <cellStyle name="Hipervínculo" xfId="1387" builtinId="8" hidden="1"/>
    <cellStyle name="Hipervínculo" xfId="1389" builtinId="8" hidden="1"/>
    <cellStyle name="Hipervínculo" xfId="1391" builtinId="8" hidden="1"/>
    <cellStyle name="Hipervínculo" xfId="1393" builtinId="8" hidden="1"/>
    <cellStyle name="Hipervínculo" xfId="1395" builtinId="8" hidden="1"/>
    <cellStyle name="Hipervínculo" xfId="1397" builtinId="8" hidden="1"/>
    <cellStyle name="Hipervínculo" xfId="1399" builtinId="8" hidden="1"/>
    <cellStyle name="Hipervínculo" xfId="1401" builtinId="8" hidden="1"/>
    <cellStyle name="Hipervínculo" xfId="1403" builtinId="8" hidden="1"/>
    <cellStyle name="Hipervínculo" xfId="1405" builtinId="8" hidden="1"/>
    <cellStyle name="Hipervínculo" xfId="1407" builtinId="8" hidden="1"/>
    <cellStyle name="Hipervínculo" xfId="1409" builtinId="8" hidden="1"/>
    <cellStyle name="Hipervínculo" xfId="1411" builtinId="8" hidden="1"/>
    <cellStyle name="Hipervínculo" xfId="1413" builtinId="8" hidden="1"/>
    <cellStyle name="Hipervínculo" xfId="1415" builtinId="8" hidden="1"/>
    <cellStyle name="Hipervínculo" xfId="1417" builtinId="8" hidden="1"/>
    <cellStyle name="Hipervínculo" xfId="1419" builtinId="8" hidden="1"/>
    <cellStyle name="Hipervínculo" xfId="1421" builtinId="8" hidden="1"/>
    <cellStyle name="Hipervínculo" xfId="1423" builtinId="8" hidden="1"/>
    <cellStyle name="Hipervínculo" xfId="1425" builtinId="8" hidden="1"/>
    <cellStyle name="Hipervínculo" xfId="1427" builtinId="8" hidden="1"/>
    <cellStyle name="Hipervínculo" xfId="1429" builtinId="8" hidden="1"/>
    <cellStyle name="Hipervínculo" xfId="1431" builtinId="8" hidden="1"/>
    <cellStyle name="Hipervínculo" xfId="1433" builtinId="8" hidden="1"/>
    <cellStyle name="Hipervínculo" xfId="1435" builtinId="8" hidden="1"/>
    <cellStyle name="Hipervínculo" xfId="1437" builtinId="8" hidden="1"/>
    <cellStyle name="Hipervínculo" xfId="1439" builtinId="8" hidden="1"/>
    <cellStyle name="Hipervínculo" xfId="1441" builtinId="8" hidden="1"/>
    <cellStyle name="Hipervínculo" xfId="1443" builtinId="8" hidden="1"/>
    <cellStyle name="Hipervínculo" xfId="1445" builtinId="8" hidden="1"/>
    <cellStyle name="Hipervínculo" xfId="1447" builtinId="8" hidden="1"/>
    <cellStyle name="Hipervínculo" xfId="857" builtinId="8" hidden="1"/>
    <cellStyle name="Hipervínculo" xfId="858" builtinId="8" hidden="1"/>
    <cellStyle name="Hipervínculo" xfId="1452" builtinId="8" hidden="1"/>
    <cellStyle name="Hipervínculo" xfId="1454" builtinId="8" hidden="1"/>
    <cellStyle name="Hipervínculo" xfId="1456" builtinId="8" hidden="1"/>
    <cellStyle name="Hipervínculo" xfId="1458" builtinId="8" hidden="1"/>
    <cellStyle name="Hipervínculo" xfId="1460" builtinId="8" hidden="1"/>
    <cellStyle name="Hipervínculo" xfId="1462" builtinId="8" hidden="1"/>
    <cellStyle name="Hipervínculo" xfId="1464" builtinId="8" hidden="1"/>
    <cellStyle name="Hipervínculo" xfId="1466" builtinId="8" hidden="1"/>
    <cellStyle name="Hipervínculo" xfId="1468" builtinId="8" hidden="1"/>
    <cellStyle name="Hipervínculo" xfId="1470" builtinId="8" hidden="1"/>
    <cellStyle name="Hipervínculo" xfId="1472" builtinId="8" hidden="1"/>
    <cellStyle name="Hipervínculo" xfId="1474" builtinId="8" hidden="1"/>
    <cellStyle name="Hipervínculo" xfId="1476" builtinId="8" hidden="1"/>
    <cellStyle name="Hipervínculo" xfId="1478" builtinId="8" hidden="1"/>
    <cellStyle name="Hipervínculo" xfId="1480" builtinId="8" hidden="1"/>
    <cellStyle name="Hipervínculo" xfId="1482" builtinId="8" hidden="1"/>
    <cellStyle name="Hipervínculo" xfId="1484" builtinId="8" hidden="1"/>
    <cellStyle name="Hipervínculo" xfId="1486" builtinId="8" hidden="1"/>
    <cellStyle name="Hipervínculo" xfId="1488" builtinId="8" hidden="1"/>
    <cellStyle name="Hipervínculo" xfId="1490" builtinId="8" hidden="1"/>
    <cellStyle name="Hipervínculo" xfId="1492" builtinId="8" hidden="1"/>
    <cellStyle name="Hipervínculo" xfId="1494" builtinId="8" hidden="1"/>
    <cellStyle name="Hipervínculo" xfId="1496" builtinId="8" hidden="1"/>
    <cellStyle name="Hipervínculo" xfId="1498" builtinId="8" hidden="1"/>
    <cellStyle name="Hipervínculo" xfId="1500" builtinId="8" hidden="1"/>
    <cellStyle name="Hipervínculo" xfId="1502" builtinId="8" hidden="1"/>
    <cellStyle name="Hipervínculo" xfId="1504" builtinId="8" hidden="1"/>
    <cellStyle name="Hipervínculo" xfId="1506" builtinId="8" hidden="1"/>
    <cellStyle name="Hipervínculo" xfId="1508" builtinId="8" hidden="1"/>
    <cellStyle name="Hipervínculo" xfId="1510" builtinId="8" hidden="1"/>
    <cellStyle name="Hipervínculo" xfId="1512" builtinId="8" hidden="1"/>
    <cellStyle name="Hipervínculo" xfId="1514" builtinId="8" hidden="1"/>
    <cellStyle name="Hipervínculo" xfId="1516" builtinId="8" hidden="1"/>
    <cellStyle name="Hipervínculo" xfId="1518" builtinId="8" hidden="1"/>
    <cellStyle name="Hipervínculo" xfId="1520" builtinId="8" hidden="1"/>
    <cellStyle name="Hipervínculo" xfId="1522" builtinId="8" hidden="1"/>
    <cellStyle name="Hipervínculo" xfId="1524" builtinId="8" hidden="1"/>
    <cellStyle name="Hipervínculo" xfId="1526" builtinId="8" hidden="1"/>
    <cellStyle name="Hipervínculo" xfId="1528" builtinId="8" hidden="1"/>
    <cellStyle name="Hipervínculo" xfId="1530" builtinId="8" hidden="1"/>
    <cellStyle name="Hipervínculo" xfId="1532" builtinId="8" hidden="1"/>
    <cellStyle name="Hipervínculo" xfId="1534" builtinId="8" hidden="1"/>
    <cellStyle name="Hipervínculo" xfId="1536" builtinId="8" hidden="1"/>
    <cellStyle name="Hipervínculo" xfId="1538" builtinId="8" hidden="1"/>
    <cellStyle name="Hipervínculo" xfId="1540" builtinId="8" hidden="1"/>
    <cellStyle name="Hipervínculo" xfId="1542" builtinId="8" hidden="1"/>
    <cellStyle name="Hipervínculo" xfId="1544" builtinId="8" hidden="1"/>
    <cellStyle name="Hipervínculo" xfId="1546" builtinId="8" hidden="1"/>
    <cellStyle name="Hipervínculo" xfId="1548" builtinId="8" hidden="1"/>
    <cellStyle name="Hipervínculo" xfId="1550" builtinId="8" hidden="1"/>
    <cellStyle name="Hipervínculo" xfId="1552" builtinId="8" hidden="1"/>
    <cellStyle name="Hipervínculo" xfId="1554" builtinId="8" hidden="1"/>
    <cellStyle name="Hipervínculo" xfId="1556" builtinId="8" hidden="1"/>
    <cellStyle name="Hipervínculo" xfId="1558" builtinId="8" hidden="1"/>
    <cellStyle name="Hipervínculo" xfId="1560" builtinId="8" hidden="1"/>
    <cellStyle name="Hipervínculo" xfId="1562" builtinId="8" hidden="1"/>
    <cellStyle name="Hipervínculo" xfId="1564" builtinId="8" hidden="1"/>
    <cellStyle name="Hipervínculo" xfId="1566" builtinId="8" hidden="1"/>
    <cellStyle name="Hipervínculo" xfId="1568" builtinId="8" hidden="1"/>
    <cellStyle name="Hipervínculo" xfId="1570" builtinId="8" hidden="1"/>
    <cellStyle name="Hipervínculo" xfId="1572" builtinId="8" hidden="1"/>
    <cellStyle name="Hipervínculo" xfId="1574" builtinId="8" hidden="1"/>
    <cellStyle name="Hipervínculo" xfId="1576" builtinId="8" hidden="1"/>
    <cellStyle name="Hipervínculo" xfId="1580" builtinId="8" hidden="1"/>
    <cellStyle name="Hipervínculo" xfId="1582" builtinId="8" hidden="1"/>
    <cellStyle name="Hipervínculo" xfId="1584" builtinId="8" hidden="1"/>
    <cellStyle name="Hipervínculo" xfId="1586" builtinId="8" hidden="1"/>
    <cellStyle name="Hipervínculo" xfId="1588" builtinId="8" hidden="1"/>
    <cellStyle name="Hipervínculo" xfId="1590" builtinId="8" hidden="1"/>
    <cellStyle name="Hipervínculo" xfId="1592" builtinId="8" hidden="1"/>
    <cellStyle name="Hipervínculo" xfId="1594" builtinId="8" hidden="1"/>
    <cellStyle name="Hipervínculo" xfId="1596" builtinId="8" hidden="1"/>
    <cellStyle name="Hipervínculo" xfId="1598" builtinId="8" hidden="1"/>
    <cellStyle name="Hipervínculo" xfId="1600" builtinId="8" hidden="1"/>
    <cellStyle name="Hipervínculo" xfId="1602" builtinId="8" hidden="1"/>
    <cellStyle name="Hipervínculo" xfId="1604" builtinId="8" hidden="1"/>
    <cellStyle name="Hipervínculo" xfId="1606" builtinId="8" hidden="1"/>
    <cellStyle name="Hipervínculo" xfId="1608" builtinId="8" hidden="1"/>
    <cellStyle name="Hipervínculo" xfId="1610" builtinId="8" hidden="1"/>
    <cellStyle name="Hipervínculo" xfId="1612" builtinId="8" hidden="1"/>
    <cellStyle name="Hipervínculo" xfId="1614" builtinId="8" hidden="1"/>
    <cellStyle name="Hipervínculo" xfId="1616" builtinId="8" hidden="1"/>
    <cellStyle name="Hipervínculo" xfId="1618" builtinId="8" hidden="1"/>
    <cellStyle name="Hipervínculo" xfId="1620" builtinId="8" hidden="1"/>
    <cellStyle name="Hipervínculo" xfId="1622" builtinId="8" hidden="1"/>
    <cellStyle name="Hipervínculo" xfId="1624" builtinId="8" hidden="1"/>
    <cellStyle name="Hipervínculo" xfId="1626" builtinId="8" hidden="1"/>
    <cellStyle name="Hipervínculo" xfId="1628" builtinId="8" hidden="1"/>
    <cellStyle name="Hipervínculo" xfId="1630" builtinId="8" hidden="1"/>
    <cellStyle name="Hipervínculo" xfId="1632" builtinId="8" hidden="1"/>
    <cellStyle name="Hipervínculo" xfId="1634" builtinId="8" hidden="1"/>
    <cellStyle name="Hipervínculo" xfId="1636" builtinId="8" hidden="1"/>
    <cellStyle name="Hipervínculo" xfId="1638" builtinId="8" hidden="1"/>
    <cellStyle name="Hipervínculo" xfId="1640" builtinId="8" hidden="1"/>
    <cellStyle name="Hipervínculo" xfId="1642" builtinId="8" hidden="1"/>
    <cellStyle name="Hipervínculo" xfId="1644" builtinId="8" hidden="1"/>
    <cellStyle name="Hipervínculo" xfId="1646" builtinId="8" hidden="1"/>
    <cellStyle name="Hipervínculo" xfId="1648" builtinId="8" hidden="1"/>
    <cellStyle name="Hipervínculo" xfId="1650" builtinId="8" hidden="1"/>
    <cellStyle name="Hipervínculo" xfId="1652" builtinId="8" hidden="1"/>
    <cellStyle name="Hipervínculo" xfId="1654" builtinId="8" hidden="1"/>
    <cellStyle name="Hipervínculo" xfId="1656" builtinId="8" hidden="1"/>
    <cellStyle name="Hipervínculo" xfId="1658" builtinId="8" hidden="1"/>
    <cellStyle name="Hipervínculo" xfId="1660" builtinId="8" hidden="1"/>
    <cellStyle name="Hipervínculo" xfId="1662" builtinId="8" hidden="1"/>
    <cellStyle name="Hipervínculo" xfId="1664" builtinId="8" hidden="1"/>
    <cellStyle name="Hipervínculo" xfId="1666" builtinId="8" hidden="1"/>
    <cellStyle name="Hipervínculo" xfId="1668" builtinId="8" hidden="1"/>
    <cellStyle name="Hipervínculo" xfId="1670" builtinId="8" hidden="1"/>
    <cellStyle name="Hipervínculo" xfId="1672" builtinId="8" hidden="1"/>
    <cellStyle name="Hipervínculo" xfId="1674" builtinId="8" hidden="1"/>
    <cellStyle name="Hipervínculo" xfId="1676" builtinId="8" hidden="1"/>
    <cellStyle name="Hipervínculo" xfId="1678" builtinId="8" hidden="1"/>
    <cellStyle name="Hipervínculo" xfId="1680" builtinId="8" hidden="1"/>
    <cellStyle name="Hipervínculo" xfId="1682" builtinId="8" hidden="1"/>
    <cellStyle name="Hipervínculo" xfId="1684" builtinId="8" hidden="1"/>
    <cellStyle name="Hipervínculo" xfId="1686" builtinId="8" hidden="1"/>
    <cellStyle name="Hipervínculo" xfId="1688" builtinId="8" hidden="1"/>
    <cellStyle name="Hipervínculo" xfId="1690" builtinId="8" hidden="1"/>
    <cellStyle name="Hipervínculo" xfId="1692" builtinId="8" hidden="1"/>
    <cellStyle name="Hipervínculo" xfId="1694" builtinId="8" hidden="1"/>
    <cellStyle name="Hipervínculo" xfId="1696" builtinId="8" hidden="1"/>
    <cellStyle name="Hipervínculo" xfId="1698" builtinId="8" hidden="1"/>
    <cellStyle name="Hipervínculo" xfId="1700" builtinId="8" hidden="1"/>
    <cellStyle name="Hipervínculo" xfId="1702" builtinId="8" hidden="1"/>
    <cellStyle name="Hipervínculo" xfId="1704" builtinId="8" hidden="1"/>
    <cellStyle name="Hipervínculo" xfId="1706" builtinId="8" hidden="1"/>
    <cellStyle name="Hipervínculo" xfId="1708" builtinId="8" hidden="1"/>
    <cellStyle name="Hipervínculo" xfId="1710" builtinId="8" hidden="1"/>
    <cellStyle name="Hipervínculo" xfId="1712" builtinId="8" hidden="1"/>
    <cellStyle name="Hipervínculo" xfId="1714" builtinId="8" hidden="1"/>
    <cellStyle name="Hipervínculo" xfId="1716" builtinId="8" hidden="1"/>
    <cellStyle name="Hipervínculo" xfId="1718" builtinId="8" hidden="1"/>
    <cellStyle name="Hipervínculo" xfId="1720" builtinId="8" hidden="1"/>
    <cellStyle name="Hipervínculo" xfId="1722" builtinId="8" hidden="1"/>
    <cellStyle name="Hipervínculo" xfId="1724" builtinId="8" hidden="1"/>
    <cellStyle name="Hipervínculo" xfId="1726" builtinId="8" hidden="1"/>
    <cellStyle name="Hipervínculo" xfId="1728" builtinId="8" hidden="1"/>
    <cellStyle name="Hipervínculo" xfId="1730" builtinId="8" hidden="1"/>
    <cellStyle name="Hipervínculo" xfId="1732" builtinId="8" hidden="1"/>
    <cellStyle name="Hipervínculo" xfId="1734" builtinId="8" hidden="1"/>
    <cellStyle name="Hipervínculo" xfId="1736" builtinId="8" hidden="1"/>
    <cellStyle name="Hipervínculo" xfId="1738" builtinId="8" hidden="1"/>
    <cellStyle name="Hipervínculo" xfId="1740" builtinId="8" hidden="1"/>
    <cellStyle name="Hipervínculo" xfId="1742" builtinId="8" hidden="1"/>
    <cellStyle name="Hipervínculo" xfId="1744" builtinId="8" hidden="1"/>
    <cellStyle name="Hipervínculo" xfId="1746" builtinId="8" hidden="1"/>
    <cellStyle name="Hipervínculo" xfId="1748" builtinId="8" hidden="1"/>
    <cellStyle name="Hipervínculo" xfId="1750" builtinId="8" hidden="1"/>
    <cellStyle name="Hipervínculo" xfId="1752" builtinId="8" hidden="1"/>
    <cellStyle name="Hipervínculo" xfId="1754" builtinId="8" hidden="1"/>
    <cellStyle name="Hipervínculo" xfId="1756" builtinId="8" hidden="1"/>
    <cellStyle name="Hipervínculo" xfId="1758" builtinId="8" hidden="1"/>
    <cellStyle name="Hipervínculo" xfId="1760" builtinId="8" hidden="1"/>
    <cellStyle name="Hipervínculo" xfId="1762" builtinId="8" hidden="1"/>
    <cellStyle name="Hipervínculo" xfId="1764" builtinId="8" hidden="1"/>
    <cellStyle name="Hipervínculo" xfId="1766" builtinId="8" hidden="1"/>
    <cellStyle name="Hipervínculo" xfId="1768" builtinId="8" hidden="1"/>
    <cellStyle name="Hipervínculo" xfId="1770" builtinId="8" hidden="1"/>
    <cellStyle name="Hipervínculo" xfId="1772" builtinId="8" hidden="1"/>
    <cellStyle name="Hipervínculo" xfId="1774" builtinId="8" hidden="1"/>
    <cellStyle name="Hipervínculo" xfId="1776" builtinId="8" hidden="1"/>
    <cellStyle name="Hipervínculo" xfId="1778" builtinId="8" hidden="1"/>
    <cellStyle name="Hipervínculo" xfId="1780" builtinId="8" hidden="1"/>
    <cellStyle name="Hipervínculo" xfId="1782" builtinId="8" hidden="1"/>
    <cellStyle name="Hipervínculo" xfId="1784" builtinId="8" hidden="1"/>
    <cellStyle name="Hipervínculo" xfId="1786" builtinId="8" hidden="1"/>
    <cellStyle name="Hipervínculo" xfId="1788" builtinId="8" hidden="1"/>
    <cellStyle name="Hipervínculo" xfId="1790" builtinId="8" hidden="1"/>
    <cellStyle name="Hipervínculo" xfId="1792" builtinId="8" hidden="1"/>
    <cellStyle name="Hipervínculo" xfId="1794" builtinId="8" hidden="1"/>
    <cellStyle name="Hipervínculo" xfId="1796" builtinId="8" hidden="1"/>
    <cellStyle name="Hipervínculo" xfId="1798" builtinId="8" hidden="1"/>
    <cellStyle name="Hipervínculo" xfId="1800" builtinId="8" hidden="1"/>
    <cellStyle name="Hipervínculo" xfId="1802" builtinId="8" hidden="1"/>
    <cellStyle name="Hipervínculo" xfId="1804" builtinId="8" hidden="1"/>
    <cellStyle name="Hipervínculo" xfId="1806" builtinId="8" hidden="1"/>
    <cellStyle name="Hipervínculo" xfId="1808" builtinId="8" hidden="1"/>
    <cellStyle name="Hipervínculo" xfId="1810" builtinId="8" hidden="1"/>
    <cellStyle name="Hipervínculo" xfId="1812" builtinId="8" hidden="1"/>
    <cellStyle name="Hipervínculo" xfId="1814" builtinId="8" hidden="1"/>
    <cellStyle name="Hipervínculo" xfId="1816" builtinId="8" hidden="1"/>
    <cellStyle name="Hipervínculo" xfId="1818" builtinId="8" hidden="1"/>
    <cellStyle name="Hipervínculo" xfId="1820" builtinId="8" hidden="1"/>
    <cellStyle name="Hipervínculo" xfId="1822" builtinId="8" hidden="1"/>
    <cellStyle name="Hipervínculo" xfId="1824" builtinId="8" hidden="1"/>
    <cellStyle name="Hipervínculo" xfId="1826" builtinId="8" hidden="1"/>
    <cellStyle name="Hipervínculo" xfId="1828" builtinId="8" hidden="1"/>
    <cellStyle name="Hipervínculo" xfId="1830" builtinId="8" hidden="1"/>
    <cellStyle name="Hipervínculo" xfId="1832" builtinId="8" hidden="1"/>
    <cellStyle name="Hipervínculo" xfId="1834" builtinId="8" hidden="1"/>
    <cellStyle name="Hipervínculo" xfId="1836" builtinId="8" hidden="1"/>
    <cellStyle name="Hipervínculo" xfId="1838" builtinId="8" hidden="1"/>
    <cellStyle name="Hipervínculo" xfId="1840" builtinId="8" hidden="1"/>
    <cellStyle name="Hipervínculo" xfId="1842" builtinId="8" hidden="1"/>
    <cellStyle name="Hipervínculo" xfId="1844" builtinId="8" hidden="1"/>
    <cellStyle name="Hipervínculo" xfId="1846" builtinId="8" hidden="1"/>
    <cellStyle name="Hipervínculo" xfId="1848" builtinId="8" hidden="1"/>
    <cellStyle name="Hipervínculo" xfId="1850" builtinId="8" hidden="1"/>
    <cellStyle name="Hipervínculo" xfId="1852" builtinId="8" hidden="1"/>
    <cellStyle name="Hipervínculo" xfId="1854" builtinId="8" hidden="1"/>
    <cellStyle name="Hipervínculo" xfId="1856" builtinId="8" hidden="1"/>
    <cellStyle name="Hipervínculo" xfId="1858" builtinId="8" hidden="1"/>
    <cellStyle name="Hipervínculo" xfId="1860" builtinId="8" hidden="1"/>
    <cellStyle name="Hipervínculo" xfId="1862" builtinId="8" hidden="1"/>
    <cellStyle name="Hipervínculo" xfId="1864" builtinId="8" hidden="1"/>
    <cellStyle name="Hipervínculo" xfId="1866" builtinId="8" hidden="1"/>
    <cellStyle name="Hipervínculo" xfId="1868" builtinId="8" hidden="1"/>
    <cellStyle name="Hipervínculo" xfId="1870" builtinId="8" hidden="1"/>
    <cellStyle name="Hipervínculo" xfId="1872" builtinId="8" hidden="1"/>
    <cellStyle name="Hipervínculo" xfId="1874" builtinId="8" hidden="1"/>
    <cellStyle name="Hipervínculo" xfId="1876" builtinId="8" hidden="1"/>
    <cellStyle name="Hipervínculo" xfId="1878" builtinId="8" hidden="1"/>
    <cellStyle name="Hipervínculo" xfId="1880" builtinId="8" hidden="1"/>
    <cellStyle name="Hipervínculo" xfId="1882" builtinId="8" hidden="1"/>
    <cellStyle name="Hipervínculo" xfId="1884" builtinId="8" hidden="1"/>
    <cellStyle name="Hipervínculo" xfId="1886" builtinId="8" hidden="1"/>
    <cellStyle name="Hipervínculo" xfId="1888" builtinId="8" hidden="1"/>
    <cellStyle name="Hipervínculo" xfId="1890" builtinId="8" hidden="1"/>
    <cellStyle name="Hipervínculo" xfId="1892" builtinId="8" hidden="1"/>
    <cellStyle name="Hipervínculo" xfId="1894" builtinId="8" hidden="1"/>
    <cellStyle name="Hipervínculo" xfId="1896" builtinId="8" hidden="1"/>
    <cellStyle name="Hipervínculo" xfId="1898" builtinId="8" hidden="1"/>
    <cellStyle name="Hipervínculo" xfId="1900" builtinId="8" hidden="1"/>
    <cellStyle name="Hipervínculo" xfId="1902" builtinId="8" hidden="1"/>
    <cellStyle name="Hipervínculo" xfId="1904" builtinId="8" hidden="1"/>
    <cellStyle name="Hipervínculo" xfId="1906" builtinId="8" hidden="1"/>
    <cellStyle name="Hipervínculo" xfId="1908" builtinId="8" hidden="1"/>
    <cellStyle name="Hipervínculo" xfId="1910" builtinId="8" hidden="1"/>
    <cellStyle name="Hipervínculo" xfId="1912" builtinId="8" hidden="1"/>
    <cellStyle name="Hipervínculo" xfId="1914" builtinId="8" hidden="1"/>
    <cellStyle name="Hipervínculo" xfId="1916" builtinId="8" hidden="1"/>
    <cellStyle name="Hipervínculo" xfId="1918" builtinId="8" hidden="1"/>
    <cellStyle name="Hipervínculo" xfId="1920" builtinId="8" hidden="1"/>
    <cellStyle name="Hipervínculo" xfId="1922" builtinId="8" hidden="1"/>
    <cellStyle name="Hipervínculo" xfId="1924" builtinId="8" hidden="1"/>
    <cellStyle name="Hipervínculo" xfId="1926" builtinId="8" hidden="1"/>
    <cellStyle name="Hipervínculo" xfId="1928" builtinId="8" hidden="1"/>
    <cellStyle name="Hipervínculo" xfId="1930" builtinId="8" hidden="1"/>
    <cellStyle name="Hipervínculo" xfId="1932" builtinId="8" hidden="1"/>
    <cellStyle name="Hipervínculo" xfId="1934" builtinId="8" hidden="1"/>
    <cellStyle name="Hipervínculo" xfId="1936" builtinId="8" hidden="1"/>
    <cellStyle name="Hipervínculo" xfId="1938" builtinId="8" hidden="1"/>
    <cellStyle name="Hipervínculo" xfId="1940" builtinId="8" hidden="1"/>
    <cellStyle name="Hipervínculo" xfId="1942" builtinId="8" hidden="1"/>
    <cellStyle name="Hipervínculo" xfId="1944" builtinId="8" hidden="1"/>
    <cellStyle name="Hipervínculo" xfId="1946" builtinId="8" hidden="1"/>
    <cellStyle name="Hipervínculo" xfId="1948" builtinId="8" hidden="1"/>
    <cellStyle name="Hipervínculo" xfId="1950" builtinId="8" hidden="1"/>
    <cellStyle name="Hipervínculo" xfId="1952" builtinId="8" hidden="1"/>
    <cellStyle name="Hipervínculo" xfId="1954" builtinId="8" hidden="1"/>
    <cellStyle name="Hipervínculo" xfId="1956" builtinId="8" hidden="1"/>
    <cellStyle name="Hipervínculo" xfId="1958" builtinId="8" hidden="1"/>
    <cellStyle name="Hipervínculo" xfId="1960" builtinId="8" hidden="1"/>
    <cellStyle name="Hipervínculo" xfId="1962" builtinId="8" hidden="1"/>
    <cellStyle name="Hipervínculo" xfId="1964" builtinId="8" hidden="1"/>
    <cellStyle name="Hipervínculo" xfId="1966" builtinId="8" hidden="1"/>
    <cellStyle name="Hipervínculo" xfId="1968" builtinId="8" hidden="1"/>
    <cellStyle name="Hipervínculo" xfId="1970" builtinId="8" hidden="1"/>
    <cellStyle name="Hipervínculo" xfId="1972" builtinId="8" hidden="1"/>
    <cellStyle name="Hipervínculo" xfId="1974" builtinId="8" hidden="1"/>
    <cellStyle name="Hipervínculo" xfId="1976" builtinId="8" hidden="1"/>
    <cellStyle name="Hipervínculo" xfId="1978" builtinId="8" hidden="1"/>
    <cellStyle name="Hipervínculo" xfId="1980" builtinId="8" hidden="1"/>
    <cellStyle name="Hipervínculo" xfId="1982" builtinId="8" hidden="1"/>
    <cellStyle name="Hipervínculo" xfId="1984" builtinId="8" hidden="1"/>
    <cellStyle name="Hipervínculo" xfId="1986" builtinId="8" hidden="1"/>
    <cellStyle name="Hipervínculo" xfId="1988" builtinId="8" hidden="1"/>
    <cellStyle name="Hipervínculo" xfId="1990" builtinId="8" hidden="1"/>
    <cellStyle name="Hipervínculo" xfId="1992" builtinId="8" hidden="1"/>
    <cellStyle name="Hipervínculo" xfId="1994" builtinId="8" hidden="1"/>
    <cellStyle name="Hipervínculo" xfId="1996" builtinId="8" hidden="1"/>
    <cellStyle name="Hipervínculo" xfId="1998" builtinId="8" hidden="1"/>
    <cellStyle name="Hipervínculo" xfId="2000" builtinId="8" hidden="1"/>
    <cellStyle name="Hipervínculo" xfId="2002" builtinId="8" hidden="1"/>
    <cellStyle name="Hipervínculo" xfId="2004" builtinId="8" hidden="1"/>
    <cellStyle name="Hipervínculo" xfId="2006" builtinId="8" hidden="1"/>
    <cellStyle name="Hipervínculo" xfId="2008" builtinId="8" hidden="1"/>
    <cellStyle name="Hipervínculo" xfId="2010" builtinId="8" hidden="1"/>
    <cellStyle name="Hipervínculo" xfId="2012" builtinId="8" hidden="1"/>
    <cellStyle name="Hipervínculo" xfId="2014" builtinId="8" hidden="1"/>
    <cellStyle name="Hipervínculo" xfId="2016" builtinId="8" hidden="1"/>
    <cellStyle name="Hipervínculo" xfId="2018" builtinId="8" hidden="1"/>
    <cellStyle name="Hipervínculo" xfId="2020" builtinId="8" hidden="1"/>
    <cellStyle name="Hipervínculo" xfId="2022" builtinId="8" hidden="1"/>
    <cellStyle name="Hipervínculo" xfId="2024" builtinId="8" hidden="1"/>
    <cellStyle name="Hipervínculo" xfId="2026" builtinId="8" hidden="1"/>
    <cellStyle name="Hipervínculo" xfId="2028" builtinId="8" hidden="1"/>
    <cellStyle name="Hipervínculo" xfId="2030" builtinId="8" hidden="1"/>
    <cellStyle name="Hipervínculo" xfId="2032" builtinId="8" hidden="1"/>
    <cellStyle name="Hipervínculo" xfId="2034" builtinId="8" hidden="1"/>
    <cellStyle name="Hipervínculo" xfId="2036" builtinId="8" hidden="1"/>
    <cellStyle name="Hipervínculo" xfId="2038" builtinId="8" hidden="1"/>
    <cellStyle name="Hipervínculo" xfId="2040" builtinId="8" hidden="1"/>
    <cellStyle name="Hipervínculo" xfId="2042" builtinId="8" hidden="1"/>
    <cellStyle name="Hipervínculo" xfId="2044" builtinId="8" hidden="1"/>
    <cellStyle name="Hipervínculo" xfId="2046" builtinId="8" hidden="1"/>
    <cellStyle name="Hipervínculo" xfId="2048" builtinId="8" hidden="1"/>
    <cellStyle name="Hipervínculo" xfId="2050" builtinId="8" hidden="1"/>
    <cellStyle name="Hipervínculo" xfId="2052" builtinId="8" hidden="1"/>
    <cellStyle name="Hipervínculo" xfId="2054" builtinId="8" hidden="1"/>
    <cellStyle name="Hipervínculo" xfId="2056" builtinId="8" hidden="1"/>
    <cellStyle name="Hipervínculo" xfId="2058" builtinId="8" hidden="1"/>
    <cellStyle name="Hipervínculo" xfId="2060" builtinId="8" hidden="1"/>
    <cellStyle name="Hipervínculo" xfId="2062" builtinId="8" hidden="1"/>
    <cellStyle name="Hipervínculo" xfId="2064" builtinId="8" hidden="1"/>
    <cellStyle name="Hipervínculo" xfId="2066" builtinId="8" hidden="1"/>
    <cellStyle name="Hipervínculo" xfId="2068" builtinId="8" hidden="1"/>
    <cellStyle name="Hipervínculo" xfId="2070" builtinId="8" hidden="1"/>
    <cellStyle name="Hipervínculo" xfId="2072" builtinId="8" hidden="1"/>
    <cellStyle name="Hipervínculo" xfId="2074" builtinId="8" hidden="1"/>
    <cellStyle name="Hipervínculo" xfId="2076" builtinId="8" hidden="1"/>
    <cellStyle name="Hipervínculo" xfId="2078" builtinId="8" hidden="1"/>
    <cellStyle name="Hipervínculo" xfId="2080" builtinId="8" hidden="1"/>
    <cellStyle name="Hipervínculo" xfId="2082" builtinId="8" hidden="1"/>
    <cellStyle name="Hipervínculo" xfId="2084" builtinId="8" hidden="1"/>
    <cellStyle name="Hipervínculo" xfId="2086" builtinId="8" hidden="1"/>
    <cellStyle name="Hipervínculo" xfId="2088" builtinId="8" hidden="1"/>
    <cellStyle name="Hipervínculo" xfId="2090" builtinId="8" hidden="1"/>
    <cellStyle name="Hipervínculo" xfId="2092" builtinId="8" hidden="1"/>
    <cellStyle name="Hipervínculo" xfId="2094" builtinId="8" hidden="1"/>
    <cellStyle name="Hipervínculo" xfId="2096" builtinId="8" hidden="1"/>
    <cellStyle name="Hipervínculo" xfId="2098" builtinId="8" hidden="1"/>
    <cellStyle name="Hipervínculo" xfId="2100" builtinId="8" hidden="1"/>
    <cellStyle name="Hipervínculo" xfId="2102" builtinId="8" hidden="1"/>
    <cellStyle name="Hipervínculo" xfId="2104" builtinId="8" hidden="1"/>
    <cellStyle name="Hipervínculo" xfId="2106" builtinId="8" hidden="1"/>
    <cellStyle name="Hipervínculo" xfId="2108" builtinId="8" hidden="1"/>
    <cellStyle name="Hipervínculo" xfId="2110" builtinId="8" hidden="1"/>
    <cellStyle name="Hipervínculo" xfId="2112" builtinId="8" hidden="1"/>
    <cellStyle name="Hipervínculo" xfId="2114" builtinId="8" hidden="1"/>
    <cellStyle name="Hipervínculo" xfId="2116" builtinId="8" hidden="1"/>
    <cellStyle name="Hipervínculo" xfId="2118" builtinId="8" hidden="1"/>
    <cellStyle name="Hipervínculo" xfId="2120" builtinId="8" hidden="1"/>
    <cellStyle name="Hipervínculo" xfId="2122" builtinId="8" hidden="1"/>
    <cellStyle name="Hipervínculo" xfId="2124" builtinId="8" hidden="1"/>
    <cellStyle name="Hipervínculo" xfId="2126" builtinId="8" hidden="1"/>
    <cellStyle name="Hipervínculo" xfId="2128" builtinId="8" hidden="1"/>
    <cellStyle name="Hipervínculo" xfId="2130" builtinId="8" hidden="1"/>
    <cellStyle name="Hipervínculo" xfId="2132" builtinId="8" hidden="1"/>
    <cellStyle name="Hipervínculo" xfId="2134" builtinId="8" hidden="1"/>
    <cellStyle name="Hipervínculo" xfId="2136" builtinId="8" hidden="1"/>
    <cellStyle name="Hipervínculo" xfId="2138" builtinId="8" hidden="1"/>
    <cellStyle name="Hipervínculo" xfId="2140" builtinId="8" hidden="1"/>
    <cellStyle name="Hipervínculo" xfId="2142" builtinId="8" hidden="1"/>
    <cellStyle name="Hipervínculo" xfId="2144" builtinId="8" hidden="1"/>
    <cellStyle name="Hipervínculo" xfId="2146" builtinId="8" hidden="1"/>
    <cellStyle name="Hipervínculo" xfId="2148" builtinId="8" hidden="1"/>
    <cellStyle name="Hipervínculo" xfId="2150" builtinId="8" hidden="1"/>
    <cellStyle name="Hipervínculo" xfId="2152" builtinId="8" hidden="1"/>
    <cellStyle name="Hipervínculo" xfId="2154" builtinId="8" hidden="1"/>
    <cellStyle name="Hipervínculo" xfId="2156" builtinId="8" hidden="1"/>
    <cellStyle name="Hipervínculo" xfId="2158" builtinId="8" hidden="1"/>
    <cellStyle name="Hipervínculo" xfId="2160" builtinId="8" hidden="1"/>
    <cellStyle name="Hipervínculo" xfId="2162" builtinId="8" hidden="1"/>
    <cellStyle name="Hipervínculo" xfId="2164" builtinId="8" hidden="1"/>
    <cellStyle name="Hipervínculo" xfId="2166" builtinId="8" hidden="1"/>
    <cellStyle name="Hipervínculo" xfId="2168" builtinId="8" hidden="1"/>
    <cellStyle name="Hipervínculo" xfId="1578" builtinId="8" hidden="1"/>
    <cellStyle name="Hipervínculo" xfId="1579" builtinId="8" hidden="1"/>
    <cellStyle name="Hipervínculo" xfId="2171" builtinId="8" hidden="1"/>
    <cellStyle name="Hipervínculo" xfId="2173" builtinId="8" hidden="1"/>
    <cellStyle name="Hipervínculo" xfId="2175" builtinId="8" hidden="1"/>
    <cellStyle name="Hipervínculo" xfId="2177" builtinId="8" hidden="1"/>
    <cellStyle name="Hipervínculo" xfId="2179" builtinId="8" hidden="1"/>
    <cellStyle name="Hipervínculo" xfId="2181" builtinId="8" hidden="1"/>
    <cellStyle name="Hipervínculo" xfId="2183" builtinId="8" hidden="1"/>
    <cellStyle name="Hipervínculo" xfId="2185" builtinId="8" hidden="1"/>
    <cellStyle name="Hipervínculo" xfId="2187" builtinId="8" hidden="1"/>
    <cellStyle name="Hipervínculo" xfId="2189" builtinId="8" hidden="1"/>
    <cellStyle name="Hipervínculo" xfId="2191" builtinId="8" hidden="1"/>
    <cellStyle name="Hipervínculo" xfId="2193" builtinId="8" hidden="1"/>
    <cellStyle name="Hipervínculo" xfId="2195" builtinId="8" hidden="1"/>
    <cellStyle name="Hipervínculo" xfId="2197" builtinId="8" hidden="1"/>
    <cellStyle name="Hipervínculo" xfId="2199" builtinId="8" hidden="1"/>
    <cellStyle name="Hipervínculo" xfId="2201" builtinId="8" hidden="1"/>
    <cellStyle name="Hipervínculo" xfId="2203" builtinId="8" hidden="1"/>
    <cellStyle name="Hipervínculo" xfId="2205" builtinId="8" hidden="1"/>
    <cellStyle name="Hipervínculo" xfId="2207" builtinId="8" hidden="1"/>
    <cellStyle name="Hipervínculo" xfId="2209" builtinId="8" hidden="1"/>
    <cellStyle name="Hipervínculo" xfId="2211" builtinId="8" hidden="1"/>
    <cellStyle name="Hipervínculo" xfId="2213" builtinId="8" hidden="1"/>
    <cellStyle name="Hipervínculo" xfId="2215" builtinId="8" hidden="1"/>
    <cellStyle name="Hipervínculo" xfId="2217" builtinId="8" hidden="1"/>
    <cellStyle name="Hipervínculo" xfId="2219" builtinId="8" hidden="1"/>
    <cellStyle name="Hipervínculo" xfId="2221" builtinId="8" hidden="1"/>
    <cellStyle name="Hipervínculo" xfId="2223" builtinId="8" hidden="1"/>
    <cellStyle name="Hipervínculo" xfId="2225" builtinId="8" hidden="1"/>
    <cellStyle name="Hipervínculo" xfId="2227" builtinId="8" hidden="1"/>
    <cellStyle name="Hipervínculo" xfId="2229" builtinId="8" hidden="1"/>
    <cellStyle name="Hipervínculo" xfId="2231" builtinId="8" hidden="1"/>
    <cellStyle name="Hipervínculo" xfId="2233" builtinId="8" hidden="1"/>
    <cellStyle name="Hipervínculo" xfId="2235" builtinId="8" hidden="1"/>
    <cellStyle name="Hipervínculo" xfId="2237" builtinId="8" hidden="1"/>
    <cellStyle name="Hipervínculo" xfId="2239" builtinId="8" hidden="1"/>
    <cellStyle name="Hipervínculo" xfId="2241" builtinId="8" hidden="1"/>
    <cellStyle name="Hipervínculo" xfId="2243" builtinId="8" hidden="1"/>
    <cellStyle name="Hipervínculo" xfId="2245" builtinId="8" hidden="1"/>
    <cellStyle name="Hipervínculo" xfId="2247" builtinId="8" hidden="1"/>
    <cellStyle name="Hipervínculo" xfId="2249" builtinId="8" hidden="1"/>
    <cellStyle name="Hipervínculo" xfId="2251" builtinId="8" hidden="1"/>
    <cellStyle name="Hipervínculo" xfId="2253" builtinId="8" hidden="1"/>
    <cellStyle name="Hipervínculo" xfId="2255" builtinId="8" hidden="1"/>
    <cellStyle name="Hipervínculo" xfId="2257" builtinId="8" hidden="1"/>
    <cellStyle name="Hipervínculo" xfId="2259" builtinId="8" hidden="1"/>
    <cellStyle name="Hipervínculo" xfId="2261" builtinId="8" hidden="1"/>
    <cellStyle name="Hipervínculo" xfId="2263" builtinId="8" hidden="1"/>
    <cellStyle name="Hipervínculo" xfId="2265" builtinId="8" hidden="1"/>
    <cellStyle name="Hipervínculo" xfId="2267" builtinId="8" hidden="1"/>
    <cellStyle name="Hipervínculo" xfId="2269" builtinId="8" hidden="1"/>
    <cellStyle name="Hipervínculo" xfId="2271" builtinId="8" hidden="1"/>
    <cellStyle name="Hipervínculo" xfId="2273" builtinId="8" hidden="1"/>
    <cellStyle name="Hipervínculo" xfId="2275" builtinId="8" hidden="1"/>
    <cellStyle name="Hipervínculo" xfId="2277" builtinId="8" hidden="1"/>
    <cellStyle name="Hipervínculo" xfId="2279" builtinId="8" hidden="1"/>
    <cellStyle name="Hipervínculo" xfId="2281" builtinId="8" hidden="1"/>
    <cellStyle name="Hipervínculo" xfId="2283" builtinId="8" hidden="1"/>
    <cellStyle name="Hipervínculo" xfId="2285" builtinId="8" hidden="1"/>
    <cellStyle name="Hipervínculo" xfId="2287" builtinId="8" hidden="1"/>
    <cellStyle name="Hipervínculo" xfId="2289" builtinId="8" hidden="1"/>
    <cellStyle name="Hipervínculo" xfId="2291" builtinId="8" hidden="1"/>
    <cellStyle name="Hipervínculo" xfId="2293" builtinId="8" hidden="1"/>
    <cellStyle name="Hipervínculo" xfId="2295" builtinId="8" hidden="1"/>
    <cellStyle name="Hipervínculo" xfId="2297" builtinId="8" hidden="1"/>
    <cellStyle name="Hipervínculo" xfId="2299" builtinId="8" hidden="1"/>
    <cellStyle name="Hipervínculo" xfId="2301" builtinId="8" hidden="1"/>
    <cellStyle name="Hipervínculo" xfId="2303" builtinId="8" hidden="1"/>
    <cellStyle name="Hipervínculo" xfId="2305" builtinId="8" hidden="1"/>
    <cellStyle name="Hipervínculo" xfId="2307" builtinId="8" hidden="1"/>
    <cellStyle name="Hipervínculo" xfId="2309" builtinId="8" hidden="1"/>
    <cellStyle name="Hipervínculo" xfId="2311" builtinId="8" hidden="1"/>
    <cellStyle name="Hipervínculo" xfId="2313" builtinId="8" hidden="1"/>
    <cellStyle name="Hipervínculo" xfId="2315" builtinId="8" hidden="1"/>
    <cellStyle name="Hipervínculo" xfId="2317" builtinId="8" hidden="1"/>
    <cellStyle name="Hipervínculo" xfId="2319" builtinId="8" hidden="1"/>
    <cellStyle name="Hipervínculo" xfId="2321" builtinId="8" hidden="1"/>
    <cellStyle name="Hipervínculo" xfId="2323" builtinId="8" hidden="1"/>
    <cellStyle name="Hipervínculo" xfId="2325" builtinId="8" hidden="1"/>
    <cellStyle name="Hipervínculo" xfId="2327" builtinId="8" hidden="1"/>
    <cellStyle name="Hipervínculo" xfId="2329" builtinId="8" hidden="1"/>
    <cellStyle name="Hipervínculo" xfId="2331" builtinId="8" hidden="1"/>
    <cellStyle name="Hipervínculo" xfId="2333" builtinId="8" hidden="1"/>
    <cellStyle name="Hipervínculo" xfId="2335" builtinId="8" hidden="1"/>
    <cellStyle name="Hipervínculo" xfId="2337" builtinId="8" hidden="1"/>
    <cellStyle name="Hipervínculo" xfId="2339" builtinId="8" hidden="1"/>
    <cellStyle name="Hipervínculo" xfId="2341" builtinId="8" hidden="1"/>
    <cellStyle name="Hipervínculo" xfId="2343" builtinId="8" hidden="1"/>
    <cellStyle name="Hipervínculo" xfId="2345" builtinId="8" hidden="1"/>
    <cellStyle name="Hipervínculo" xfId="2347" builtinId="8" hidden="1"/>
    <cellStyle name="Hipervínculo" xfId="2349" builtinId="8" hidden="1"/>
    <cellStyle name="Hipervínculo" xfId="2351" builtinId="8" hidden="1"/>
    <cellStyle name="Hipervínculo" xfId="2353" builtinId="8" hidden="1"/>
    <cellStyle name="Hipervínculo" xfId="2355" builtinId="8" hidden="1"/>
    <cellStyle name="Hipervínculo" xfId="2357" builtinId="8" hidden="1"/>
    <cellStyle name="Hipervínculo" xfId="2359" builtinId="8" hidden="1"/>
    <cellStyle name="Hipervínculo" xfId="2361" builtinId="8" hidden="1"/>
    <cellStyle name="Hipervínculo" xfId="2363" builtinId="8" hidden="1"/>
    <cellStyle name="Hipervínculo" xfId="2365" builtinId="8" hidden="1"/>
    <cellStyle name="Hipervínculo" xfId="2367" builtinId="8" hidden="1"/>
    <cellStyle name="Hipervínculo" xfId="2369" builtinId="8" hidden="1"/>
    <cellStyle name="Hipervínculo" xfId="2371" builtinId="8" hidden="1"/>
    <cellStyle name="Hipervínculo" xfId="2373" builtinId="8" hidden="1"/>
    <cellStyle name="Hipervínculo" xfId="2375" builtinId="8" hidden="1"/>
    <cellStyle name="Hipervínculo" xfId="2377" builtinId="8" hidden="1"/>
    <cellStyle name="Hipervínculo" xfId="2379" builtinId="8" hidden="1"/>
    <cellStyle name="Hipervínculo" xfId="2381" builtinId="8" hidden="1"/>
    <cellStyle name="Hipervínculo" xfId="2383" builtinId="8" hidden="1"/>
    <cellStyle name="Hipervínculo" xfId="2385" builtinId="8" hidden="1"/>
    <cellStyle name="Hipervínculo" xfId="2387" builtinId="8" hidden="1"/>
    <cellStyle name="Hipervínculo" xfId="2389" builtinId="8" hidden="1"/>
    <cellStyle name="Hipervínculo" xfId="2391" builtinId="8" hidden="1"/>
    <cellStyle name="Hipervínculo" xfId="2393" builtinId="8" hidden="1"/>
    <cellStyle name="Hipervínculo" xfId="2395" builtinId="8" hidden="1"/>
    <cellStyle name="Hipervínculo" xfId="2397" builtinId="8" hidden="1"/>
    <cellStyle name="Hipervínculo" xfId="2399" builtinId="8" hidden="1"/>
    <cellStyle name="Hipervínculo" xfId="2401" builtinId="8" hidden="1"/>
    <cellStyle name="Hipervínculo" xfId="2403" builtinId="8" hidden="1"/>
    <cellStyle name="Hipervínculo" xfId="2405" builtinId="8" hidden="1"/>
    <cellStyle name="Hipervínculo" xfId="2407" builtinId="8" hidden="1"/>
    <cellStyle name="Hipervínculo" xfId="2409" builtinId="8" hidden="1"/>
    <cellStyle name="Hipervínculo" xfId="2411" builtinId="8" hidden="1"/>
    <cellStyle name="Hipervínculo" xfId="2413" builtinId="8" hidden="1"/>
    <cellStyle name="Hipervínculo" xfId="2415" builtinId="8" hidden="1"/>
    <cellStyle name="Hipervínculo" xfId="2417" builtinId="8" hidden="1"/>
    <cellStyle name="Hipervínculo" xfId="2419" builtinId="8" hidden="1"/>
    <cellStyle name="Hipervínculo" xfId="2421" builtinId="8" hidden="1"/>
    <cellStyle name="Hipervínculo" xfId="2423" builtinId="8" hidden="1"/>
    <cellStyle name="Hipervínculo" xfId="2425" builtinId="8" hidden="1"/>
    <cellStyle name="Hipervínculo" xfId="2427" builtinId="8" hidden="1"/>
    <cellStyle name="Hipervínculo" xfId="2429" builtinId="8" hidden="1"/>
    <cellStyle name="Hipervínculo" xfId="2431" builtinId="8" hidden="1"/>
    <cellStyle name="Hipervínculo" xfId="2433" builtinId="8" hidden="1"/>
    <cellStyle name="Hipervínculo" xfId="2435" builtinId="8" hidden="1"/>
    <cellStyle name="Hipervínculo" xfId="2437" builtinId="8" hidden="1"/>
    <cellStyle name="Hipervínculo" xfId="2439" builtinId="8" hidden="1"/>
    <cellStyle name="Hipervínculo" xfId="2441" builtinId="8" hidden="1"/>
    <cellStyle name="Hipervínculo" xfId="2443" builtinId="8" hidden="1"/>
    <cellStyle name="Hipervínculo" xfId="2445" builtinId="8" hidden="1"/>
    <cellStyle name="Hipervínculo" xfId="2447" builtinId="8" hidden="1"/>
    <cellStyle name="Hipervínculo" xfId="2449" builtinId="8" hidden="1"/>
    <cellStyle name="Hipervínculo" xfId="2451" builtinId="8" hidden="1"/>
    <cellStyle name="Hipervínculo" xfId="2453" builtinId="8" hidden="1"/>
    <cellStyle name="Hipervínculo" xfId="2455" builtinId="8" hidden="1"/>
    <cellStyle name="Hipervínculo" xfId="2457" builtinId="8" hidden="1"/>
    <cellStyle name="Hipervínculo" xfId="2459" builtinId="8" hidden="1"/>
    <cellStyle name="Hipervínculo" xfId="2461" builtinId="8" hidden="1"/>
    <cellStyle name="Hipervínculo" xfId="2463" builtinId="8" hidden="1"/>
    <cellStyle name="Hipervínculo" xfId="2465" builtinId="8" hidden="1"/>
    <cellStyle name="Hipervínculo" xfId="2467" builtinId="8" hidden="1"/>
    <cellStyle name="Hipervínculo" xfId="2469" builtinId="8" hidden="1"/>
    <cellStyle name="Hipervínculo" xfId="2471" builtinId="8" hidden="1"/>
    <cellStyle name="Hipervínculo" xfId="2473" builtinId="8" hidden="1"/>
    <cellStyle name="Hipervínculo" xfId="2475" builtinId="8" hidden="1"/>
    <cellStyle name="Hipervínculo" xfId="2477" builtinId="8" hidden="1"/>
    <cellStyle name="Hipervínculo" xfId="2479" builtinId="8" hidden="1"/>
    <cellStyle name="Hipervínculo" xfId="2481" builtinId="8" hidden="1"/>
    <cellStyle name="Hipervínculo" xfId="2483" builtinId="8" hidden="1"/>
    <cellStyle name="Hipervínculo" xfId="2485" builtinId="8" hidden="1"/>
    <cellStyle name="Hipervínculo" xfId="2487" builtinId="8" hidden="1"/>
    <cellStyle name="Hipervínculo" xfId="2489" builtinId="8" hidden="1"/>
    <cellStyle name="Hipervínculo" xfId="2491" builtinId="8" hidden="1"/>
    <cellStyle name="Hipervínculo" xfId="2493" builtinId="8" hidden="1"/>
    <cellStyle name="Hipervínculo" xfId="2495" builtinId="8" hidden="1"/>
    <cellStyle name="Hipervínculo" xfId="2497" builtinId="8" hidden="1"/>
    <cellStyle name="Hipervínculo" xfId="2499" builtinId="8" hidden="1"/>
    <cellStyle name="Hipervínculo" xfId="2501" builtinId="8" hidden="1"/>
    <cellStyle name="Hipervínculo" xfId="2503" builtinId="8" hidden="1"/>
    <cellStyle name="Hipervínculo" xfId="2505" builtinId="8" hidden="1"/>
    <cellStyle name="Hipervínculo" xfId="2507" builtinId="8" hidden="1"/>
    <cellStyle name="Hipervínculo" xfId="2509" builtinId="8" hidden="1"/>
    <cellStyle name="Hipervínculo" xfId="2511" builtinId="8" hidden="1"/>
    <cellStyle name="Hipervínculo" xfId="2513" builtinId="8" hidden="1"/>
    <cellStyle name="Hipervínculo" xfId="2515" builtinId="8" hidden="1"/>
    <cellStyle name="Hipervínculo" xfId="2517" builtinId="8" hidden="1"/>
    <cellStyle name="Hipervínculo" xfId="2519" builtinId="8" hidden="1"/>
    <cellStyle name="Hipervínculo" xfId="2521" builtinId="8" hidden="1"/>
    <cellStyle name="Hipervínculo" xfId="2523" builtinId="8" hidden="1"/>
    <cellStyle name="Hipervínculo" xfId="2525" builtinId="8" hidden="1"/>
    <cellStyle name="Hipervínculo" xfId="2527" builtinId="8" hidden="1"/>
    <cellStyle name="Hipervínculo" xfId="2529" builtinId="8" hidden="1"/>
    <cellStyle name="Hipervínculo" xfId="2531" builtinId="8" hidden="1"/>
    <cellStyle name="Hipervínculo" xfId="2533" builtinId="8" hidden="1"/>
    <cellStyle name="Hipervínculo" xfId="2535" builtinId="8" hidden="1"/>
    <cellStyle name="Hipervínculo" xfId="2537" builtinId="8" hidden="1"/>
    <cellStyle name="Hipervínculo" xfId="2539" builtinId="8" hidden="1"/>
    <cellStyle name="Hipervínculo" xfId="2541" builtinId="8" hidden="1"/>
    <cellStyle name="Hipervínculo" xfId="2543" builtinId="8" hidden="1"/>
    <cellStyle name="Hipervínculo" xfId="2545" builtinId="8" hidden="1"/>
    <cellStyle name="Hipervínculo" xfId="2547" builtinId="8" hidden="1"/>
    <cellStyle name="Hipervínculo" xfId="2549" builtinId="8" hidden="1"/>
    <cellStyle name="Hipervínculo" xfId="2551" builtinId="8" hidden="1"/>
    <cellStyle name="Hipervínculo" xfId="2553" builtinId="8" hidden="1"/>
    <cellStyle name="Hipervínculo" xfId="2555" builtinId="8" hidden="1"/>
    <cellStyle name="Hipervínculo" xfId="2557" builtinId="8" hidden="1"/>
    <cellStyle name="Hipervínculo" xfId="2559" builtinId="8" hidden="1"/>
    <cellStyle name="Hipervínculo" xfId="2561" builtinId="8" hidden="1"/>
    <cellStyle name="Hipervínculo" xfId="2563" builtinId="8" hidden="1"/>
    <cellStyle name="Hipervínculo" xfId="2565" builtinId="8" hidden="1"/>
    <cellStyle name="Hipervínculo" xfId="2567" builtinId="8" hidden="1"/>
    <cellStyle name="Hipervínculo" xfId="2569" builtinId="8" hidden="1"/>
    <cellStyle name="Hipervínculo" xfId="2571" builtinId="8" hidden="1"/>
    <cellStyle name="Hipervínculo" xfId="2573" builtinId="8" hidden="1"/>
    <cellStyle name="Hipervínculo" xfId="2575" builtinId="8" hidden="1"/>
    <cellStyle name="Hipervínculo" xfId="2577" builtinId="8" hidden="1"/>
    <cellStyle name="Hipervínculo" xfId="2579" builtinId="8" hidden="1"/>
    <cellStyle name="Hipervínculo" xfId="2581" builtinId="8" hidden="1"/>
    <cellStyle name="Hipervínculo" xfId="2583" builtinId="8" hidden="1"/>
    <cellStyle name="Hipervínculo" xfId="2585" builtinId="8" hidden="1"/>
    <cellStyle name="Hipervínculo" xfId="2587" builtinId="8" hidden="1"/>
    <cellStyle name="Hipervínculo" xfId="2589" builtinId="8" hidden="1"/>
    <cellStyle name="Hipervínculo" xfId="2591" builtinId="8" hidden="1"/>
    <cellStyle name="Hipervínculo" xfId="2593" builtinId="8" hidden="1"/>
    <cellStyle name="Hipervínculo" xfId="2595" builtinId="8" hidden="1"/>
    <cellStyle name="Hipervínculo" xfId="2597" builtinId="8" hidden="1"/>
    <cellStyle name="Hipervínculo" xfId="2599" builtinId="8" hidden="1"/>
    <cellStyle name="Hipervínculo" xfId="2601" builtinId="8" hidden="1"/>
    <cellStyle name="Hipervínculo" xfId="2603" builtinId="8" hidden="1"/>
    <cellStyle name="Hipervínculo" xfId="2605" builtinId="8" hidden="1"/>
    <cellStyle name="Hipervínculo" xfId="2607" builtinId="8" hidden="1"/>
    <cellStyle name="Hipervínculo" xfId="2609" builtinId="8" hidden="1"/>
    <cellStyle name="Hipervínculo" xfId="2611" builtinId="8" hidden="1"/>
    <cellStyle name="Hipervínculo" xfId="2613" builtinId="8" hidden="1"/>
    <cellStyle name="Hipervínculo" xfId="2615" builtinId="8" hidden="1"/>
    <cellStyle name="Hipervínculo" xfId="2617" builtinId="8" hidden="1"/>
    <cellStyle name="Hipervínculo" xfId="2619" builtinId="8" hidden="1"/>
    <cellStyle name="Hipervínculo" xfId="2621" builtinId="8" hidden="1"/>
    <cellStyle name="Hipervínculo" xfId="2623" builtinId="8" hidden="1"/>
    <cellStyle name="Hipervínculo" xfId="2625" builtinId="8" hidden="1"/>
    <cellStyle name="Hipervínculo" xfId="2627" builtinId="8" hidden="1"/>
    <cellStyle name="Hipervínculo" xfId="2629" builtinId="8" hidden="1"/>
    <cellStyle name="Hipervínculo" xfId="2631" builtinId="8" hidden="1"/>
    <cellStyle name="Hipervínculo" xfId="2633" builtinId="8" hidden="1"/>
    <cellStyle name="Hipervínculo" xfId="2635" builtinId="8" hidden="1"/>
    <cellStyle name="Hipervínculo" xfId="2637" builtinId="8" hidden="1"/>
    <cellStyle name="Hipervínculo" xfId="2639" builtinId="8" hidden="1"/>
    <cellStyle name="Hipervínculo" xfId="2641" builtinId="8" hidden="1"/>
    <cellStyle name="Hipervínculo" xfId="2643" builtinId="8" hidden="1"/>
    <cellStyle name="Hipervínculo" xfId="2645" builtinId="8" hidden="1"/>
    <cellStyle name="Hipervínculo" xfId="2647" builtinId="8" hidden="1"/>
    <cellStyle name="Hipervínculo" xfId="2649" builtinId="8" hidden="1"/>
    <cellStyle name="Hipervínculo" xfId="2651" builtinId="8" hidden="1"/>
    <cellStyle name="Hipervínculo" xfId="2653" builtinId="8" hidden="1"/>
    <cellStyle name="Hipervínculo" xfId="2655" builtinId="8" hidden="1"/>
    <cellStyle name="Hipervínculo" xfId="2657" builtinId="8" hidden="1"/>
    <cellStyle name="Hipervínculo" xfId="2659" builtinId="8" hidden="1"/>
    <cellStyle name="Hipervínculo" xfId="2661" builtinId="8" hidden="1"/>
    <cellStyle name="Hipervínculo" xfId="2663" builtinId="8" hidden="1"/>
    <cellStyle name="Hipervínculo" xfId="2665" builtinId="8" hidden="1"/>
    <cellStyle name="Hipervínculo" xfId="2667" builtinId="8" hidden="1"/>
    <cellStyle name="Hipervínculo" xfId="2669" builtinId="8" hidden="1"/>
    <cellStyle name="Hipervínculo" xfId="2671" builtinId="8" hidden="1"/>
    <cellStyle name="Hipervínculo" xfId="2673" builtinId="8" hidden="1"/>
    <cellStyle name="Hipervínculo" xfId="2675" builtinId="8" hidden="1"/>
    <cellStyle name="Hipervínculo" xfId="2677" builtinId="8" hidden="1"/>
    <cellStyle name="Hipervínculo" xfId="2679" builtinId="8" hidden="1"/>
    <cellStyle name="Hipervínculo" xfId="2681" builtinId="8" hidden="1"/>
    <cellStyle name="Hipervínculo" xfId="2683" builtinId="8" hidden="1"/>
    <cellStyle name="Hipervínculo" xfId="2685" builtinId="8" hidden="1"/>
    <cellStyle name="Hipervínculo" xfId="2687" builtinId="8" hidden="1"/>
    <cellStyle name="Hipervínculo" xfId="2689" builtinId="8" hidden="1"/>
    <cellStyle name="Hipervínculo" xfId="2691" builtinId="8" hidden="1"/>
    <cellStyle name="Hipervínculo" xfId="2693" builtinId="8" hidden="1"/>
    <cellStyle name="Hipervínculo" xfId="2695" builtinId="8" hidden="1"/>
    <cellStyle name="Hipervínculo" xfId="2697" builtinId="8" hidden="1"/>
    <cellStyle name="Hipervínculo" xfId="2699" builtinId="8" hidden="1"/>
    <cellStyle name="Hipervínculo" xfId="2701" builtinId="8" hidden="1"/>
    <cellStyle name="Hipervínculo" xfId="2703" builtinId="8" hidden="1"/>
    <cellStyle name="Hipervínculo" xfId="2705" builtinId="8" hidden="1"/>
    <cellStyle name="Hipervínculo" xfId="2707" builtinId="8" hidden="1"/>
    <cellStyle name="Hipervínculo" xfId="2709" builtinId="8" hidden="1"/>
    <cellStyle name="Hipervínculo" xfId="2711" builtinId="8" hidden="1"/>
    <cellStyle name="Hipervínculo" xfId="2713" builtinId="8" hidden="1"/>
    <cellStyle name="Hipervínculo" xfId="2715" builtinId="8" hidden="1"/>
    <cellStyle name="Hipervínculo" xfId="2717" builtinId="8" hidden="1"/>
    <cellStyle name="Hipervínculo" xfId="2719" builtinId="8" hidden="1"/>
    <cellStyle name="Hipervínculo" xfId="2721" builtinId="8" hidden="1"/>
    <cellStyle name="Hipervínculo" xfId="2723" builtinId="8" hidden="1"/>
    <cellStyle name="Hipervínculo" xfId="2725" builtinId="8" hidden="1"/>
    <cellStyle name="Hipervínculo" xfId="2727" builtinId="8" hidden="1"/>
    <cellStyle name="Hipervínculo" xfId="2729" builtinId="8" hidden="1"/>
    <cellStyle name="Hipervínculo" xfId="2731" builtinId="8" hidden="1"/>
    <cellStyle name="Hipervínculo" xfId="2733" builtinId="8" hidden="1"/>
    <cellStyle name="Hipervínculo" xfId="2735" builtinId="8" hidden="1"/>
    <cellStyle name="Hipervínculo" xfId="2737" builtinId="8" hidden="1"/>
    <cellStyle name="Hipervínculo" xfId="2739" builtinId="8" hidden="1"/>
    <cellStyle name="Hipervínculo" xfId="2741" builtinId="8" hidden="1"/>
    <cellStyle name="Hipervínculo" xfId="2743" builtinId="8" hidden="1"/>
    <cellStyle name="Hipervínculo" xfId="2745" builtinId="8" hidden="1"/>
    <cellStyle name="Hipervínculo" xfId="2747" builtinId="8" hidden="1"/>
    <cellStyle name="Hipervínculo" xfId="2749" builtinId="8" hidden="1"/>
    <cellStyle name="Hipervínculo" xfId="2751" builtinId="8" hidden="1"/>
    <cellStyle name="Hipervínculo" xfId="2753" builtinId="8" hidden="1"/>
    <cellStyle name="Hipervínculo" xfId="2755" builtinId="8" hidden="1"/>
    <cellStyle name="Hipervínculo" xfId="2757" builtinId="8" hidden="1"/>
    <cellStyle name="Hipervínculo" xfId="2759" builtinId="8" hidden="1"/>
    <cellStyle name="Hipervínculo" xfId="2761" builtinId="8" hidden="1"/>
    <cellStyle name="Hipervínculo" xfId="2763" builtinId="8" hidden="1"/>
    <cellStyle name="Hipervínculo" xfId="2765" builtinId="8" hidden="1"/>
    <cellStyle name="Hipervínculo" xfId="2767" builtinId="8" hidden="1"/>
    <cellStyle name="Hipervínculo" xfId="2769" builtinId="8" hidden="1"/>
    <cellStyle name="Hipervínculo" xfId="2771" builtinId="8" hidden="1"/>
    <cellStyle name="Hipervínculo" xfId="2773" builtinId="8" hidden="1"/>
    <cellStyle name="Hipervínculo" xfId="2775" builtinId="8" hidden="1"/>
    <cellStyle name="Hipervínculo" xfId="2777" builtinId="8" hidden="1"/>
    <cellStyle name="Hipervínculo" xfId="2779" builtinId="8" hidden="1"/>
    <cellStyle name="Hipervínculo" xfId="2781" builtinId="8" hidden="1"/>
    <cellStyle name="Hipervínculo" xfId="2783" builtinId="8" hidden="1"/>
    <cellStyle name="Hipervínculo" xfId="2785" builtinId="8" hidden="1"/>
    <cellStyle name="Hipervínculo" xfId="2787" builtinId="8" hidden="1"/>
    <cellStyle name="Hipervínculo" xfId="2789" builtinId="8" hidden="1"/>
    <cellStyle name="Hipervínculo" xfId="2791" builtinId="8" hidden="1"/>
    <cellStyle name="Hipervínculo" xfId="2793" builtinId="8" hidden="1"/>
    <cellStyle name="Hipervínculo" xfId="2795" builtinId="8" hidden="1"/>
    <cellStyle name="Hipervínculo" xfId="2797" builtinId="8" hidden="1"/>
    <cellStyle name="Hipervínculo" xfId="2799" builtinId="8" hidden="1"/>
    <cellStyle name="Hipervínculo" xfId="2801" builtinId="8" hidden="1"/>
    <cellStyle name="Hipervínculo" xfId="2803" builtinId="8" hidden="1"/>
    <cellStyle name="Hipervínculo" xfId="2805" builtinId="8" hidden="1"/>
    <cellStyle name="Hipervínculo" xfId="2807" builtinId="8" hidden="1"/>
    <cellStyle name="Hipervínculo" xfId="2809" builtinId="8" hidden="1"/>
    <cellStyle name="Hipervínculo" xfId="2811" builtinId="8" hidden="1"/>
    <cellStyle name="Hipervínculo" xfId="2813" builtinId="8" hidden="1"/>
    <cellStyle name="Hipervínculo" xfId="2815" builtinId="8" hidden="1"/>
    <cellStyle name="Hipervínculo" xfId="2817" builtinId="8" hidden="1"/>
    <cellStyle name="Hipervínculo" xfId="2819" builtinId="8" hidden="1"/>
    <cellStyle name="Hipervínculo" xfId="2821" builtinId="8" hidden="1"/>
    <cellStyle name="Hipervínculo" xfId="2823" builtinId="8" hidden="1"/>
    <cellStyle name="Hipervínculo" xfId="2825" builtinId="8" hidden="1"/>
    <cellStyle name="Hipervínculo" xfId="2827" builtinId="8" hidden="1"/>
    <cellStyle name="Hipervínculo" xfId="2829" builtinId="8" hidden="1"/>
    <cellStyle name="Hipervínculo" xfId="2831" builtinId="8" hidden="1"/>
    <cellStyle name="Hipervínculo" xfId="2833" builtinId="8" hidden="1"/>
    <cellStyle name="Hipervínculo" xfId="2835" builtinId="8" hidden="1"/>
    <cellStyle name="Hipervínculo" xfId="2837" builtinId="8" hidden="1"/>
    <cellStyle name="Hipervínculo" xfId="2839" builtinId="8" hidden="1"/>
    <cellStyle name="Hipervínculo" xfId="2841" builtinId="8" hidden="1"/>
    <cellStyle name="Hipervínculo" xfId="2843" builtinId="8" hidden="1"/>
    <cellStyle name="Hipervínculo" xfId="2845" builtinId="8" hidden="1"/>
    <cellStyle name="Hipervínculo" xfId="2847" builtinId="8" hidden="1"/>
    <cellStyle name="Hipervínculo" xfId="2849" builtinId="8" hidden="1"/>
    <cellStyle name="Hipervínculo" xfId="2851" builtinId="8" hidden="1"/>
    <cellStyle name="Hipervínculo" xfId="2853" builtinId="8" hidden="1"/>
    <cellStyle name="Hipervínculo" xfId="2855" builtinId="8" hidden="1"/>
    <cellStyle name="Hipervínculo" xfId="2857" builtinId="8" hidden="1"/>
    <cellStyle name="Hipervínculo" xfId="2859" builtinId="8" hidden="1"/>
    <cellStyle name="Hipervínculo" xfId="2861" builtinId="8" hidden="1"/>
    <cellStyle name="Hipervínculo" xfId="2863" builtinId="8" hidden="1"/>
    <cellStyle name="Hipervínculo" xfId="2865" builtinId="8" hidden="1"/>
    <cellStyle name="Hipervínculo" xfId="2867" builtinId="8" hidden="1"/>
    <cellStyle name="Hipervínculo" xfId="2869" builtinId="8" hidden="1"/>
    <cellStyle name="Hipervínculo" xfId="2871" builtinId="8" hidden="1"/>
    <cellStyle name="Hipervínculo" xfId="2873" builtinId="8" hidden="1"/>
    <cellStyle name="Hipervínculo" xfId="2875" builtinId="8" hidden="1"/>
    <cellStyle name="Hipervínculo" xfId="2877" builtinId="8" hidden="1"/>
    <cellStyle name="Hipervínculo" xfId="2879" builtinId="8" hidden="1"/>
    <cellStyle name="Hipervínculo" xfId="2881" builtinId="8" hidden="1"/>
    <cellStyle name="Hipervínculo" xfId="2883" builtinId="8" hidden="1"/>
    <cellStyle name="Hipervínculo" xfId="288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Hipervínculo visitado" xfId="708" builtinId="9" hidden="1"/>
    <cellStyle name="Hipervínculo visitado" xfId="710" builtinId="9" hidden="1"/>
    <cellStyle name="Hipervínculo visitado" xfId="712" builtinId="9" hidden="1"/>
    <cellStyle name="Hipervínculo visitado" xfId="714" builtinId="9" hidden="1"/>
    <cellStyle name="Hipervínculo visitado" xfId="716" builtinId="9" hidden="1"/>
    <cellStyle name="Hipervínculo visitado" xfId="718" builtinId="9" hidden="1"/>
    <cellStyle name="Hipervínculo visitado" xfId="720" builtinId="9" hidden="1"/>
    <cellStyle name="Hipervínculo visitado" xfId="722" builtinId="9" hidden="1"/>
    <cellStyle name="Hipervínculo visitado" xfId="728" builtinId="9" hidden="1"/>
    <cellStyle name="Hipervínculo visitado" xfId="730" builtinId="9" hidden="1"/>
    <cellStyle name="Hipervínculo visitado" xfId="732" builtinId="9" hidden="1"/>
    <cellStyle name="Hipervínculo visitado" xfId="734" builtinId="9" hidden="1"/>
    <cellStyle name="Hipervínculo visitado" xfId="736" builtinId="9" hidden="1"/>
    <cellStyle name="Hipervínculo visitado" xfId="738" builtinId="9" hidden="1"/>
    <cellStyle name="Hipervínculo visitado" xfId="740" builtinId="9" hidden="1"/>
    <cellStyle name="Hipervínculo visitado" xfId="742" builtinId="9" hidden="1"/>
    <cellStyle name="Hipervínculo visitado" xfId="744" builtinId="9" hidden="1"/>
    <cellStyle name="Hipervínculo visitado" xfId="746" builtinId="9" hidden="1"/>
    <cellStyle name="Hipervínculo visitado" xfId="748" builtinId="9" hidden="1"/>
    <cellStyle name="Hipervínculo visitado" xfId="750" builtinId="9" hidden="1"/>
    <cellStyle name="Hipervínculo visitado" xfId="752" builtinId="9" hidden="1"/>
    <cellStyle name="Hipervínculo visitado" xfId="754" builtinId="9" hidden="1"/>
    <cellStyle name="Hipervínculo visitado" xfId="756" builtinId="9" hidden="1"/>
    <cellStyle name="Hipervínculo visitado" xfId="758" builtinId="9" hidden="1"/>
    <cellStyle name="Hipervínculo visitado" xfId="760" builtinId="9" hidden="1"/>
    <cellStyle name="Hipervínculo visitado" xfId="762" builtinId="9" hidden="1"/>
    <cellStyle name="Hipervínculo visitado" xfId="764" builtinId="9" hidden="1"/>
    <cellStyle name="Hipervínculo visitado" xfId="766" builtinId="9" hidden="1"/>
    <cellStyle name="Hipervínculo visitado" xfId="768" builtinId="9" hidden="1"/>
    <cellStyle name="Hipervínculo visitado" xfId="770" builtinId="9" hidden="1"/>
    <cellStyle name="Hipervínculo visitado" xfId="772" builtinId="9" hidden="1"/>
    <cellStyle name="Hipervínculo visitado" xfId="774" builtinId="9" hidden="1"/>
    <cellStyle name="Hipervínculo visitado" xfId="776" builtinId="9" hidden="1"/>
    <cellStyle name="Hipervínculo visitado" xfId="778" builtinId="9" hidden="1"/>
    <cellStyle name="Hipervínculo visitado" xfId="780" builtinId="9" hidden="1"/>
    <cellStyle name="Hipervínculo visitado" xfId="782" builtinId="9" hidden="1"/>
    <cellStyle name="Hipervínculo visitado" xfId="784" builtinId="9" hidden="1"/>
    <cellStyle name="Hipervínculo visitado" xfId="786" builtinId="9" hidden="1"/>
    <cellStyle name="Hipervínculo visitado" xfId="788" builtinId="9" hidden="1"/>
    <cellStyle name="Hipervínculo visitado" xfId="790" builtinId="9" hidden="1"/>
    <cellStyle name="Hipervínculo visitado" xfId="792" builtinId="9" hidden="1"/>
    <cellStyle name="Hipervínculo visitado" xfId="794" builtinId="9" hidden="1"/>
    <cellStyle name="Hipervínculo visitado" xfId="796" builtinId="9" hidden="1"/>
    <cellStyle name="Hipervínculo visitado" xfId="798" builtinId="9" hidden="1"/>
    <cellStyle name="Hipervínculo visitado" xfId="800" builtinId="9" hidden="1"/>
    <cellStyle name="Hipervínculo visitado" xfId="802" builtinId="9" hidden="1"/>
    <cellStyle name="Hipervínculo visitado" xfId="804" builtinId="9" hidden="1"/>
    <cellStyle name="Hipervínculo visitado" xfId="806" builtinId="9" hidden="1"/>
    <cellStyle name="Hipervínculo visitado" xfId="808" builtinId="9" hidden="1"/>
    <cellStyle name="Hipervínculo visitado" xfId="810" builtinId="9" hidden="1"/>
    <cellStyle name="Hipervínculo visitado" xfId="812" builtinId="9" hidden="1"/>
    <cellStyle name="Hipervínculo visitado" xfId="814" builtinId="9" hidden="1"/>
    <cellStyle name="Hipervínculo visitado" xfId="816" builtinId="9" hidden="1"/>
    <cellStyle name="Hipervínculo visitado" xfId="818" builtinId="9" hidden="1"/>
    <cellStyle name="Hipervínculo visitado" xfId="820" builtinId="9" hidden="1"/>
    <cellStyle name="Hipervínculo visitado" xfId="822" builtinId="9" hidden="1"/>
    <cellStyle name="Hipervínculo visitado" xfId="824" builtinId="9" hidden="1"/>
    <cellStyle name="Hipervínculo visitado" xfId="826" builtinId="9" hidden="1"/>
    <cellStyle name="Hipervínculo visitado" xfId="828" builtinId="9" hidden="1"/>
    <cellStyle name="Hipervínculo visitado" xfId="830" builtinId="9" hidden="1"/>
    <cellStyle name="Hipervínculo visitado" xfId="832" builtinId="9" hidden="1"/>
    <cellStyle name="Hipervínculo visitado" xfId="834" builtinId="9" hidden="1"/>
    <cellStyle name="Hipervínculo visitado" xfId="836" builtinId="9" hidden="1"/>
    <cellStyle name="Hipervínculo visitado" xfId="838" builtinId="9" hidden="1"/>
    <cellStyle name="Hipervínculo visitado" xfId="840" builtinId="9" hidden="1"/>
    <cellStyle name="Hipervínculo visitado" xfId="842" builtinId="9" hidden="1"/>
    <cellStyle name="Hipervínculo visitado" xfId="844" builtinId="9" hidden="1"/>
    <cellStyle name="Hipervínculo visitado" xfId="846" builtinId="9" hidden="1"/>
    <cellStyle name="Hipervínculo visitado" xfId="848" builtinId="9" hidden="1"/>
    <cellStyle name="Hipervínculo visitado" xfId="850" builtinId="9" hidden="1"/>
    <cellStyle name="Hipervínculo visitado" xfId="852" builtinId="9" hidden="1"/>
    <cellStyle name="Hipervínculo visitado" xfId="854" builtinId="9" hidden="1"/>
    <cellStyle name="Hipervínculo visitado" xfId="856" builtinId="9" hidden="1"/>
    <cellStyle name="Hipervínculo visitado" xfId="860" builtinId="9" hidden="1"/>
    <cellStyle name="Hipervínculo visitado" xfId="862" builtinId="9" hidden="1"/>
    <cellStyle name="Hipervínculo visitado" xfId="864" builtinId="9" hidden="1"/>
    <cellStyle name="Hipervínculo visitado" xfId="866" builtinId="9" hidden="1"/>
    <cellStyle name="Hipervínculo visitado" xfId="868" builtinId="9" hidden="1"/>
    <cellStyle name="Hipervínculo visitado" xfId="870" builtinId="9" hidden="1"/>
    <cellStyle name="Hipervínculo visitado" xfId="872" builtinId="9" hidden="1"/>
    <cellStyle name="Hipervínculo visitado" xfId="874" builtinId="9" hidden="1"/>
    <cellStyle name="Hipervínculo visitado" xfId="876" builtinId="9" hidden="1"/>
    <cellStyle name="Hipervínculo visitado" xfId="878" builtinId="9" hidden="1"/>
    <cellStyle name="Hipervínculo visitado" xfId="880" builtinId="9" hidden="1"/>
    <cellStyle name="Hipervínculo visitado" xfId="882" builtinId="9" hidden="1"/>
    <cellStyle name="Hipervínculo visitado" xfId="884" builtinId="9" hidden="1"/>
    <cellStyle name="Hipervínculo visitado" xfId="886" builtinId="9" hidden="1"/>
    <cellStyle name="Hipervínculo visitado" xfId="888" builtinId="9" hidden="1"/>
    <cellStyle name="Hipervínculo visitado" xfId="890" builtinId="9" hidden="1"/>
    <cellStyle name="Hipervínculo visitado" xfId="892" builtinId="9" hidden="1"/>
    <cellStyle name="Hipervínculo visitado" xfId="894" builtinId="9" hidden="1"/>
    <cellStyle name="Hipervínculo visitado" xfId="896" builtinId="9" hidden="1"/>
    <cellStyle name="Hipervínculo visitado" xfId="898" builtinId="9" hidden="1"/>
    <cellStyle name="Hipervínculo visitado" xfId="900" builtinId="9" hidden="1"/>
    <cellStyle name="Hipervínculo visitado" xfId="902" builtinId="9" hidden="1"/>
    <cellStyle name="Hipervínculo visitado" xfId="904" builtinId="9" hidden="1"/>
    <cellStyle name="Hipervínculo visitado" xfId="906" builtinId="9" hidden="1"/>
    <cellStyle name="Hipervínculo visitado" xfId="908" builtinId="9" hidden="1"/>
    <cellStyle name="Hipervínculo visitado" xfId="910" builtinId="9" hidden="1"/>
    <cellStyle name="Hipervínculo visitado" xfId="912" builtinId="9" hidden="1"/>
    <cellStyle name="Hipervínculo visitado" xfId="914" builtinId="9" hidden="1"/>
    <cellStyle name="Hipervínculo visitado" xfId="916" builtinId="9" hidden="1"/>
    <cellStyle name="Hipervínculo visitado" xfId="918" builtinId="9" hidden="1"/>
    <cellStyle name="Hipervínculo visitado" xfId="920" builtinId="9" hidden="1"/>
    <cellStyle name="Hipervínculo visitado" xfId="922" builtinId="9" hidden="1"/>
    <cellStyle name="Hipervínculo visitado" xfId="924" builtinId="9" hidden="1"/>
    <cellStyle name="Hipervínculo visitado" xfId="926" builtinId="9" hidden="1"/>
    <cellStyle name="Hipervínculo visitado" xfId="928" builtinId="9" hidden="1"/>
    <cellStyle name="Hipervínculo visitado" xfId="930" builtinId="9" hidden="1"/>
    <cellStyle name="Hipervínculo visitado" xfId="932" builtinId="9" hidden="1"/>
    <cellStyle name="Hipervínculo visitado" xfId="934" builtinId="9" hidden="1"/>
    <cellStyle name="Hipervínculo visitado" xfId="936" builtinId="9" hidden="1"/>
    <cellStyle name="Hipervínculo visitado" xfId="938" builtinId="9" hidden="1"/>
    <cellStyle name="Hipervínculo visitado" xfId="940" builtinId="9" hidden="1"/>
    <cellStyle name="Hipervínculo visitado" xfId="942" builtinId="9" hidden="1"/>
    <cellStyle name="Hipervínculo visitado" xfId="944" builtinId="9" hidden="1"/>
    <cellStyle name="Hipervínculo visitado" xfId="946" builtinId="9" hidden="1"/>
    <cellStyle name="Hipervínculo visitado" xfId="948" builtinId="9" hidden="1"/>
    <cellStyle name="Hipervínculo visitado" xfId="950" builtinId="9" hidden="1"/>
    <cellStyle name="Hipervínculo visitado" xfId="952" builtinId="9" hidden="1"/>
    <cellStyle name="Hipervínculo visitado" xfId="954" builtinId="9" hidden="1"/>
    <cellStyle name="Hipervínculo visitado" xfId="956" builtinId="9" hidden="1"/>
    <cellStyle name="Hipervínculo visitado" xfId="958" builtinId="9" hidden="1"/>
    <cellStyle name="Hipervínculo visitado" xfId="960" builtinId="9" hidden="1"/>
    <cellStyle name="Hipervínculo visitado" xfId="962" builtinId="9" hidden="1"/>
    <cellStyle name="Hipervínculo visitado" xfId="964" builtinId="9" hidden="1"/>
    <cellStyle name="Hipervínculo visitado" xfId="966" builtinId="9" hidden="1"/>
    <cellStyle name="Hipervínculo visitado" xfId="968" builtinId="9" hidden="1"/>
    <cellStyle name="Hipervínculo visitado" xfId="970" builtinId="9" hidden="1"/>
    <cellStyle name="Hipervínculo visitado" xfId="972" builtinId="9" hidden="1"/>
    <cellStyle name="Hipervínculo visitado" xfId="974" builtinId="9" hidden="1"/>
    <cellStyle name="Hipervínculo visitado" xfId="976" builtinId="9" hidden="1"/>
    <cellStyle name="Hipervínculo visitado" xfId="978" builtinId="9" hidden="1"/>
    <cellStyle name="Hipervínculo visitado" xfId="980" builtinId="9" hidden="1"/>
    <cellStyle name="Hipervínculo visitado" xfId="982" builtinId="9" hidden="1"/>
    <cellStyle name="Hipervínculo visitado" xfId="984" builtinId="9" hidden="1"/>
    <cellStyle name="Hipervínculo visitado" xfId="986" builtinId="9" hidden="1"/>
    <cellStyle name="Hipervínculo visitado" xfId="988" builtinId="9" hidden="1"/>
    <cellStyle name="Hipervínculo visitado" xfId="990" builtinId="9" hidden="1"/>
    <cellStyle name="Hipervínculo visitado" xfId="992" builtinId="9" hidden="1"/>
    <cellStyle name="Hipervínculo visitado" xfId="994" builtinId="9" hidden="1"/>
    <cellStyle name="Hipervínculo visitado" xfId="996" builtinId="9" hidden="1"/>
    <cellStyle name="Hipervínculo visitado" xfId="998" builtinId="9" hidden="1"/>
    <cellStyle name="Hipervínculo visitado" xfId="1000" builtinId="9" hidden="1"/>
    <cellStyle name="Hipervínculo visitado" xfId="1002" builtinId="9" hidden="1"/>
    <cellStyle name="Hipervínculo visitado" xfId="1004" builtinId="9" hidden="1"/>
    <cellStyle name="Hipervínculo visitado" xfId="1006" builtinId="9" hidden="1"/>
    <cellStyle name="Hipervínculo visitado" xfId="1008" builtinId="9" hidden="1"/>
    <cellStyle name="Hipervínculo visitado" xfId="1010" builtinId="9" hidden="1"/>
    <cellStyle name="Hipervínculo visitado" xfId="1012" builtinId="9" hidden="1"/>
    <cellStyle name="Hipervínculo visitado" xfId="1014" builtinId="9" hidden="1"/>
    <cellStyle name="Hipervínculo visitado" xfId="1016" builtinId="9" hidden="1"/>
    <cellStyle name="Hipervínculo visitado" xfId="1018" builtinId="9" hidden="1"/>
    <cellStyle name="Hipervínculo visitado" xfId="1020" builtinId="9" hidden="1"/>
    <cellStyle name="Hipervínculo visitado" xfId="1022" builtinId="9" hidden="1"/>
    <cellStyle name="Hipervínculo visitado" xfId="1024" builtinId="9" hidden="1"/>
    <cellStyle name="Hipervínculo visitado" xfId="1026" builtinId="9" hidden="1"/>
    <cellStyle name="Hipervínculo visitado" xfId="1028" builtinId="9" hidden="1"/>
    <cellStyle name="Hipervínculo visitado" xfId="1030" builtinId="9" hidden="1"/>
    <cellStyle name="Hipervínculo visitado" xfId="1032" builtinId="9" hidden="1"/>
    <cellStyle name="Hipervínculo visitado" xfId="1034" builtinId="9" hidden="1"/>
    <cellStyle name="Hipervínculo visitado" xfId="1036" builtinId="9" hidden="1"/>
    <cellStyle name="Hipervínculo visitado" xfId="1038" builtinId="9" hidden="1"/>
    <cellStyle name="Hipervínculo visitado" xfId="1040" builtinId="9" hidden="1"/>
    <cellStyle name="Hipervínculo visitado" xfId="1042" builtinId="9" hidden="1"/>
    <cellStyle name="Hipervínculo visitado" xfId="1044" builtinId="9" hidden="1"/>
    <cellStyle name="Hipervínculo visitado" xfId="1046" builtinId="9" hidden="1"/>
    <cellStyle name="Hipervínculo visitado" xfId="1048" builtinId="9" hidden="1"/>
    <cellStyle name="Hipervínculo visitado" xfId="1050" builtinId="9" hidden="1"/>
    <cellStyle name="Hipervínculo visitado" xfId="1052" builtinId="9" hidden="1"/>
    <cellStyle name="Hipervínculo visitado" xfId="1054" builtinId="9" hidden="1"/>
    <cellStyle name="Hipervínculo visitado" xfId="1056" builtinId="9" hidden="1"/>
    <cellStyle name="Hipervínculo visitado" xfId="1058" builtinId="9" hidden="1"/>
    <cellStyle name="Hipervínculo visitado" xfId="1060" builtinId="9" hidden="1"/>
    <cellStyle name="Hipervínculo visitado" xfId="1062" builtinId="9" hidden="1"/>
    <cellStyle name="Hipervínculo visitado" xfId="1064" builtinId="9" hidden="1"/>
    <cellStyle name="Hipervínculo visitado" xfId="1066" builtinId="9" hidden="1"/>
    <cellStyle name="Hipervínculo visitado" xfId="1068" builtinId="9" hidden="1"/>
    <cellStyle name="Hipervínculo visitado" xfId="1070" builtinId="9" hidden="1"/>
    <cellStyle name="Hipervínculo visitado" xfId="1072" builtinId="9" hidden="1"/>
    <cellStyle name="Hipervínculo visitado" xfId="1074" builtinId="9" hidden="1"/>
    <cellStyle name="Hipervínculo visitado" xfId="1076" builtinId="9" hidden="1"/>
    <cellStyle name="Hipervínculo visitado" xfId="1078" builtinId="9" hidden="1"/>
    <cellStyle name="Hipervínculo visitado" xfId="1080" builtinId="9" hidden="1"/>
    <cellStyle name="Hipervínculo visitado" xfId="1082" builtinId="9" hidden="1"/>
    <cellStyle name="Hipervínculo visitado" xfId="1084" builtinId="9" hidden="1"/>
    <cellStyle name="Hipervínculo visitado" xfId="1086" builtinId="9" hidden="1"/>
    <cellStyle name="Hipervínculo visitado" xfId="1088" builtinId="9" hidden="1"/>
    <cellStyle name="Hipervínculo visitado" xfId="1090" builtinId="9" hidden="1"/>
    <cellStyle name="Hipervínculo visitado" xfId="1092" builtinId="9" hidden="1"/>
    <cellStyle name="Hipervínculo visitado" xfId="1094" builtinId="9" hidden="1"/>
    <cellStyle name="Hipervínculo visitado" xfId="1096" builtinId="9" hidden="1"/>
    <cellStyle name="Hipervínculo visitado" xfId="1098" builtinId="9" hidden="1"/>
    <cellStyle name="Hipervínculo visitado" xfId="1100" builtinId="9" hidden="1"/>
    <cellStyle name="Hipervínculo visitado" xfId="1102" builtinId="9" hidden="1"/>
    <cellStyle name="Hipervínculo visitado" xfId="1104" builtinId="9" hidden="1"/>
    <cellStyle name="Hipervínculo visitado" xfId="1106" builtinId="9" hidden="1"/>
    <cellStyle name="Hipervínculo visitado" xfId="1108" builtinId="9" hidden="1"/>
    <cellStyle name="Hipervínculo visitado" xfId="1110" builtinId="9" hidden="1"/>
    <cellStyle name="Hipervínculo visitado" xfId="1112" builtinId="9" hidden="1"/>
    <cellStyle name="Hipervínculo visitado" xfId="1114" builtinId="9" hidden="1"/>
    <cellStyle name="Hipervínculo visitado" xfId="1116" builtinId="9" hidden="1"/>
    <cellStyle name="Hipervínculo visitado" xfId="1118" builtinId="9" hidden="1"/>
    <cellStyle name="Hipervínculo visitado" xfId="1120" builtinId="9" hidden="1"/>
    <cellStyle name="Hipervínculo visitado" xfId="1122" builtinId="9" hidden="1"/>
    <cellStyle name="Hipervínculo visitado" xfId="1124" builtinId="9" hidden="1"/>
    <cellStyle name="Hipervínculo visitado" xfId="1126" builtinId="9" hidden="1"/>
    <cellStyle name="Hipervínculo visitado" xfId="1128" builtinId="9" hidden="1"/>
    <cellStyle name="Hipervínculo visitado" xfId="1130" builtinId="9" hidden="1"/>
    <cellStyle name="Hipervínculo visitado" xfId="1132" builtinId="9" hidden="1"/>
    <cellStyle name="Hipervínculo visitado" xfId="1134" builtinId="9" hidden="1"/>
    <cellStyle name="Hipervínculo visitado" xfId="1136" builtinId="9" hidden="1"/>
    <cellStyle name="Hipervínculo visitado" xfId="1138" builtinId="9" hidden="1"/>
    <cellStyle name="Hipervínculo visitado" xfId="1140" builtinId="9" hidden="1"/>
    <cellStyle name="Hipervínculo visitado" xfId="1142" builtinId="9" hidden="1"/>
    <cellStyle name="Hipervínculo visitado" xfId="1144" builtinId="9" hidden="1"/>
    <cellStyle name="Hipervínculo visitado" xfId="1146" builtinId="9" hidden="1"/>
    <cellStyle name="Hipervínculo visitado" xfId="1148" builtinId="9" hidden="1"/>
    <cellStyle name="Hipervínculo visitado" xfId="1150" builtinId="9" hidden="1"/>
    <cellStyle name="Hipervínculo visitado" xfId="1152" builtinId="9" hidden="1"/>
    <cellStyle name="Hipervínculo visitado" xfId="1154" builtinId="9" hidden="1"/>
    <cellStyle name="Hipervínculo visitado" xfId="1156" builtinId="9" hidden="1"/>
    <cellStyle name="Hipervínculo visitado" xfId="1158" builtinId="9" hidden="1"/>
    <cellStyle name="Hipervínculo visitado" xfId="1160" builtinId="9" hidden="1"/>
    <cellStyle name="Hipervínculo visitado" xfId="1162" builtinId="9" hidden="1"/>
    <cellStyle name="Hipervínculo visitado" xfId="1164" builtinId="9" hidden="1"/>
    <cellStyle name="Hipervínculo visitado" xfId="1166" builtinId="9" hidden="1"/>
    <cellStyle name="Hipervínculo visitado" xfId="1168" builtinId="9" hidden="1"/>
    <cellStyle name="Hipervínculo visitado" xfId="1170" builtinId="9" hidden="1"/>
    <cellStyle name="Hipervínculo visitado" xfId="1172" builtinId="9" hidden="1"/>
    <cellStyle name="Hipervínculo visitado" xfId="1174" builtinId="9" hidden="1"/>
    <cellStyle name="Hipervínculo visitado" xfId="1176" builtinId="9" hidden="1"/>
    <cellStyle name="Hipervínculo visitado" xfId="1178" builtinId="9" hidden="1"/>
    <cellStyle name="Hipervínculo visitado" xfId="1180" builtinId="9" hidden="1"/>
    <cellStyle name="Hipervínculo visitado" xfId="1182" builtinId="9" hidden="1"/>
    <cellStyle name="Hipervínculo visitado" xfId="1184" builtinId="9" hidden="1"/>
    <cellStyle name="Hipervínculo visitado" xfId="1186" builtinId="9" hidden="1"/>
    <cellStyle name="Hipervínculo visitado" xfId="1188" builtinId="9" hidden="1"/>
    <cellStyle name="Hipervínculo visitado" xfId="1190" builtinId="9" hidden="1"/>
    <cellStyle name="Hipervínculo visitado" xfId="1192" builtinId="9" hidden="1"/>
    <cellStyle name="Hipervínculo visitado" xfId="1194" builtinId="9" hidden="1"/>
    <cellStyle name="Hipervínculo visitado" xfId="1196" builtinId="9" hidden="1"/>
    <cellStyle name="Hipervínculo visitado" xfId="1198" builtinId="9" hidden="1"/>
    <cellStyle name="Hipervínculo visitado" xfId="1200" builtinId="9" hidden="1"/>
    <cellStyle name="Hipervínculo visitado" xfId="1202" builtinId="9" hidden="1"/>
    <cellStyle name="Hipervínculo visitado" xfId="1204" builtinId="9" hidden="1"/>
    <cellStyle name="Hipervínculo visitado" xfId="1206" builtinId="9" hidden="1"/>
    <cellStyle name="Hipervínculo visitado" xfId="1208" builtinId="9" hidden="1"/>
    <cellStyle name="Hipervínculo visitado" xfId="1210" builtinId="9" hidden="1"/>
    <cellStyle name="Hipervínculo visitado" xfId="1212" builtinId="9" hidden="1"/>
    <cellStyle name="Hipervínculo visitado" xfId="1214" builtinId="9" hidden="1"/>
    <cellStyle name="Hipervínculo visitado" xfId="1216" builtinId="9" hidden="1"/>
    <cellStyle name="Hipervínculo visitado" xfId="1218" builtinId="9" hidden="1"/>
    <cellStyle name="Hipervínculo visitado" xfId="1220" builtinId="9" hidden="1"/>
    <cellStyle name="Hipervínculo visitado" xfId="1222" builtinId="9" hidden="1"/>
    <cellStyle name="Hipervínculo visitado" xfId="1224" builtinId="9" hidden="1"/>
    <cellStyle name="Hipervínculo visitado" xfId="1226" builtinId="9" hidden="1"/>
    <cellStyle name="Hipervínculo visitado" xfId="1228" builtinId="9" hidden="1"/>
    <cellStyle name="Hipervínculo visitado" xfId="1230" builtinId="9" hidden="1"/>
    <cellStyle name="Hipervínculo visitado" xfId="1232" builtinId="9" hidden="1"/>
    <cellStyle name="Hipervínculo visitado" xfId="1234" builtinId="9" hidden="1"/>
    <cellStyle name="Hipervínculo visitado" xfId="1236" builtinId="9" hidden="1"/>
    <cellStyle name="Hipervínculo visitado" xfId="1238" builtinId="9" hidden="1"/>
    <cellStyle name="Hipervínculo visitado" xfId="1240" builtinId="9" hidden="1"/>
    <cellStyle name="Hipervínculo visitado" xfId="1242" builtinId="9" hidden="1"/>
    <cellStyle name="Hipervínculo visitado" xfId="1244" builtinId="9" hidden="1"/>
    <cellStyle name="Hipervínculo visitado" xfId="1246" builtinId="9" hidden="1"/>
    <cellStyle name="Hipervínculo visitado" xfId="1248" builtinId="9" hidden="1"/>
    <cellStyle name="Hipervínculo visitado" xfId="1250" builtinId="9" hidden="1"/>
    <cellStyle name="Hipervínculo visitado" xfId="1252" builtinId="9" hidden="1"/>
    <cellStyle name="Hipervínculo visitado" xfId="1254" builtinId="9" hidden="1"/>
    <cellStyle name="Hipervínculo visitado" xfId="1256" builtinId="9" hidden="1"/>
    <cellStyle name="Hipervínculo visitado" xfId="1258" builtinId="9" hidden="1"/>
    <cellStyle name="Hipervínculo visitado" xfId="1260" builtinId="9" hidden="1"/>
    <cellStyle name="Hipervínculo visitado" xfId="1262" builtinId="9" hidden="1"/>
    <cellStyle name="Hipervínculo visitado" xfId="1264" builtinId="9" hidden="1"/>
    <cellStyle name="Hipervínculo visitado" xfId="1266" builtinId="9" hidden="1"/>
    <cellStyle name="Hipervínculo visitado" xfId="1268" builtinId="9" hidden="1"/>
    <cellStyle name="Hipervínculo visitado" xfId="1270" builtinId="9" hidden="1"/>
    <cellStyle name="Hipervínculo visitado" xfId="1272" builtinId="9" hidden="1"/>
    <cellStyle name="Hipervínculo visitado" xfId="1274" builtinId="9" hidden="1"/>
    <cellStyle name="Hipervínculo visitado" xfId="1276" builtinId="9" hidden="1"/>
    <cellStyle name="Hipervínculo visitado" xfId="1278" builtinId="9" hidden="1"/>
    <cellStyle name="Hipervínculo visitado" xfId="1280" builtinId="9" hidden="1"/>
    <cellStyle name="Hipervínculo visitado" xfId="1282" builtinId="9" hidden="1"/>
    <cellStyle name="Hipervínculo visitado" xfId="1284" builtinId="9" hidden="1"/>
    <cellStyle name="Hipervínculo visitado" xfId="1286" builtinId="9" hidden="1"/>
    <cellStyle name="Hipervínculo visitado" xfId="1288" builtinId="9" hidden="1"/>
    <cellStyle name="Hipervínculo visitado" xfId="1290" builtinId="9" hidden="1"/>
    <cellStyle name="Hipervínculo visitado" xfId="1292" builtinId="9" hidden="1"/>
    <cellStyle name="Hipervínculo visitado" xfId="1294" builtinId="9" hidden="1"/>
    <cellStyle name="Hipervínculo visitado" xfId="1296" builtinId="9" hidden="1"/>
    <cellStyle name="Hipervínculo visitado" xfId="1298" builtinId="9" hidden="1"/>
    <cellStyle name="Hipervínculo visitado" xfId="1300" builtinId="9" hidden="1"/>
    <cellStyle name="Hipervínculo visitado" xfId="1302" builtinId="9" hidden="1"/>
    <cellStyle name="Hipervínculo visitado" xfId="1304" builtinId="9" hidden="1"/>
    <cellStyle name="Hipervínculo visitado" xfId="1306" builtinId="9" hidden="1"/>
    <cellStyle name="Hipervínculo visitado" xfId="1308" builtinId="9" hidden="1"/>
    <cellStyle name="Hipervínculo visitado" xfId="1310" builtinId="9" hidden="1"/>
    <cellStyle name="Hipervínculo visitado" xfId="1312" builtinId="9" hidden="1"/>
    <cellStyle name="Hipervínculo visitado" xfId="1314" builtinId="9" hidden="1"/>
    <cellStyle name="Hipervínculo visitado" xfId="1316" builtinId="9" hidden="1"/>
    <cellStyle name="Hipervínculo visitado" xfId="1318" builtinId="9" hidden="1"/>
    <cellStyle name="Hipervínculo visitado" xfId="1320" builtinId="9" hidden="1"/>
    <cellStyle name="Hipervínculo visitado" xfId="1322" builtinId="9" hidden="1"/>
    <cellStyle name="Hipervínculo visitado" xfId="1324" builtinId="9" hidden="1"/>
    <cellStyle name="Hipervínculo visitado" xfId="1326" builtinId="9" hidden="1"/>
    <cellStyle name="Hipervínculo visitado" xfId="1328" builtinId="9" hidden="1"/>
    <cellStyle name="Hipervínculo visitado" xfId="1330" builtinId="9" hidden="1"/>
    <cellStyle name="Hipervínculo visitado" xfId="1332" builtinId="9" hidden="1"/>
    <cellStyle name="Hipervínculo visitado" xfId="1334" builtinId="9" hidden="1"/>
    <cellStyle name="Hipervínculo visitado" xfId="1336" builtinId="9" hidden="1"/>
    <cellStyle name="Hipervínculo visitado" xfId="1338" builtinId="9" hidden="1"/>
    <cellStyle name="Hipervínculo visitado" xfId="1340" builtinId="9" hidden="1"/>
    <cellStyle name="Hipervínculo visitado" xfId="1342" builtinId="9" hidden="1"/>
    <cellStyle name="Hipervínculo visitado" xfId="1344" builtinId="9" hidden="1"/>
    <cellStyle name="Hipervínculo visitado" xfId="1346" builtinId="9" hidden="1"/>
    <cellStyle name="Hipervínculo visitado" xfId="1348" builtinId="9" hidden="1"/>
    <cellStyle name="Hipervínculo visitado" xfId="1350" builtinId="9" hidden="1"/>
    <cellStyle name="Hipervínculo visitado" xfId="1352" builtinId="9" hidden="1"/>
    <cellStyle name="Hipervínculo visitado" xfId="1354" builtinId="9" hidden="1"/>
    <cellStyle name="Hipervínculo visitado" xfId="1356" builtinId="9" hidden="1"/>
    <cellStyle name="Hipervínculo visitado" xfId="1358" builtinId="9" hidden="1"/>
    <cellStyle name="Hipervínculo visitado" xfId="1360" builtinId="9" hidden="1"/>
    <cellStyle name="Hipervínculo visitado" xfId="1362" builtinId="9" hidden="1"/>
    <cellStyle name="Hipervínculo visitado" xfId="1364" builtinId="9" hidden="1"/>
    <cellStyle name="Hipervínculo visitado" xfId="1366" builtinId="9" hidden="1"/>
    <cellStyle name="Hipervínculo visitado" xfId="1368" builtinId="9" hidden="1"/>
    <cellStyle name="Hipervínculo visitado" xfId="1370" builtinId="9" hidden="1"/>
    <cellStyle name="Hipervínculo visitado" xfId="1372" builtinId="9" hidden="1"/>
    <cellStyle name="Hipervínculo visitado" xfId="1374" builtinId="9" hidden="1"/>
    <cellStyle name="Hipervínculo visitado" xfId="1376" builtinId="9" hidden="1"/>
    <cellStyle name="Hipervínculo visitado" xfId="1378" builtinId="9" hidden="1"/>
    <cellStyle name="Hipervínculo visitado" xfId="1380" builtinId="9" hidden="1"/>
    <cellStyle name="Hipervínculo visitado" xfId="1382" builtinId="9" hidden="1"/>
    <cellStyle name="Hipervínculo visitado" xfId="1384" builtinId="9" hidden="1"/>
    <cellStyle name="Hipervínculo visitado" xfId="1386" builtinId="9" hidden="1"/>
    <cellStyle name="Hipervínculo visitado" xfId="1388" builtinId="9" hidden="1"/>
    <cellStyle name="Hipervínculo visitado" xfId="1390" builtinId="9" hidden="1"/>
    <cellStyle name="Hipervínculo visitado" xfId="1392" builtinId="9" hidden="1"/>
    <cellStyle name="Hipervínculo visitado" xfId="1394" builtinId="9" hidden="1"/>
    <cellStyle name="Hipervínculo visitado" xfId="1396" builtinId="9" hidden="1"/>
    <cellStyle name="Hipervínculo visitado" xfId="1398" builtinId="9" hidden="1"/>
    <cellStyle name="Hipervínculo visitado" xfId="1400" builtinId="9" hidden="1"/>
    <cellStyle name="Hipervínculo visitado" xfId="1402" builtinId="9" hidden="1"/>
    <cellStyle name="Hipervínculo visitado" xfId="1404" builtinId="9" hidden="1"/>
    <cellStyle name="Hipervínculo visitado" xfId="1406" builtinId="9" hidden="1"/>
    <cellStyle name="Hipervínculo visitado" xfId="1408" builtinId="9" hidden="1"/>
    <cellStyle name="Hipervínculo visitado" xfId="1410" builtinId="9" hidden="1"/>
    <cellStyle name="Hipervínculo visitado" xfId="1412" builtinId="9" hidden="1"/>
    <cellStyle name="Hipervínculo visitado" xfId="1414" builtinId="9" hidden="1"/>
    <cellStyle name="Hipervínculo visitado" xfId="1416" builtinId="9" hidden="1"/>
    <cellStyle name="Hipervínculo visitado" xfId="1418" builtinId="9" hidden="1"/>
    <cellStyle name="Hipervínculo visitado" xfId="1420" builtinId="9" hidden="1"/>
    <cellStyle name="Hipervínculo visitado" xfId="1422" builtinId="9" hidden="1"/>
    <cellStyle name="Hipervínculo visitado" xfId="1424" builtinId="9" hidden="1"/>
    <cellStyle name="Hipervínculo visitado" xfId="1426" builtinId="9" hidden="1"/>
    <cellStyle name="Hipervínculo visitado" xfId="1428" builtinId="9" hidden="1"/>
    <cellStyle name="Hipervínculo visitado" xfId="1430" builtinId="9" hidden="1"/>
    <cellStyle name="Hipervínculo visitado" xfId="1432" builtinId="9" hidden="1"/>
    <cellStyle name="Hipervínculo visitado" xfId="1434" builtinId="9" hidden="1"/>
    <cellStyle name="Hipervínculo visitado" xfId="1436" builtinId="9" hidden="1"/>
    <cellStyle name="Hipervínculo visitado" xfId="1438" builtinId="9" hidden="1"/>
    <cellStyle name="Hipervínculo visitado" xfId="1440" builtinId="9" hidden="1"/>
    <cellStyle name="Hipervínculo visitado" xfId="1442" builtinId="9" hidden="1"/>
    <cellStyle name="Hipervínculo visitado" xfId="1444" builtinId="9" hidden="1"/>
    <cellStyle name="Hipervínculo visitado" xfId="1446" builtinId="9" hidden="1"/>
    <cellStyle name="Hipervínculo visitado" xfId="1448" builtinId="9" hidden="1"/>
    <cellStyle name="Hipervínculo visitado" xfId="1449" builtinId="9" hidden="1"/>
    <cellStyle name="Hipervínculo visitado" xfId="726" builtinId="9" hidden="1"/>
    <cellStyle name="Hipervínculo visitado" xfId="1453" builtinId="9" hidden="1"/>
    <cellStyle name="Hipervínculo visitado" xfId="1455" builtinId="9" hidden="1"/>
    <cellStyle name="Hipervínculo visitado" xfId="1457" builtinId="9" hidden="1"/>
    <cellStyle name="Hipervínculo visitado" xfId="1459" builtinId="9" hidden="1"/>
    <cellStyle name="Hipervínculo visitado" xfId="1461" builtinId="9" hidden="1"/>
    <cellStyle name="Hipervínculo visitado" xfId="1463" builtinId="9" hidden="1"/>
    <cellStyle name="Hipervínculo visitado" xfId="1465" builtinId="9" hidden="1"/>
    <cellStyle name="Hipervínculo visitado" xfId="1467" builtinId="9" hidden="1"/>
    <cellStyle name="Hipervínculo visitado" xfId="1469" builtinId="9" hidden="1"/>
    <cellStyle name="Hipervínculo visitado" xfId="1471" builtinId="9" hidden="1"/>
    <cellStyle name="Hipervínculo visitado" xfId="1473" builtinId="9" hidden="1"/>
    <cellStyle name="Hipervínculo visitado" xfId="1475" builtinId="9" hidden="1"/>
    <cellStyle name="Hipervínculo visitado" xfId="1477" builtinId="9" hidden="1"/>
    <cellStyle name="Hipervínculo visitado" xfId="1479" builtinId="9" hidden="1"/>
    <cellStyle name="Hipervínculo visitado" xfId="1481" builtinId="9" hidden="1"/>
    <cellStyle name="Hipervínculo visitado" xfId="1483" builtinId="9" hidden="1"/>
    <cellStyle name="Hipervínculo visitado" xfId="1485" builtinId="9" hidden="1"/>
    <cellStyle name="Hipervínculo visitado" xfId="1487" builtinId="9" hidden="1"/>
    <cellStyle name="Hipervínculo visitado" xfId="1489" builtinId="9" hidden="1"/>
    <cellStyle name="Hipervínculo visitado" xfId="1491" builtinId="9" hidden="1"/>
    <cellStyle name="Hipervínculo visitado" xfId="1493" builtinId="9" hidden="1"/>
    <cellStyle name="Hipervínculo visitado" xfId="1495" builtinId="9" hidden="1"/>
    <cellStyle name="Hipervínculo visitado" xfId="1497" builtinId="9" hidden="1"/>
    <cellStyle name="Hipervínculo visitado" xfId="1499" builtinId="9" hidden="1"/>
    <cellStyle name="Hipervínculo visitado" xfId="1501" builtinId="9" hidden="1"/>
    <cellStyle name="Hipervínculo visitado" xfId="1503" builtinId="9" hidden="1"/>
    <cellStyle name="Hipervínculo visitado" xfId="1505" builtinId="9" hidden="1"/>
    <cellStyle name="Hipervínculo visitado" xfId="1507" builtinId="9" hidden="1"/>
    <cellStyle name="Hipervínculo visitado" xfId="1509" builtinId="9" hidden="1"/>
    <cellStyle name="Hipervínculo visitado" xfId="1511" builtinId="9" hidden="1"/>
    <cellStyle name="Hipervínculo visitado" xfId="1513" builtinId="9" hidden="1"/>
    <cellStyle name="Hipervínculo visitado" xfId="1515" builtinId="9" hidden="1"/>
    <cellStyle name="Hipervínculo visitado" xfId="1517" builtinId="9" hidden="1"/>
    <cellStyle name="Hipervínculo visitado" xfId="1519" builtinId="9" hidden="1"/>
    <cellStyle name="Hipervínculo visitado" xfId="1521" builtinId="9" hidden="1"/>
    <cellStyle name="Hipervínculo visitado" xfId="1523" builtinId="9" hidden="1"/>
    <cellStyle name="Hipervínculo visitado" xfId="1525" builtinId="9" hidden="1"/>
    <cellStyle name="Hipervínculo visitado" xfId="1527" builtinId="9" hidden="1"/>
    <cellStyle name="Hipervínculo visitado" xfId="1529" builtinId="9" hidden="1"/>
    <cellStyle name="Hipervínculo visitado" xfId="1531" builtinId="9" hidden="1"/>
    <cellStyle name="Hipervínculo visitado" xfId="1533" builtinId="9" hidden="1"/>
    <cellStyle name="Hipervínculo visitado" xfId="1535" builtinId="9" hidden="1"/>
    <cellStyle name="Hipervínculo visitado" xfId="1537" builtinId="9" hidden="1"/>
    <cellStyle name="Hipervínculo visitado" xfId="1539" builtinId="9" hidden="1"/>
    <cellStyle name="Hipervínculo visitado" xfId="1541" builtinId="9" hidden="1"/>
    <cellStyle name="Hipervínculo visitado" xfId="1543" builtinId="9" hidden="1"/>
    <cellStyle name="Hipervínculo visitado" xfId="1545" builtinId="9" hidden="1"/>
    <cellStyle name="Hipervínculo visitado" xfId="1547" builtinId="9" hidden="1"/>
    <cellStyle name="Hipervínculo visitado" xfId="1549" builtinId="9" hidden="1"/>
    <cellStyle name="Hipervínculo visitado" xfId="1551" builtinId="9" hidden="1"/>
    <cellStyle name="Hipervínculo visitado" xfId="1553" builtinId="9" hidden="1"/>
    <cellStyle name="Hipervínculo visitado" xfId="1555" builtinId="9" hidden="1"/>
    <cellStyle name="Hipervínculo visitado" xfId="1557" builtinId="9" hidden="1"/>
    <cellStyle name="Hipervínculo visitado" xfId="1559" builtinId="9" hidden="1"/>
    <cellStyle name="Hipervínculo visitado" xfId="1561" builtinId="9" hidden="1"/>
    <cellStyle name="Hipervínculo visitado" xfId="1563" builtinId="9" hidden="1"/>
    <cellStyle name="Hipervínculo visitado" xfId="1565" builtinId="9" hidden="1"/>
    <cellStyle name="Hipervínculo visitado" xfId="1567" builtinId="9" hidden="1"/>
    <cellStyle name="Hipervínculo visitado" xfId="1569" builtinId="9" hidden="1"/>
    <cellStyle name="Hipervínculo visitado" xfId="1571" builtinId="9" hidden="1"/>
    <cellStyle name="Hipervínculo visitado" xfId="1573" builtinId="9" hidden="1"/>
    <cellStyle name="Hipervínculo visitado" xfId="1575" builtinId="9" hidden="1"/>
    <cellStyle name="Hipervínculo visitado" xfId="1577" builtinId="9" hidden="1"/>
    <cellStyle name="Hipervínculo visitado" xfId="1581" builtinId="9" hidden="1"/>
    <cellStyle name="Hipervínculo visitado" xfId="1583" builtinId="9" hidden="1"/>
    <cellStyle name="Hipervínculo visitado" xfId="1585" builtinId="9" hidden="1"/>
    <cellStyle name="Hipervínculo visitado" xfId="1587" builtinId="9" hidden="1"/>
    <cellStyle name="Hipervínculo visitado" xfId="1589" builtinId="9" hidden="1"/>
    <cellStyle name="Hipervínculo visitado" xfId="1591" builtinId="9" hidden="1"/>
    <cellStyle name="Hipervínculo visitado" xfId="1593" builtinId="9" hidden="1"/>
    <cellStyle name="Hipervínculo visitado" xfId="1595" builtinId="9" hidden="1"/>
    <cellStyle name="Hipervínculo visitado" xfId="1597" builtinId="9" hidden="1"/>
    <cellStyle name="Hipervínculo visitado" xfId="1599" builtinId="9" hidden="1"/>
    <cellStyle name="Hipervínculo visitado" xfId="1601" builtinId="9" hidden="1"/>
    <cellStyle name="Hipervínculo visitado" xfId="1603" builtinId="9" hidden="1"/>
    <cellStyle name="Hipervínculo visitado" xfId="1605" builtinId="9" hidden="1"/>
    <cellStyle name="Hipervínculo visitado" xfId="1607" builtinId="9" hidden="1"/>
    <cellStyle name="Hipervínculo visitado" xfId="1609" builtinId="9" hidden="1"/>
    <cellStyle name="Hipervínculo visitado" xfId="1611" builtinId="9" hidden="1"/>
    <cellStyle name="Hipervínculo visitado" xfId="1613" builtinId="9" hidden="1"/>
    <cellStyle name="Hipervínculo visitado" xfId="1615" builtinId="9" hidden="1"/>
    <cellStyle name="Hipervínculo visitado" xfId="1617" builtinId="9" hidden="1"/>
    <cellStyle name="Hipervínculo visitado" xfId="1619" builtinId="9" hidden="1"/>
    <cellStyle name="Hipervínculo visitado" xfId="1621" builtinId="9" hidden="1"/>
    <cellStyle name="Hipervínculo visitado" xfId="1623" builtinId="9" hidden="1"/>
    <cellStyle name="Hipervínculo visitado" xfId="1625" builtinId="9" hidden="1"/>
    <cellStyle name="Hipervínculo visitado" xfId="1627" builtinId="9" hidden="1"/>
    <cellStyle name="Hipervínculo visitado" xfId="1629" builtinId="9" hidden="1"/>
    <cellStyle name="Hipervínculo visitado" xfId="1631" builtinId="9" hidden="1"/>
    <cellStyle name="Hipervínculo visitado" xfId="1633" builtinId="9" hidden="1"/>
    <cellStyle name="Hipervínculo visitado" xfId="1635" builtinId="9" hidden="1"/>
    <cellStyle name="Hipervínculo visitado" xfId="1637" builtinId="9" hidden="1"/>
    <cellStyle name="Hipervínculo visitado" xfId="1639" builtinId="9" hidden="1"/>
    <cellStyle name="Hipervínculo visitado" xfId="1641" builtinId="9" hidden="1"/>
    <cellStyle name="Hipervínculo visitado" xfId="1643" builtinId="9" hidden="1"/>
    <cellStyle name="Hipervínculo visitado" xfId="1645" builtinId="9" hidden="1"/>
    <cellStyle name="Hipervínculo visitado" xfId="1647" builtinId="9" hidden="1"/>
    <cellStyle name="Hipervínculo visitado" xfId="1649" builtinId="9" hidden="1"/>
    <cellStyle name="Hipervínculo visitado" xfId="1651" builtinId="9" hidden="1"/>
    <cellStyle name="Hipervínculo visitado" xfId="1653" builtinId="9" hidden="1"/>
    <cellStyle name="Hipervínculo visitado" xfId="1655" builtinId="9" hidden="1"/>
    <cellStyle name="Hipervínculo visitado" xfId="1657" builtinId="9" hidden="1"/>
    <cellStyle name="Hipervínculo visitado" xfId="1659" builtinId="9" hidden="1"/>
    <cellStyle name="Hipervínculo visitado" xfId="1661" builtinId="9" hidden="1"/>
    <cellStyle name="Hipervínculo visitado" xfId="1663" builtinId="9" hidden="1"/>
    <cellStyle name="Hipervínculo visitado" xfId="1665" builtinId="9" hidden="1"/>
    <cellStyle name="Hipervínculo visitado" xfId="1667" builtinId="9" hidden="1"/>
    <cellStyle name="Hipervínculo visitado" xfId="1669" builtinId="9" hidden="1"/>
    <cellStyle name="Hipervínculo visitado" xfId="1671" builtinId="9" hidden="1"/>
    <cellStyle name="Hipervínculo visitado" xfId="1673" builtinId="9" hidden="1"/>
    <cellStyle name="Hipervínculo visitado" xfId="1675" builtinId="9" hidden="1"/>
    <cellStyle name="Hipervínculo visitado" xfId="1677" builtinId="9" hidden="1"/>
    <cellStyle name="Hipervínculo visitado" xfId="1679" builtinId="9" hidden="1"/>
    <cellStyle name="Hipervínculo visitado" xfId="1681" builtinId="9" hidden="1"/>
    <cellStyle name="Hipervínculo visitado" xfId="1683" builtinId="9" hidden="1"/>
    <cellStyle name="Hipervínculo visitado" xfId="1685" builtinId="9" hidden="1"/>
    <cellStyle name="Hipervínculo visitado" xfId="1687" builtinId="9" hidden="1"/>
    <cellStyle name="Hipervínculo visitado" xfId="1689" builtinId="9" hidden="1"/>
    <cellStyle name="Hipervínculo visitado" xfId="1691" builtinId="9" hidden="1"/>
    <cellStyle name="Hipervínculo visitado" xfId="1693" builtinId="9" hidden="1"/>
    <cellStyle name="Hipervínculo visitado" xfId="1695" builtinId="9" hidden="1"/>
    <cellStyle name="Hipervínculo visitado" xfId="1697" builtinId="9" hidden="1"/>
    <cellStyle name="Hipervínculo visitado" xfId="1699" builtinId="9" hidden="1"/>
    <cellStyle name="Hipervínculo visitado" xfId="1701" builtinId="9" hidden="1"/>
    <cellStyle name="Hipervínculo visitado" xfId="1703" builtinId="9" hidden="1"/>
    <cellStyle name="Hipervínculo visitado" xfId="1705" builtinId="9" hidden="1"/>
    <cellStyle name="Hipervínculo visitado" xfId="1707" builtinId="9" hidden="1"/>
    <cellStyle name="Hipervínculo visitado" xfId="1709" builtinId="9" hidden="1"/>
    <cellStyle name="Hipervínculo visitado" xfId="1711" builtinId="9" hidden="1"/>
    <cellStyle name="Hipervínculo visitado" xfId="1713" builtinId="9" hidden="1"/>
    <cellStyle name="Hipervínculo visitado" xfId="1715" builtinId="9" hidden="1"/>
    <cellStyle name="Hipervínculo visitado" xfId="1717" builtinId="9" hidden="1"/>
    <cellStyle name="Hipervínculo visitado" xfId="1719" builtinId="9" hidden="1"/>
    <cellStyle name="Hipervínculo visitado" xfId="1721" builtinId="9" hidden="1"/>
    <cellStyle name="Hipervínculo visitado" xfId="1723" builtinId="9" hidden="1"/>
    <cellStyle name="Hipervínculo visitado" xfId="1725" builtinId="9" hidden="1"/>
    <cellStyle name="Hipervínculo visitado" xfId="1727" builtinId="9" hidden="1"/>
    <cellStyle name="Hipervínculo visitado" xfId="1729" builtinId="9" hidden="1"/>
    <cellStyle name="Hipervínculo visitado" xfId="1731" builtinId="9" hidden="1"/>
    <cellStyle name="Hipervínculo visitado" xfId="1733" builtinId="9" hidden="1"/>
    <cellStyle name="Hipervínculo visitado" xfId="1735" builtinId="9" hidden="1"/>
    <cellStyle name="Hipervínculo visitado" xfId="1737" builtinId="9" hidden="1"/>
    <cellStyle name="Hipervínculo visitado" xfId="1739" builtinId="9" hidden="1"/>
    <cellStyle name="Hipervínculo visitado" xfId="1741" builtinId="9" hidden="1"/>
    <cellStyle name="Hipervínculo visitado" xfId="1743" builtinId="9" hidden="1"/>
    <cellStyle name="Hipervínculo visitado" xfId="1745" builtinId="9" hidden="1"/>
    <cellStyle name="Hipervínculo visitado" xfId="1747" builtinId="9" hidden="1"/>
    <cellStyle name="Hipervínculo visitado" xfId="1749" builtinId="9" hidden="1"/>
    <cellStyle name="Hipervínculo visitado" xfId="1751" builtinId="9" hidden="1"/>
    <cellStyle name="Hipervínculo visitado" xfId="1753" builtinId="9" hidden="1"/>
    <cellStyle name="Hipervínculo visitado" xfId="1755" builtinId="9" hidden="1"/>
    <cellStyle name="Hipervínculo visitado" xfId="1757" builtinId="9" hidden="1"/>
    <cellStyle name="Hipervínculo visitado" xfId="1759" builtinId="9" hidden="1"/>
    <cellStyle name="Hipervínculo visitado" xfId="1761" builtinId="9" hidden="1"/>
    <cellStyle name="Hipervínculo visitado" xfId="1763" builtinId="9" hidden="1"/>
    <cellStyle name="Hipervínculo visitado" xfId="1765" builtinId="9" hidden="1"/>
    <cellStyle name="Hipervínculo visitado" xfId="1767" builtinId="9" hidden="1"/>
    <cellStyle name="Hipervínculo visitado" xfId="1769" builtinId="9" hidden="1"/>
    <cellStyle name="Hipervínculo visitado" xfId="1771" builtinId="9" hidden="1"/>
    <cellStyle name="Hipervínculo visitado" xfId="1773" builtinId="9" hidden="1"/>
    <cellStyle name="Hipervínculo visitado" xfId="1775" builtinId="9" hidden="1"/>
    <cellStyle name="Hipervínculo visitado" xfId="1777" builtinId="9" hidden="1"/>
    <cellStyle name="Hipervínculo visitado" xfId="1779" builtinId="9" hidden="1"/>
    <cellStyle name="Hipervínculo visitado" xfId="1781" builtinId="9" hidden="1"/>
    <cellStyle name="Hipervínculo visitado" xfId="1783" builtinId="9" hidden="1"/>
    <cellStyle name="Hipervínculo visitado" xfId="1785" builtinId="9" hidden="1"/>
    <cellStyle name="Hipervínculo visitado" xfId="1787" builtinId="9" hidden="1"/>
    <cellStyle name="Hipervínculo visitado" xfId="1789" builtinId="9" hidden="1"/>
    <cellStyle name="Hipervínculo visitado" xfId="1791" builtinId="9" hidden="1"/>
    <cellStyle name="Hipervínculo visitado" xfId="1793" builtinId="9" hidden="1"/>
    <cellStyle name="Hipervínculo visitado" xfId="1795" builtinId="9" hidden="1"/>
    <cellStyle name="Hipervínculo visitado" xfId="1797" builtinId="9" hidden="1"/>
    <cellStyle name="Hipervínculo visitado" xfId="1799" builtinId="9" hidden="1"/>
    <cellStyle name="Hipervínculo visitado" xfId="1801" builtinId="9" hidden="1"/>
    <cellStyle name="Hipervínculo visitado" xfId="1803" builtinId="9" hidden="1"/>
    <cellStyle name="Hipervínculo visitado" xfId="1805" builtinId="9" hidden="1"/>
    <cellStyle name="Hipervínculo visitado" xfId="1807" builtinId="9" hidden="1"/>
    <cellStyle name="Hipervínculo visitado" xfId="1809" builtinId="9" hidden="1"/>
    <cellStyle name="Hipervínculo visitado" xfId="1811" builtinId="9" hidden="1"/>
    <cellStyle name="Hipervínculo visitado" xfId="1813" builtinId="9" hidden="1"/>
    <cellStyle name="Hipervínculo visitado" xfId="1815" builtinId="9" hidden="1"/>
    <cellStyle name="Hipervínculo visitado" xfId="1817" builtinId="9" hidden="1"/>
    <cellStyle name="Hipervínculo visitado" xfId="1819" builtinId="9" hidden="1"/>
    <cellStyle name="Hipervínculo visitado" xfId="1821" builtinId="9" hidden="1"/>
    <cellStyle name="Hipervínculo visitado" xfId="1823" builtinId="9" hidden="1"/>
    <cellStyle name="Hipervínculo visitado" xfId="1825" builtinId="9" hidden="1"/>
    <cellStyle name="Hipervínculo visitado" xfId="1827" builtinId="9" hidden="1"/>
    <cellStyle name="Hipervínculo visitado" xfId="1829" builtinId="9" hidden="1"/>
    <cellStyle name="Hipervínculo visitado" xfId="1831" builtinId="9" hidden="1"/>
    <cellStyle name="Hipervínculo visitado" xfId="1833" builtinId="9" hidden="1"/>
    <cellStyle name="Hipervínculo visitado" xfId="1835" builtinId="9" hidden="1"/>
    <cellStyle name="Hipervínculo visitado" xfId="1837" builtinId="9" hidden="1"/>
    <cellStyle name="Hipervínculo visitado" xfId="1839" builtinId="9" hidden="1"/>
    <cellStyle name="Hipervínculo visitado" xfId="1841" builtinId="9" hidden="1"/>
    <cellStyle name="Hipervínculo visitado" xfId="1843" builtinId="9" hidden="1"/>
    <cellStyle name="Hipervínculo visitado" xfId="1845" builtinId="9" hidden="1"/>
    <cellStyle name="Hipervínculo visitado" xfId="1847" builtinId="9" hidden="1"/>
    <cellStyle name="Hipervínculo visitado" xfId="1849" builtinId="9" hidden="1"/>
    <cellStyle name="Hipervínculo visitado" xfId="1851" builtinId="9" hidden="1"/>
    <cellStyle name="Hipervínculo visitado" xfId="1853" builtinId="9" hidden="1"/>
    <cellStyle name="Hipervínculo visitado" xfId="1855" builtinId="9" hidden="1"/>
    <cellStyle name="Hipervínculo visitado" xfId="1857" builtinId="9" hidden="1"/>
    <cellStyle name="Hipervínculo visitado" xfId="1859" builtinId="9" hidden="1"/>
    <cellStyle name="Hipervínculo visitado" xfId="1861" builtinId="9" hidden="1"/>
    <cellStyle name="Hipervínculo visitado" xfId="1863" builtinId="9" hidden="1"/>
    <cellStyle name="Hipervínculo visitado" xfId="1865" builtinId="9" hidden="1"/>
    <cellStyle name="Hipervínculo visitado" xfId="1867" builtinId="9" hidden="1"/>
    <cellStyle name="Hipervínculo visitado" xfId="1869" builtinId="9" hidden="1"/>
    <cellStyle name="Hipervínculo visitado" xfId="1871" builtinId="9" hidden="1"/>
    <cellStyle name="Hipervínculo visitado" xfId="1873" builtinId="9" hidden="1"/>
    <cellStyle name="Hipervínculo visitado" xfId="1875" builtinId="9" hidden="1"/>
    <cellStyle name="Hipervínculo visitado" xfId="1877" builtinId="9" hidden="1"/>
    <cellStyle name="Hipervínculo visitado" xfId="1879" builtinId="9" hidden="1"/>
    <cellStyle name="Hipervínculo visitado" xfId="1881" builtinId="9" hidden="1"/>
    <cellStyle name="Hipervínculo visitado" xfId="1883" builtinId="9" hidden="1"/>
    <cellStyle name="Hipervínculo visitado" xfId="1885" builtinId="9" hidden="1"/>
    <cellStyle name="Hipervínculo visitado" xfId="1887" builtinId="9" hidden="1"/>
    <cellStyle name="Hipervínculo visitado" xfId="1889" builtinId="9" hidden="1"/>
    <cellStyle name="Hipervínculo visitado" xfId="1891" builtinId="9" hidden="1"/>
    <cellStyle name="Hipervínculo visitado" xfId="1893" builtinId="9" hidden="1"/>
    <cellStyle name="Hipervínculo visitado" xfId="1895" builtinId="9" hidden="1"/>
    <cellStyle name="Hipervínculo visitado" xfId="1897" builtinId="9" hidden="1"/>
    <cellStyle name="Hipervínculo visitado" xfId="1899" builtinId="9" hidden="1"/>
    <cellStyle name="Hipervínculo visitado" xfId="1901" builtinId="9" hidden="1"/>
    <cellStyle name="Hipervínculo visitado" xfId="1903" builtinId="9" hidden="1"/>
    <cellStyle name="Hipervínculo visitado" xfId="1905" builtinId="9" hidden="1"/>
    <cellStyle name="Hipervínculo visitado" xfId="1907" builtinId="9" hidden="1"/>
    <cellStyle name="Hipervínculo visitado" xfId="1909" builtinId="9" hidden="1"/>
    <cellStyle name="Hipervínculo visitado" xfId="1911" builtinId="9" hidden="1"/>
    <cellStyle name="Hipervínculo visitado" xfId="1913" builtinId="9" hidden="1"/>
    <cellStyle name="Hipervínculo visitado" xfId="1915" builtinId="9" hidden="1"/>
    <cellStyle name="Hipervínculo visitado" xfId="1917" builtinId="9" hidden="1"/>
    <cellStyle name="Hipervínculo visitado" xfId="1919" builtinId="9" hidden="1"/>
    <cellStyle name="Hipervínculo visitado" xfId="1921" builtinId="9" hidden="1"/>
    <cellStyle name="Hipervínculo visitado" xfId="1923" builtinId="9" hidden="1"/>
    <cellStyle name="Hipervínculo visitado" xfId="1925" builtinId="9" hidden="1"/>
    <cellStyle name="Hipervínculo visitado" xfId="1927" builtinId="9" hidden="1"/>
    <cellStyle name="Hipervínculo visitado" xfId="1929" builtinId="9" hidden="1"/>
    <cellStyle name="Hipervínculo visitado" xfId="1931" builtinId="9" hidden="1"/>
    <cellStyle name="Hipervínculo visitado" xfId="1933" builtinId="9" hidden="1"/>
    <cellStyle name="Hipervínculo visitado" xfId="1935" builtinId="9" hidden="1"/>
    <cellStyle name="Hipervínculo visitado" xfId="1937" builtinId="9" hidden="1"/>
    <cellStyle name="Hipervínculo visitado" xfId="1939" builtinId="9" hidden="1"/>
    <cellStyle name="Hipervínculo visitado" xfId="1941" builtinId="9" hidden="1"/>
    <cellStyle name="Hipervínculo visitado" xfId="1943" builtinId="9" hidden="1"/>
    <cellStyle name="Hipervínculo visitado" xfId="1945" builtinId="9" hidden="1"/>
    <cellStyle name="Hipervínculo visitado" xfId="1947" builtinId="9" hidden="1"/>
    <cellStyle name="Hipervínculo visitado" xfId="1949" builtinId="9" hidden="1"/>
    <cellStyle name="Hipervínculo visitado" xfId="1951" builtinId="9" hidden="1"/>
    <cellStyle name="Hipervínculo visitado" xfId="1953" builtinId="9" hidden="1"/>
    <cellStyle name="Hipervínculo visitado" xfId="1955" builtinId="9" hidden="1"/>
    <cellStyle name="Hipervínculo visitado" xfId="1957" builtinId="9" hidden="1"/>
    <cellStyle name="Hipervínculo visitado" xfId="1959" builtinId="9" hidden="1"/>
    <cellStyle name="Hipervínculo visitado" xfId="1961" builtinId="9" hidden="1"/>
    <cellStyle name="Hipervínculo visitado" xfId="1963" builtinId="9" hidden="1"/>
    <cellStyle name="Hipervínculo visitado" xfId="1965" builtinId="9" hidden="1"/>
    <cellStyle name="Hipervínculo visitado" xfId="1967" builtinId="9" hidden="1"/>
    <cellStyle name="Hipervínculo visitado" xfId="1969" builtinId="9" hidden="1"/>
    <cellStyle name="Hipervínculo visitado" xfId="1971" builtinId="9" hidden="1"/>
    <cellStyle name="Hipervínculo visitado" xfId="1973" builtinId="9" hidden="1"/>
    <cellStyle name="Hipervínculo visitado" xfId="1975" builtinId="9" hidden="1"/>
    <cellStyle name="Hipervínculo visitado" xfId="1977" builtinId="9" hidden="1"/>
    <cellStyle name="Hipervínculo visitado" xfId="1979" builtinId="9" hidden="1"/>
    <cellStyle name="Hipervínculo visitado" xfId="1981" builtinId="9" hidden="1"/>
    <cellStyle name="Hipervínculo visitado" xfId="1983" builtinId="9" hidden="1"/>
    <cellStyle name="Hipervínculo visitado" xfId="1985" builtinId="9" hidden="1"/>
    <cellStyle name="Hipervínculo visitado" xfId="1987" builtinId="9" hidden="1"/>
    <cellStyle name="Hipervínculo visitado" xfId="1989" builtinId="9" hidden="1"/>
    <cellStyle name="Hipervínculo visitado" xfId="1991" builtinId="9" hidden="1"/>
    <cellStyle name="Hipervínculo visitado" xfId="1993" builtinId="9" hidden="1"/>
    <cellStyle name="Hipervínculo visitado" xfId="1995" builtinId="9" hidden="1"/>
    <cellStyle name="Hipervínculo visitado" xfId="1997" builtinId="9" hidden="1"/>
    <cellStyle name="Hipervínculo visitado" xfId="1999" builtinId="9" hidden="1"/>
    <cellStyle name="Hipervínculo visitado" xfId="2001" builtinId="9" hidden="1"/>
    <cellStyle name="Hipervínculo visitado" xfId="2003" builtinId="9" hidden="1"/>
    <cellStyle name="Hipervínculo visitado" xfId="2005" builtinId="9" hidden="1"/>
    <cellStyle name="Hipervínculo visitado" xfId="2007" builtinId="9" hidden="1"/>
    <cellStyle name="Hipervínculo visitado" xfId="2009" builtinId="9" hidden="1"/>
    <cellStyle name="Hipervínculo visitado" xfId="2011" builtinId="9" hidden="1"/>
    <cellStyle name="Hipervínculo visitado" xfId="2013" builtinId="9" hidden="1"/>
    <cellStyle name="Hipervínculo visitado" xfId="2015" builtinId="9" hidden="1"/>
    <cellStyle name="Hipervínculo visitado" xfId="2017" builtinId="9" hidden="1"/>
    <cellStyle name="Hipervínculo visitado" xfId="2019" builtinId="9" hidden="1"/>
    <cellStyle name="Hipervínculo visitado" xfId="2021" builtinId="9" hidden="1"/>
    <cellStyle name="Hipervínculo visitado" xfId="2023" builtinId="9" hidden="1"/>
    <cellStyle name="Hipervínculo visitado" xfId="2025" builtinId="9" hidden="1"/>
    <cellStyle name="Hipervínculo visitado" xfId="2027" builtinId="9" hidden="1"/>
    <cellStyle name="Hipervínculo visitado" xfId="2029" builtinId="9" hidden="1"/>
    <cellStyle name="Hipervínculo visitado" xfId="2031" builtinId="9" hidden="1"/>
    <cellStyle name="Hipervínculo visitado" xfId="2033" builtinId="9" hidden="1"/>
    <cellStyle name="Hipervínculo visitado" xfId="2035" builtinId="9" hidden="1"/>
    <cellStyle name="Hipervínculo visitado" xfId="2037" builtinId="9" hidden="1"/>
    <cellStyle name="Hipervínculo visitado" xfId="2039" builtinId="9" hidden="1"/>
    <cellStyle name="Hipervínculo visitado" xfId="2041" builtinId="9" hidden="1"/>
    <cellStyle name="Hipervínculo visitado" xfId="2043" builtinId="9" hidden="1"/>
    <cellStyle name="Hipervínculo visitado" xfId="2045" builtinId="9" hidden="1"/>
    <cellStyle name="Hipervínculo visitado" xfId="2047" builtinId="9" hidden="1"/>
    <cellStyle name="Hipervínculo visitado" xfId="2049" builtinId="9" hidden="1"/>
    <cellStyle name="Hipervínculo visitado" xfId="2051" builtinId="9" hidden="1"/>
    <cellStyle name="Hipervínculo visitado" xfId="2053" builtinId="9" hidden="1"/>
    <cellStyle name="Hipervínculo visitado" xfId="2055" builtinId="9" hidden="1"/>
    <cellStyle name="Hipervínculo visitado" xfId="2057" builtinId="9" hidden="1"/>
    <cellStyle name="Hipervínculo visitado" xfId="2059" builtinId="9" hidden="1"/>
    <cellStyle name="Hipervínculo visitado" xfId="2061" builtinId="9" hidden="1"/>
    <cellStyle name="Hipervínculo visitado" xfId="2063" builtinId="9" hidden="1"/>
    <cellStyle name="Hipervínculo visitado" xfId="2065" builtinId="9" hidden="1"/>
    <cellStyle name="Hipervínculo visitado" xfId="2067" builtinId="9" hidden="1"/>
    <cellStyle name="Hipervínculo visitado" xfId="2069" builtinId="9" hidden="1"/>
    <cellStyle name="Hipervínculo visitado" xfId="2071" builtinId="9" hidden="1"/>
    <cellStyle name="Hipervínculo visitado" xfId="2073" builtinId="9" hidden="1"/>
    <cellStyle name="Hipervínculo visitado" xfId="2075" builtinId="9" hidden="1"/>
    <cellStyle name="Hipervínculo visitado" xfId="2077" builtinId="9" hidden="1"/>
    <cellStyle name="Hipervínculo visitado" xfId="2079" builtinId="9" hidden="1"/>
    <cellStyle name="Hipervínculo visitado" xfId="2081" builtinId="9" hidden="1"/>
    <cellStyle name="Hipervínculo visitado" xfId="2083" builtinId="9" hidden="1"/>
    <cellStyle name="Hipervínculo visitado" xfId="2085" builtinId="9" hidden="1"/>
    <cellStyle name="Hipervínculo visitado" xfId="2087" builtinId="9" hidden="1"/>
    <cellStyle name="Hipervínculo visitado" xfId="2089" builtinId="9" hidden="1"/>
    <cellStyle name="Hipervínculo visitado" xfId="2091" builtinId="9" hidden="1"/>
    <cellStyle name="Hipervínculo visitado" xfId="2093" builtinId="9" hidden="1"/>
    <cellStyle name="Hipervínculo visitado" xfId="2095" builtinId="9" hidden="1"/>
    <cellStyle name="Hipervínculo visitado" xfId="2097" builtinId="9" hidden="1"/>
    <cellStyle name="Hipervínculo visitado" xfId="2099" builtinId="9" hidden="1"/>
    <cellStyle name="Hipervínculo visitado" xfId="2101" builtinId="9" hidden="1"/>
    <cellStyle name="Hipervínculo visitado" xfId="2103" builtinId="9" hidden="1"/>
    <cellStyle name="Hipervínculo visitado" xfId="2105" builtinId="9" hidden="1"/>
    <cellStyle name="Hipervínculo visitado" xfId="2107" builtinId="9" hidden="1"/>
    <cellStyle name="Hipervínculo visitado" xfId="2109" builtinId="9" hidden="1"/>
    <cellStyle name="Hipervínculo visitado" xfId="2111" builtinId="9" hidden="1"/>
    <cellStyle name="Hipervínculo visitado" xfId="2113" builtinId="9" hidden="1"/>
    <cellStyle name="Hipervínculo visitado" xfId="2115" builtinId="9" hidden="1"/>
    <cellStyle name="Hipervínculo visitado" xfId="2117" builtinId="9" hidden="1"/>
    <cellStyle name="Hipervínculo visitado" xfId="2119" builtinId="9" hidden="1"/>
    <cellStyle name="Hipervínculo visitado" xfId="2121" builtinId="9" hidden="1"/>
    <cellStyle name="Hipervínculo visitado" xfId="2123" builtinId="9" hidden="1"/>
    <cellStyle name="Hipervínculo visitado" xfId="2125" builtinId="9" hidden="1"/>
    <cellStyle name="Hipervínculo visitado" xfId="2127" builtinId="9" hidden="1"/>
    <cellStyle name="Hipervínculo visitado" xfId="2129" builtinId="9" hidden="1"/>
    <cellStyle name="Hipervínculo visitado" xfId="2131" builtinId="9" hidden="1"/>
    <cellStyle name="Hipervínculo visitado" xfId="2133" builtinId="9" hidden="1"/>
    <cellStyle name="Hipervínculo visitado" xfId="2135" builtinId="9" hidden="1"/>
    <cellStyle name="Hipervínculo visitado" xfId="2137" builtinId="9" hidden="1"/>
    <cellStyle name="Hipervínculo visitado" xfId="2139" builtinId="9" hidden="1"/>
    <cellStyle name="Hipervínculo visitado" xfId="2141" builtinId="9" hidden="1"/>
    <cellStyle name="Hipervínculo visitado" xfId="2143" builtinId="9" hidden="1"/>
    <cellStyle name="Hipervínculo visitado" xfId="2145" builtinId="9" hidden="1"/>
    <cellStyle name="Hipervínculo visitado" xfId="2147" builtinId="9" hidden="1"/>
    <cellStyle name="Hipervínculo visitado" xfId="2149" builtinId="9" hidden="1"/>
    <cellStyle name="Hipervínculo visitado" xfId="2151" builtinId="9" hidden="1"/>
    <cellStyle name="Hipervínculo visitado" xfId="2153" builtinId="9" hidden="1"/>
    <cellStyle name="Hipervínculo visitado" xfId="2155" builtinId="9" hidden="1"/>
    <cellStyle name="Hipervínculo visitado" xfId="2157" builtinId="9" hidden="1"/>
    <cellStyle name="Hipervínculo visitado" xfId="2159" builtinId="9" hidden="1"/>
    <cellStyle name="Hipervínculo visitado" xfId="2161" builtinId="9" hidden="1"/>
    <cellStyle name="Hipervínculo visitado" xfId="2163" builtinId="9" hidden="1"/>
    <cellStyle name="Hipervínculo visitado" xfId="2165" builtinId="9" hidden="1"/>
    <cellStyle name="Hipervínculo visitado" xfId="2167" builtinId="9" hidden="1"/>
    <cellStyle name="Hipervínculo visitado" xfId="2169" builtinId="9" hidden="1"/>
    <cellStyle name="Hipervínculo visitado" xfId="2170" builtinId="9" hidden="1"/>
    <cellStyle name="Hipervínculo visitado" xfId="1451" builtinId="9" hidden="1"/>
    <cellStyle name="Hipervínculo visitado" xfId="2172" builtinId="9" hidden="1"/>
    <cellStyle name="Hipervínculo visitado" xfId="2174" builtinId="9" hidden="1"/>
    <cellStyle name="Hipervínculo visitado" xfId="2176" builtinId="9" hidden="1"/>
    <cellStyle name="Hipervínculo visitado" xfId="2178" builtinId="9" hidden="1"/>
    <cellStyle name="Hipervínculo visitado" xfId="2180" builtinId="9" hidden="1"/>
    <cellStyle name="Hipervínculo visitado" xfId="2182" builtinId="9" hidden="1"/>
    <cellStyle name="Hipervínculo visitado" xfId="2184" builtinId="9" hidden="1"/>
    <cellStyle name="Hipervínculo visitado" xfId="2186" builtinId="9" hidden="1"/>
    <cellStyle name="Hipervínculo visitado" xfId="2188" builtinId="9" hidden="1"/>
    <cellStyle name="Hipervínculo visitado" xfId="2190" builtinId="9" hidden="1"/>
    <cellStyle name="Hipervínculo visitado" xfId="2192" builtinId="9" hidden="1"/>
    <cellStyle name="Hipervínculo visitado" xfId="2194" builtinId="9" hidden="1"/>
    <cellStyle name="Hipervínculo visitado" xfId="2196" builtinId="9" hidden="1"/>
    <cellStyle name="Hipervínculo visitado" xfId="2198" builtinId="9" hidden="1"/>
    <cellStyle name="Hipervínculo visitado" xfId="2200" builtinId="9" hidden="1"/>
    <cellStyle name="Hipervínculo visitado" xfId="2202" builtinId="9" hidden="1"/>
    <cellStyle name="Hipervínculo visitado" xfId="2204" builtinId="9" hidden="1"/>
    <cellStyle name="Hipervínculo visitado" xfId="2206" builtinId="9" hidden="1"/>
    <cellStyle name="Hipervínculo visitado" xfId="2208" builtinId="9" hidden="1"/>
    <cellStyle name="Hipervínculo visitado" xfId="2210" builtinId="9" hidden="1"/>
    <cellStyle name="Hipervínculo visitado" xfId="2212" builtinId="9" hidden="1"/>
    <cellStyle name="Hipervínculo visitado" xfId="2214" builtinId="9" hidden="1"/>
    <cellStyle name="Hipervínculo visitado" xfId="2216" builtinId="9" hidden="1"/>
    <cellStyle name="Hipervínculo visitado" xfId="2218" builtinId="9" hidden="1"/>
    <cellStyle name="Hipervínculo visitado" xfId="2220" builtinId="9" hidden="1"/>
    <cellStyle name="Hipervínculo visitado" xfId="2222" builtinId="9" hidden="1"/>
    <cellStyle name="Hipervínculo visitado" xfId="2224" builtinId="9" hidden="1"/>
    <cellStyle name="Hipervínculo visitado" xfId="2226" builtinId="9" hidden="1"/>
    <cellStyle name="Hipervínculo visitado" xfId="2228" builtinId="9" hidden="1"/>
    <cellStyle name="Hipervínculo visitado" xfId="2230" builtinId="9" hidden="1"/>
    <cellStyle name="Hipervínculo visitado" xfId="2232" builtinId="9" hidden="1"/>
    <cellStyle name="Hipervínculo visitado" xfId="2234" builtinId="9" hidden="1"/>
    <cellStyle name="Hipervínculo visitado" xfId="2236" builtinId="9" hidden="1"/>
    <cellStyle name="Hipervínculo visitado" xfId="2238" builtinId="9" hidden="1"/>
    <cellStyle name="Hipervínculo visitado" xfId="2240" builtinId="9" hidden="1"/>
    <cellStyle name="Hipervínculo visitado" xfId="2242" builtinId="9" hidden="1"/>
    <cellStyle name="Hipervínculo visitado" xfId="2244" builtinId="9" hidden="1"/>
    <cellStyle name="Hipervínculo visitado" xfId="2246" builtinId="9" hidden="1"/>
    <cellStyle name="Hipervínculo visitado" xfId="2248" builtinId="9" hidden="1"/>
    <cellStyle name="Hipervínculo visitado" xfId="2250" builtinId="9" hidden="1"/>
    <cellStyle name="Hipervínculo visitado" xfId="2252" builtinId="9" hidden="1"/>
    <cellStyle name="Hipervínculo visitado" xfId="2254" builtinId="9" hidden="1"/>
    <cellStyle name="Hipervínculo visitado" xfId="2256" builtinId="9" hidden="1"/>
    <cellStyle name="Hipervínculo visitado" xfId="2258" builtinId="9" hidden="1"/>
    <cellStyle name="Hipervínculo visitado" xfId="2260" builtinId="9" hidden="1"/>
    <cellStyle name="Hipervínculo visitado" xfId="2262" builtinId="9" hidden="1"/>
    <cellStyle name="Hipervínculo visitado" xfId="2264" builtinId="9" hidden="1"/>
    <cellStyle name="Hipervínculo visitado" xfId="2266" builtinId="9" hidden="1"/>
    <cellStyle name="Hipervínculo visitado" xfId="2268" builtinId="9" hidden="1"/>
    <cellStyle name="Hipervínculo visitado" xfId="2270" builtinId="9" hidden="1"/>
    <cellStyle name="Hipervínculo visitado" xfId="2272" builtinId="9" hidden="1"/>
    <cellStyle name="Hipervínculo visitado" xfId="2274" builtinId="9" hidden="1"/>
    <cellStyle name="Hipervínculo visitado" xfId="2276" builtinId="9" hidden="1"/>
    <cellStyle name="Hipervínculo visitado" xfId="2278" builtinId="9" hidden="1"/>
    <cellStyle name="Hipervínculo visitado" xfId="2280" builtinId="9" hidden="1"/>
    <cellStyle name="Hipervínculo visitado" xfId="2282" builtinId="9" hidden="1"/>
    <cellStyle name="Hipervínculo visitado" xfId="2284" builtinId="9" hidden="1"/>
    <cellStyle name="Hipervínculo visitado" xfId="2286" builtinId="9" hidden="1"/>
    <cellStyle name="Hipervínculo visitado" xfId="2288" builtinId="9" hidden="1"/>
    <cellStyle name="Hipervínculo visitado" xfId="2290" builtinId="9" hidden="1"/>
    <cellStyle name="Hipervínculo visitado" xfId="2292" builtinId="9" hidden="1"/>
    <cellStyle name="Hipervínculo visitado" xfId="2294" builtinId="9" hidden="1"/>
    <cellStyle name="Hipervínculo visitado" xfId="2296" builtinId="9" hidden="1"/>
    <cellStyle name="Hipervínculo visitado" xfId="2298" builtinId="9" hidden="1"/>
    <cellStyle name="Hipervínculo visitado" xfId="2300" builtinId="9" hidden="1"/>
    <cellStyle name="Hipervínculo visitado" xfId="2302" builtinId="9" hidden="1"/>
    <cellStyle name="Hipervínculo visitado" xfId="2304" builtinId="9" hidden="1"/>
    <cellStyle name="Hipervínculo visitado" xfId="2306" builtinId="9" hidden="1"/>
    <cellStyle name="Hipervínculo visitado" xfId="2308" builtinId="9" hidden="1"/>
    <cellStyle name="Hipervínculo visitado" xfId="2310" builtinId="9" hidden="1"/>
    <cellStyle name="Hipervínculo visitado" xfId="2312" builtinId="9" hidden="1"/>
    <cellStyle name="Hipervínculo visitado" xfId="2314" builtinId="9" hidden="1"/>
    <cellStyle name="Hipervínculo visitado" xfId="2316" builtinId="9" hidden="1"/>
    <cellStyle name="Hipervínculo visitado" xfId="2318" builtinId="9" hidden="1"/>
    <cellStyle name="Hipervínculo visitado" xfId="2320" builtinId="9" hidden="1"/>
    <cellStyle name="Hipervínculo visitado" xfId="2322" builtinId="9" hidden="1"/>
    <cellStyle name="Hipervínculo visitado" xfId="2324" builtinId="9" hidden="1"/>
    <cellStyle name="Hipervínculo visitado" xfId="2326" builtinId="9" hidden="1"/>
    <cellStyle name="Hipervínculo visitado" xfId="2328" builtinId="9" hidden="1"/>
    <cellStyle name="Hipervínculo visitado" xfId="2330" builtinId="9" hidden="1"/>
    <cellStyle name="Hipervínculo visitado" xfId="2332" builtinId="9" hidden="1"/>
    <cellStyle name="Hipervínculo visitado" xfId="2334" builtinId="9" hidden="1"/>
    <cellStyle name="Hipervínculo visitado" xfId="2336" builtinId="9" hidden="1"/>
    <cellStyle name="Hipervínculo visitado" xfId="2338" builtinId="9" hidden="1"/>
    <cellStyle name="Hipervínculo visitado" xfId="2340" builtinId="9" hidden="1"/>
    <cellStyle name="Hipervínculo visitado" xfId="2342" builtinId="9" hidden="1"/>
    <cellStyle name="Hipervínculo visitado" xfId="2344" builtinId="9" hidden="1"/>
    <cellStyle name="Hipervínculo visitado" xfId="2346" builtinId="9" hidden="1"/>
    <cellStyle name="Hipervínculo visitado" xfId="2348" builtinId="9" hidden="1"/>
    <cellStyle name="Hipervínculo visitado" xfId="2350" builtinId="9" hidden="1"/>
    <cellStyle name="Hipervínculo visitado" xfId="2352" builtinId="9" hidden="1"/>
    <cellStyle name="Hipervínculo visitado" xfId="2354" builtinId="9" hidden="1"/>
    <cellStyle name="Hipervínculo visitado" xfId="2356" builtinId="9" hidden="1"/>
    <cellStyle name="Hipervínculo visitado" xfId="2358" builtinId="9" hidden="1"/>
    <cellStyle name="Hipervínculo visitado" xfId="2360" builtinId="9" hidden="1"/>
    <cellStyle name="Hipervínculo visitado" xfId="2362" builtinId="9" hidden="1"/>
    <cellStyle name="Hipervínculo visitado" xfId="2364" builtinId="9" hidden="1"/>
    <cellStyle name="Hipervínculo visitado" xfId="2366" builtinId="9" hidden="1"/>
    <cellStyle name="Hipervínculo visitado" xfId="2368" builtinId="9" hidden="1"/>
    <cellStyle name="Hipervínculo visitado" xfId="2370" builtinId="9" hidden="1"/>
    <cellStyle name="Hipervínculo visitado" xfId="2372" builtinId="9" hidden="1"/>
    <cellStyle name="Hipervínculo visitado" xfId="2374" builtinId="9" hidden="1"/>
    <cellStyle name="Hipervínculo visitado" xfId="2376" builtinId="9" hidden="1"/>
    <cellStyle name="Hipervínculo visitado" xfId="2378" builtinId="9" hidden="1"/>
    <cellStyle name="Hipervínculo visitado" xfId="2380" builtinId="9" hidden="1"/>
    <cellStyle name="Hipervínculo visitado" xfId="2382" builtinId="9" hidden="1"/>
    <cellStyle name="Hipervínculo visitado" xfId="2384" builtinId="9" hidden="1"/>
    <cellStyle name="Hipervínculo visitado" xfId="2386" builtinId="9" hidden="1"/>
    <cellStyle name="Hipervínculo visitado" xfId="2388" builtinId="9" hidden="1"/>
    <cellStyle name="Hipervínculo visitado" xfId="2390" builtinId="9" hidden="1"/>
    <cellStyle name="Hipervínculo visitado" xfId="2392" builtinId="9" hidden="1"/>
    <cellStyle name="Hipervínculo visitado" xfId="2394" builtinId="9" hidden="1"/>
    <cellStyle name="Hipervínculo visitado" xfId="2396" builtinId="9" hidden="1"/>
    <cellStyle name="Hipervínculo visitado" xfId="2398" builtinId="9" hidden="1"/>
    <cellStyle name="Hipervínculo visitado" xfId="2400" builtinId="9" hidden="1"/>
    <cellStyle name="Hipervínculo visitado" xfId="2402" builtinId="9" hidden="1"/>
    <cellStyle name="Hipervínculo visitado" xfId="2404" builtinId="9" hidden="1"/>
    <cellStyle name="Hipervínculo visitado" xfId="2406" builtinId="9" hidden="1"/>
    <cellStyle name="Hipervínculo visitado" xfId="2408" builtinId="9" hidden="1"/>
    <cellStyle name="Hipervínculo visitado" xfId="2410" builtinId="9" hidden="1"/>
    <cellStyle name="Hipervínculo visitado" xfId="2412" builtinId="9" hidden="1"/>
    <cellStyle name="Hipervínculo visitado" xfId="2414" builtinId="9" hidden="1"/>
    <cellStyle name="Hipervínculo visitado" xfId="2416" builtinId="9" hidden="1"/>
    <cellStyle name="Hipervínculo visitado" xfId="2418" builtinId="9" hidden="1"/>
    <cellStyle name="Hipervínculo visitado" xfId="2420" builtinId="9" hidden="1"/>
    <cellStyle name="Hipervínculo visitado" xfId="2422" builtinId="9" hidden="1"/>
    <cellStyle name="Hipervínculo visitado" xfId="2424" builtinId="9" hidden="1"/>
    <cellStyle name="Hipervínculo visitado" xfId="2426" builtinId="9" hidden="1"/>
    <cellStyle name="Hipervínculo visitado" xfId="2428" builtinId="9" hidden="1"/>
    <cellStyle name="Hipervínculo visitado" xfId="2430" builtinId="9" hidden="1"/>
    <cellStyle name="Hipervínculo visitado" xfId="2432" builtinId="9" hidden="1"/>
    <cellStyle name="Hipervínculo visitado" xfId="2434" builtinId="9" hidden="1"/>
    <cellStyle name="Hipervínculo visitado" xfId="2436" builtinId="9" hidden="1"/>
    <cellStyle name="Hipervínculo visitado" xfId="2438" builtinId="9" hidden="1"/>
    <cellStyle name="Hipervínculo visitado" xfId="2440" builtinId="9" hidden="1"/>
    <cellStyle name="Hipervínculo visitado" xfId="2442" builtinId="9" hidden="1"/>
    <cellStyle name="Hipervínculo visitado" xfId="2444" builtinId="9" hidden="1"/>
    <cellStyle name="Hipervínculo visitado" xfId="2446" builtinId="9" hidden="1"/>
    <cellStyle name="Hipervínculo visitado" xfId="2448" builtinId="9" hidden="1"/>
    <cellStyle name="Hipervínculo visitado" xfId="2450" builtinId="9" hidden="1"/>
    <cellStyle name="Hipervínculo visitado" xfId="2452" builtinId="9" hidden="1"/>
    <cellStyle name="Hipervínculo visitado" xfId="2454" builtinId="9" hidden="1"/>
    <cellStyle name="Hipervínculo visitado" xfId="2456" builtinId="9" hidden="1"/>
    <cellStyle name="Hipervínculo visitado" xfId="2458" builtinId="9" hidden="1"/>
    <cellStyle name="Hipervínculo visitado" xfId="2460" builtinId="9" hidden="1"/>
    <cellStyle name="Hipervínculo visitado" xfId="2462" builtinId="9" hidden="1"/>
    <cellStyle name="Hipervínculo visitado" xfId="2464" builtinId="9" hidden="1"/>
    <cellStyle name="Hipervínculo visitado" xfId="2466" builtinId="9" hidden="1"/>
    <cellStyle name="Hipervínculo visitado" xfId="2468" builtinId="9" hidden="1"/>
    <cellStyle name="Hipervínculo visitado" xfId="2470" builtinId="9" hidden="1"/>
    <cellStyle name="Hipervínculo visitado" xfId="2472" builtinId="9" hidden="1"/>
    <cellStyle name="Hipervínculo visitado" xfId="2474" builtinId="9" hidden="1"/>
    <cellStyle name="Hipervínculo visitado" xfId="2476" builtinId="9" hidden="1"/>
    <cellStyle name="Hipervínculo visitado" xfId="2478" builtinId="9" hidden="1"/>
    <cellStyle name="Hipervínculo visitado" xfId="2480" builtinId="9" hidden="1"/>
    <cellStyle name="Hipervínculo visitado" xfId="2482" builtinId="9" hidden="1"/>
    <cellStyle name="Hipervínculo visitado" xfId="2484" builtinId="9" hidden="1"/>
    <cellStyle name="Hipervínculo visitado" xfId="2486" builtinId="9" hidden="1"/>
    <cellStyle name="Hipervínculo visitado" xfId="2488" builtinId="9" hidden="1"/>
    <cellStyle name="Hipervínculo visitado" xfId="2490" builtinId="9" hidden="1"/>
    <cellStyle name="Hipervínculo visitado" xfId="2492" builtinId="9" hidden="1"/>
    <cellStyle name="Hipervínculo visitado" xfId="2494" builtinId="9" hidden="1"/>
    <cellStyle name="Hipervínculo visitado" xfId="2496" builtinId="9" hidden="1"/>
    <cellStyle name="Hipervínculo visitado" xfId="2498" builtinId="9" hidden="1"/>
    <cellStyle name="Hipervínculo visitado" xfId="2500" builtinId="9" hidden="1"/>
    <cellStyle name="Hipervínculo visitado" xfId="2502" builtinId="9" hidden="1"/>
    <cellStyle name="Hipervínculo visitado" xfId="2504" builtinId="9" hidden="1"/>
    <cellStyle name="Hipervínculo visitado" xfId="2506" builtinId="9" hidden="1"/>
    <cellStyle name="Hipervínculo visitado" xfId="2508" builtinId="9" hidden="1"/>
    <cellStyle name="Hipervínculo visitado" xfId="2510" builtinId="9" hidden="1"/>
    <cellStyle name="Hipervínculo visitado" xfId="2512" builtinId="9" hidden="1"/>
    <cellStyle name="Hipervínculo visitado" xfId="2514" builtinId="9" hidden="1"/>
    <cellStyle name="Hipervínculo visitado" xfId="2516" builtinId="9" hidden="1"/>
    <cellStyle name="Hipervínculo visitado" xfId="2518" builtinId="9" hidden="1"/>
    <cellStyle name="Hipervínculo visitado" xfId="2520" builtinId="9" hidden="1"/>
    <cellStyle name="Hipervínculo visitado" xfId="2522" builtinId="9" hidden="1"/>
    <cellStyle name="Hipervínculo visitado" xfId="2524" builtinId="9" hidden="1"/>
    <cellStyle name="Hipervínculo visitado" xfId="2526" builtinId="9" hidden="1"/>
    <cellStyle name="Hipervínculo visitado" xfId="2528" builtinId="9" hidden="1"/>
    <cellStyle name="Hipervínculo visitado" xfId="2530" builtinId="9" hidden="1"/>
    <cellStyle name="Hipervínculo visitado" xfId="2532" builtinId="9" hidden="1"/>
    <cellStyle name="Hipervínculo visitado" xfId="2534" builtinId="9" hidden="1"/>
    <cellStyle name="Hipervínculo visitado" xfId="2536" builtinId="9" hidden="1"/>
    <cellStyle name="Hipervínculo visitado" xfId="2538" builtinId="9" hidden="1"/>
    <cellStyle name="Hipervínculo visitado" xfId="2540" builtinId="9" hidden="1"/>
    <cellStyle name="Hipervínculo visitado" xfId="2542" builtinId="9" hidden="1"/>
    <cellStyle name="Hipervínculo visitado" xfId="2544" builtinId="9" hidden="1"/>
    <cellStyle name="Hipervínculo visitado" xfId="2546" builtinId="9" hidden="1"/>
    <cellStyle name="Hipervínculo visitado" xfId="2548" builtinId="9" hidden="1"/>
    <cellStyle name="Hipervínculo visitado" xfId="2550" builtinId="9" hidden="1"/>
    <cellStyle name="Hipervínculo visitado" xfId="2552" builtinId="9" hidden="1"/>
    <cellStyle name="Hipervínculo visitado" xfId="2554" builtinId="9" hidden="1"/>
    <cellStyle name="Hipervínculo visitado" xfId="2556" builtinId="9" hidden="1"/>
    <cellStyle name="Hipervínculo visitado" xfId="2558" builtinId="9" hidden="1"/>
    <cellStyle name="Hipervínculo visitado" xfId="2560" builtinId="9" hidden="1"/>
    <cellStyle name="Hipervínculo visitado" xfId="2562" builtinId="9" hidden="1"/>
    <cellStyle name="Hipervínculo visitado" xfId="2564" builtinId="9" hidden="1"/>
    <cellStyle name="Hipervínculo visitado" xfId="2566" builtinId="9" hidden="1"/>
    <cellStyle name="Hipervínculo visitado" xfId="2568" builtinId="9" hidden="1"/>
    <cellStyle name="Hipervínculo visitado" xfId="2570" builtinId="9" hidden="1"/>
    <cellStyle name="Hipervínculo visitado" xfId="2572" builtinId="9" hidden="1"/>
    <cellStyle name="Hipervínculo visitado" xfId="2574" builtinId="9" hidden="1"/>
    <cellStyle name="Hipervínculo visitado" xfId="2576" builtinId="9" hidden="1"/>
    <cellStyle name="Hipervínculo visitado" xfId="2578" builtinId="9" hidden="1"/>
    <cellStyle name="Hipervínculo visitado" xfId="2580" builtinId="9" hidden="1"/>
    <cellStyle name="Hipervínculo visitado" xfId="2582" builtinId="9" hidden="1"/>
    <cellStyle name="Hipervínculo visitado" xfId="2584" builtinId="9" hidden="1"/>
    <cellStyle name="Hipervínculo visitado" xfId="2586" builtinId="9" hidden="1"/>
    <cellStyle name="Hipervínculo visitado" xfId="2588" builtinId="9" hidden="1"/>
    <cellStyle name="Hipervínculo visitado" xfId="2590" builtinId="9" hidden="1"/>
    <cellStyle name="Hipervínculo visitado" xfId="2592" builtinId="9" hidden="1"/>
    <cellStyle name="Hipervínculo visitado" xfId="2594" builtinId="9" hidden="1"/>
    <cellStyle name="Hipervínculo visitado" xfId="2596" builtinId="9" hidden="1"/>
    <cellStyle name="Hipervínculo visitado" xfId="2598" builtinId="9" hidden="1"/>
    <cellStyle name="Hipervínculo visitado" xfId="2600" builtinId="9" hidden="1"/>
    <cellStyle name="Hipervínculo visitado" xfId="2602" builtinId="9" hidden="1"/>
    <cellStyle name="Hipervínculo visitado" xfId="2604" builtinId="9" hidden="1"/>
    <cellStyle name="Hipervínculo visitado" xfId="2606" builtinId="9" hidden="1"/>
    <cellStyle name="Hipervínculo visitado" xfId="2608" builtinId="9" hidden="1"/>
    <cellStyle name="Hipervínculo visitado" xfId="2610" builtinId="9" hidden="1"/>
    <cellStyle name="Hipervínculo visitado" xfId="2612" builtinId="9" hidden="1"/>
    <cellStyle name="Hipervínculo visitado" xfId="2614" builtinId="9" hidden="1"/>
    <cellStyle name="Hipervínculo visitado" xfId="2616" builtinId="9" hidden="1"/>
    <cellStyle name="Hipervínculo visitado" xfId="2618" builtinId="9" hidden="1"/>
    <cellStyle name="Hipervínculo visitado" xfId="2620" builtinId="9" hidden="1"/>
    <cellStyle name="Hipervínculo visitado" xfId="2622" builtinId="9" hidden="1"/>
    <cellStyle name="Hipervínculo visitado" xfId="2624" builtinId="9" hidden="1"/>
    <cellStyle name="Hipervínculo visitado" xfId="2626" builtinId="9" hidden="1"/>
    <cellStyle name="Hipervínculo visitado" xfId="2628" builtinId="9" hidden="1"/>
    <cellStyle name="Hipervínculo visitado" xfId="2630" builtinId="9" hidden="1"/>
    <cellStyle name="Hipervínculo visitado" xfId="2632" builtinId="9" hidden="1"/>
    <cellStyle name="Hipervínculo visitado" xfId="2634" builtinId="9" hidden="1"/>
    <cellStyle name="Hipervínculo visitado" xfId="2636" builtinId="9" hidden="1"/>
    <cellStyle name="Hipervínculo visitado" xfId="2638" builtinId="9" hidden="1"/>
    <cellStyle name="Hipervínculo visitado" xfId="2640" builtinId="9" hidden="1"/>
    <cellStyle name="Hipervínculo visitado" xfId="2642" builtinId="9" hidden="1"/>
    <cellStyle name="Hipervínculo visitado" xfId="2644" builtinId="9" hidden="1"/>
    <cellStyle name="Hipervínculo visitado" xfId="2646" builtinId="9" hidden="1"/>
    <cellStyle name="Hipervínculo visitado" xfId="2648" builtinId="9" hidden="1"/>
    <cellStyle name="Hipervínculo visitado" xfId="2650" builtinId="9" hidden="1"/>
    <cellStyle name="Hipervínculo visitado" xfId="2652" builtinId="9" hidden="1"/>
    <cellStyle name="Hipervínculo visitado" xfId="2654" builtinId="9" hidden="1"/>
    <cellStyle name="Hipervínculo visitado" xfId="2656" builtinId="9" hidden="1"/>
    <cellStyle name="Hipervínculo visitado" xfId="2658" builtinId="9" hidden="1"/>
    <cellStyle name="Hipervínculo visitado" xfId="2660" builtinId="9" hidden="1"/>
    <cellStyle name="Hipervínculo visitado" xfId="2662" builtinId="9" hidden="1"/>
    <cellStyle name="Hipervínculo visitado" xfId="2664" builtinId="9" hidden="1"/>
    <cellStyle name="Hipervínculo visitado" xfId="2666" builtinId="9" hidden="1"/>
    <cellStyle name="Hipervínculo visitado" xfId="2668" builtinId="9" hidden="1"/>
    <cellStyle name="Hipervínculo visitado" xfId="2670" builtinId="9" hidden="1"/>
    <cellStyle name="Hipervínculo visitado" xfId="2672" builtinId="9" hidden="1"/>
    <cellStyle name="Hipervínculo visitado" xfId="2674" builtinId="9" hidden="1"/>
    <cellStyle name="Hipervínculo visitado" xfId="2676" builtinId="9" hidden="1"/>
    <cellStyle name="Hipervínculo visitado" xfId="2678" builtinId="9" hidden="1"/>
    <cellStyle name="Hipervínculo visitado" xfId="2680" builtinId="9" hidden="1"/>
    <cellStyle name="Hipervínculo visitado" xfId="2682" builtinId="9" hidden="1"/>
    <cellStyle name="Hipervínculo visitado" xfId="2684" builtinId="9" hidden="1"/>
    <cellStyle name="Hipervínculo visitado" xfId="2686" builtinId="9" hidden="1"/>
    <cellStyle name="Hipervínculo visitado" xfId="2688" builtinId="9" hidden="1"/>
    <cellStyle name="Hipervínculo visitado" xfId="2690" builtinId="9" hidden="1"/>
    <cellStyle name="Hipervínculo visitado" xfId="2692" builtinId="9" hidden="1"/>
    <cellStyle name="Hipervínculo visitado" xfId="2694" builtinId="9" hidden="1"/>
    <cellStyle name="Hipervínculo visitado" xfId="2696" builtinId="9" hidden="1"/>
    <cellStyle name="Hipervínculo visitado" xfId="2698" builtinId="9" hidden="1"/>
    <cellStyle name="Hipervínculo visitado" xfId="2700" builtinId="9" hidden="1"/>
    <cellStyle name="Hipervínculo visitado" xfId="2702" builtinId="9" hidden="1"/>
    <cellStyle name="Hipervínculo visitado" xfId="2704" builtinId="9" hidden="1"/>
    <cellStyle name="Hipervínculo visitado" xfId="2706" builtinId="9" hidden="1"/>
    <cellStyle name="Hipervínculo visitado" xfId="2708" builtinId="9" hidden="1"/>
    <cellStyle name="Hipervínculo visitado" xfId="2710" builtinId="9" hidden="1"/>
    <cellStyle name="Hipervínculo visitado" xfId="2712" builtinId="9" hidden="1"/>
    <cellStyle name="Hipervínculo visitado" xfId="2714" builtinId="9" hidden="1"/>
    <cellStyle name="Hipervínculo visitado" xfId="2716" builtinId="9" hidden="1"/>
    <cellStyle name="Hipervínculo visitado" xfId="2718" builtinId="9" hidden="1"/>
    <cellStyle name="Hipervínculo visitado" xfId="2720" builtinId="9" hidden="1"/>
    <cellStyle name="Hipervínculo visitado" xfId="2722" builtinId="9" hidden="1"/>
    <cellStyle name="Hipervínculo visitado" xfId="2724" builtinId="9" hidden="1"/>
    <cellStyle name="Hipervínculo visitado" xfId="2726" builtinId="9" hidden="1"/>
    <cellStyle name="Hipervínculo visitado" xfId="2728" builtinId="9" hidden="1"/>
    <cellStyle name="Hipervínculo visitado" xfId="2730" builtinId="9" hidden="1"/>
    <cellStyle name="Hipervínculo visitado" xfId="2732" builtinId="9" hidden="1"/>
    <cellStyle name="Hipervínculo visitado" xfId="2734" builtinId="9" hidden="1"/>
    <cellStyle name="Hipervínculo visitado" xfId="2736" builtinId="9" hidden="1"/>
    <cellStyle name="Hipervínculo visitado" xfId="2738" builtinId="9" hidden="1"/>
    <cellStyle name="Hipervínculo visitado" xfId="2740" builtinId="9" hidden="1"/>
    <cellStyle name="Hipervínculo visitado" xfId="2742" builtinId="9" hidden="1"/>
    <cellStyle name="Hipervínculo visitado" xfId="2744" builtinId="9" hidden="1"/>
    <cellStyle name="Hipervínculo visitado" xfId="2746" builtinId="9" hidden="1"/>
    <cellStyle name="Hipervínculo visitado" xfId="2748" builtinId="9" hidden="1"/>
    <cellStyle name="Hipervínculo visitado" xfId="2750" builtinId="9" hidden="1"/>
    <cellStyle name="Hipervínculo visitado" xfId="2752" builtinId="9" hidden="1"/>
    <cellStyle name="Hipervínculo visitado" xfId="2754" builtinId="9" hidden="1"/>
    <cellStyle name="Hipervínculo visitado" xfId="2756" builtinId="9" hidden="1"/>
    <cellStyle name="Hipervínculo visitado" xfId="2758" builtinId="9" hidden="1"/>
    <cellStyle name="Hipervínculo visitado" xfId="2760" builtinId="9" hidden="1"/>
    <cellStyle name="Hipervínculo visitado" xfId="2762" builtinId="9" hidden="1"/>
    <cellStyle name="Hipervínculo visitado" xfId="2764" builtinId="9" hidden="1"/>
    <cellStyle name="Hipervínculo visitado" xfId="2766" builtinId="9" hidden="1"/>
    <cellStyle name="Hipervínculo visitado" xfId="2768" builtinId="9" hidden="1"/>
    <cellStyle name="Hipervínculo visitado" xfId="2770" builtinId="9" hidden="1"/>
    <cellStyle name="Hipervínculo visitado" xfId="2772" builtinId="9" hidden="1"/>
    <cellStyle name="Hipervínculo visitado" xfId="2774" builtinId="9" hidden="1"/>
    <cellStyle name="Hipervínculo visitado" xfId="2776" builtinId="9" hidden="1"/>
    <cellStyle name="Hipervínculo visitado" xfId="2778" builtinId="9" hidden="1"/>
    <cellStyle name="Hipervínculo visitado" xfId="2780" builtinId="9" hidden="1"/>
    <cellStyle name="Hipervínculo visitado" xfId="2782" builtinId="9" hidden="1"/>
    <cellStyle name="Hipervínculo visitado" xfId="2784" builtinId="9" hidden="1"/>
    <cellStyle name="Hipervínculo visitado" xfId="2786" builtinId="9" hidden="1"/>
    <cellStyle name="Hipervínculo visitado" xfId="2788" builtinId="9" hidden="1"/>
    <cellStyle name="Hipervínculo visitado" xfId="2790" builtinId="9" hidden="1"/>
    <cellStyle name="Hipervínculo visitado" xfId="2792" builtinId="9" hidden="1"/>
    <cellStyle name="Hipervínculo visitado" xfId="2794" builtinId="9" hidden="1"/>
    <cellStyle name="Hipervínculo visitado" xfId="2796" builtinId="9" hidden="1"/>
    <cellStyle name="Hipervínculo visitado" xfId="2798" builtinId="9" hidden="1"/>
    <cellStyle name="Hipervínculo visitado" xfId="2800" builtinId="9" hidden="1"/>
    <cellStyle name="Hipervínculo visitado" xfId="2802" builtinId="9" hidden="1"/>
    <cellStyle name="Hipervínculo visitado" xfId="2804" builtinId="9" hidden="1"/>
    <cellStyle name="Hipervínculo visitado" xfId="2806" builtinId="9" hidden="1"/>
    <cellStyle name="Hipervínculo visitado" xfId="2808" builtinId="9" hidden="1"/>
    <cellStyle name="Hipervínculo visitado" xfId="2810" builtinId="9" hidden="1"/>
    <cellStyle name="Hipervínculo visitado" xfId="2812" builtinId="9" hidden="1"/>
    <cellStyle name="Hipervínculo visitado" xfId="2814" builtinId="9" hidden="1"/>
    <cellStyle name="Hipervínculo visitado" xfId="2816" builtinId="9" hidden="1"/>
    <cellStyle name="Hipervínculo visitado" xfId="2818" builtinId="9" hidden="1"/>
    <cellStyle name="Hipervínculo visitado" xfId="2820" builtinId="9" hidden="1"/>
    <cellStyle name="Hipervínculo visitado" xfId="2822" builtinId="9" hidden="1"/>
    <cellStyle name="Hipervínculo visitado" xfId="2824" builtinId="9" hidden="1"/>
    <cellStyle name="Hipervínculo visitado" xfId="2826" builtinId="9" hidden="1"/>
    <cellStyle name="Hipervínculo visitado" xfId="2828" builtinId="9" hidden="1"/>
    <cellStyle name="Hipervínculo visitado" xfId="2830" builtinId="9" hidden="1"/>
    <cellStyle name="Hipervínculo visitado" xfId="2832" builtinId="9" hidden="1"/>
    <cellStyle name="Hipervínculo visitado" xfId="2834" builtinId="9" hidden="1"/>
    <cellStyle name="Hipervínculo visitado" xfId="2836" builtinId="9" hidden="1"/>
    <cellStyle name="Hipervínculo visitado" xfId="2838" builtinId="9" hidden="1"/>
    <cellStyle name="Hipervínculo visitado" xfId="2840" builtinId="9" hidden="1"/>
    <cellStyle name="Hipervínculo visitado" xfId="2842" builtinId="9" hidden="1"/>
    <cellStyle name="Hipervínculo visitado" xfId="2844" builtinId="9" hidden="1"/>
    <cellStyle name="Hipervínculo visitado" xfId="2846" builtinId="9" hidden="1"/>
    <cellStyle name="Hipervínculo visitado" xfId="2848" builtinId="9" hidden="1"/>
    <cellStyle name="Hipervínculo visitado" xfId="2850" builtinId="9" hidden="1"/>
    <cellStyle name="Hipervínculo visitado" xfId="2852" builtinId="9" hidden="1"/>
    <cellStyle name="Hipervínculo visitado" xfId="2854" builtinId="9" hidden="1"/>
    <cellStyle name="Hipervínculo visitado" xfId="2856" builtinId="9" hidden="1"/>
    <cellStyle name="Hipervínculo visitado" xfId="2858" builtinId="9" hidden="1"/>
    <cellStyle name="Hipervínculo visitado" xfId="2860" builtinId="9" hidden="1"/>
    <cellStyle name="Hipervínculo visitado" xfId="2862" builtinId="9" hidden="1"/>
    <cellStyle name="Hipervínculo visitado" xfId="2864" builtinId="9" hidden="1"/>
    <cellStyle name="Hipervínculo visitado" xfId="2866" builtinId="9" hidden="1"/>
    <cellStyle name="Hipervínculo visitado" xfId="2868" builtinId="9" hidden="1"/>
    <cellStyle name="Hipervínculo visitado" xfId="2870" builtinId="9" hidden="1"/>
    <cellStyle name="Hipervínculo visitado" xfId="2872" builtinId="9" hidden="1"/>
    <cellStyle name="Hipervínculo visitado" xfId="2874" builtinId="9" hidden="1"/>
    <cellStyle name="Hipervínculo visitado" xfId="2876" builtinId="9" hidden="1"/>
    <cellStyle name="Hipervínculo visitado" xfId="2878" builtinId="9" hidden="1"/>
    <cellStyle name="Hipervínculo visitado" xfId="2880" builtinId="9" hidden="1"/>
    <cellStyle name="Hipervínculo visitado" xfId="2882" builtinId="9" hidden="1"/>
    <cellStyle name="Hipervínculo visitado" xfId="2884" builtinId="9" hidden="1"/>
    <cellStyle name="Hipervínculo visitado" xfId="2886" builtinId="9" hidden="1"/>
    <cellStyle name="Millares 2" xfId="724"/>
    <cellStyle name="Millares 2 2" xfId="1450"/>
    <cellStyle name="Normal" xfId="0" builtinId="0"/>
    <cellStyle name="Normal 2" xfId="132"/>
    <cellStyle name="Normal 3" xfId="723"/>
    <cellStyle name="Porcentaje" xfId="131" builtinId="5"/>
    <cellStyle name="Texto explicativo 2" xfId="725"/>
  </cellStyles>
  <dxfs count="0"/>
  <tableStyles count="0" defaultTableStyle="TableStyleMedium9" defaultPivotStyle="PivotStyleMedium4"/>
  <colors>
    <mruColors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2</xdr:col>
      <xdr:colOff>1079500</xdr:colOff>
      <xdr:row>3</xdr:row>
      <xdr:rowOff>77524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0</xdr:row>
      <xdr:rowOff>203200</xdr:rowOff>
    </xdr:from>
    <xdr:to>
      <xdr:col>3</xdr:col>
      <xdr:colOff>79248</xdr:colOff>
      <xdr:row>3</xdr:row>
      <xdr:rowOff>113284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203200"/>
          <a:ext cx="993648" cy="78638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AK165"/>
  <sheetViews>
    <sheetView topLeftCell="A22" zoomScale="85" zoomScaleNormal="85" zoomScalePageLayoutView="85" workbookViewId="0">
      <selection activeCell="D13" sqref="D13:M13"/>
    </sheetView>
  </sheetViews>
  <sheetFormatPr baseColWidth="10" defaultColWidth="10.90625" defaultRowHeight="15"/>
  <cols>
    <col min="1" max="1" width="3.08984375" style="4" customWidth="1"/>
    <col min="2" max="2" width="3.453125" style="2" customWidth="1"/>
    <col min="3" max="3" width="12.08984375" style="4" customWidth="1"/>
    <col min="4" max="13" width="10.90625" style="4"/>
    <col min="14" max="14" width="3.08984375" style="2" customWidth="1"/>
    <col min="15" max="17" width="10.90625" style="2"/>
    <col min="18" max="16384" width="10.90625" style="4"/>
  </cols>
  <sheetData>
    <row r="1" spans="2:37" s="2" customFormat="1" ht="23.1" customHeight="1">
      <c r="D1" s="3"/>
    </row>
    <row r="2" spans="2:37" s="2" customFormat="1" ht="23.1" customHeight="1">
      <c r="D2" s="21" t="s">
        <v>31</v>
      </c>
    </row>
    <row r="3" spans="2:37" s="2" customFormat="1" ht="23.1" customHeight="1">
      <c r="D3" s="63" t="s">
        <v>32</v>
      </c>
    </row>
    <row r="4" spans="2:37" s="2" customFormat="1" ht="23.1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0</v>
      </c>
      <c r="D6" s="3"/>
      <c r="E6" s="3"/>
      <c r="F6" s="3"/>
      <c r="G6" s="3"/>
      <c r="H6" s="3"/>
      <c r="I6" s="3"/>
      <c r="J6" s="3"/>
      <c r="K6" s="3"/>
      <c r="L6" s="3"/>
      <c r="M6" s="1111">
        <f>ejercicio</f>
        <v>2018</v>
      </c>
      <c r="N6" s="9"/>
    </row>
    <row r="7" spans="2:37" s="2" customFormat="1" ht="30" customHeight="1">
      <c r="B7" s="8"/>
      <c r="C7" s="1" t="s">
        <v>1</v>
      </c>
      <c r="D7" s="3"/>
      <c r="E7" s="3"/>
      <c r="F7" s="3"/>
      <c r="G7" s="3"/>
      <c r="H7" s="3"/>
      <c r="I7" s="3"/>
      <c r="J7" s="3"/>
      <c r="K7" s="10"/>
      <c r="L7" s="3"/>
      <c r="M7" s="1111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7.35" customHeight="1">
      <c r="B10" s="8"/>
      <c r="N10" s="9"/>
    </row>
    <row r="11" spans="2:37" ht="30" customHeight="1">
      <c r="B11" s="8"/>
      <c r="C11" s="11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5" customFormat="1" ht="30" customHeight="1">
      <c r="B13" s="8"/>
      <c r="C13" s="283" t="s">
        <v>34</v>
      </c>
      <c r="D13" s="1112" t="s">
        <v>911</v>
      </c>
      <c r="E13" s="1113"/>
      <c r="F13" s="1113"/>
      <c r="G13" s="1113"/>
      <c r="H13" s="1113"/>
      <c r="I13" s="1113"/>
      <c r="J13" s="1113"/>
      <c r="K13" s="1113"/>
      <c r="L13" s="1113"/>
      <c r="M13" s="1114"/>
      <c r="N13" s="9"/>
    </row>
    <row r="14" spans="2:37" s="15" customFormat="1" ht="30" customHeight="1">
      <c r="B14" s="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</row>
    <row r="15" spans="2:37" s="2" customFormat="1" ht="30" customHeight="1">
      <c r="B15" s="8"/>
      <c r="C15" s="283" t="s">
        <v>35</v>
      </c>
      <c r="D15" s="567">
        <v>2018</v>
      </c>
      <c r="E15" s="14"/>
      <c r="F15" s="14"/>
      <c r="G15" s="420"/>
      <c r="H15" s="420"/>
      <c r="I15" s="14"/>
      <c r="J15" s="14"/>
      <c r="K15" s="14"/>
      <c r="L15" s="14"/>
      <c r="M15" s="14"/>
      <c r="N15" s="9"/>
    </row>
    <row r="16" spans="2:37" s="2" customFormat="1" ht="30" customHeight="1">
      <c r="B16" s="8"/>
      <c r="C16" s="12"/>
      <c r="D16" s="1115"/>
      <c r="E16" s="1115"/>
      <c r="F16" s="1115"/>
      <c r="G16" s="1115"/>
      <c r="H16" s="1115"/>
      <c r="I16" s="1115"/>
      <c r="J16" s="1115"/>
      <c r="K16" s="1115"/>
      <c r="L16" s="1115"/>
      <c r="M16" s="1115"/>
      <c r="N16" s="9"/>
    </row>
    <row r="17" spans="2:14" s="2" customFormat="1" ht="30" customHeight="1">
      <c r="B17" s="8"/>
      <c r="C17" s="284" t="s">
        <v>67</v>
      </c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9"/>
    </row>
    <row r="18" spans="2:14" s="2" customFormat="1" ht="9" customHeight="1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</row>
    <row r="19" spans="2:14" s="2" customFormat="1" ht="25.35" customHeight="1">
      <c r="B19" s="8"/>
      <c r="C19" s="2" t="s">
        <v>37</v>
      </c>
      <c r="D19" s="2" t="s">
        <v>38</v>
      </c>
      <c r="N19" s="9"/>
    </row>
    <row r="20" spans="2:14" s="2" customFormat="1" ht="25.35" customHeight="1">
      <c r="B20" s="8"/>
      <c r="C20" s="2" t="s">
        <v>39</v>
      </c>
      <c r="D20" s="2" t="s">
        <v>40</v>
      </c>
      <c r="N20" s="9"/>
    </row>
    <row r="21" spans="2:14" s="2" customFormat="1" ht="25.35" customHeight="1">
      <c r="B21" s="8"/>
      <c r="C21" s="885" t="s">
        <v>788</v>
      </c>
      <c r="D21" s="885" t="s">
        <v>789</v>
      </c>
      <c r="N21" s="9"/>
    </row>
    <row r="22" spans="2:14" s="2" customFormat="1" ht="25.35" customHeight="1">
      <c r="B22" s="8"/>
      <c r="C22" s="2" t="s">
        <v>41</v>
      </c>
      <c r="D22" s="2" t="s">
        <v>42</v>
      </c>
      <c r="N22" s="9"/>
    </row>
    <row r="23" spans="2:14" s="2" customFormat="1" ht="25.35" customHeight="1">
      <c r="B23" s="8"/>
      <c r="C23" s="2" t="s">
        <v>47</v>
      </c>
      <c r="D23" s="2" t="s">
        <v>48</v>
      </c>
      <c r="N23" s="9"/>
    </row>
    <row r="24" spans="2:14" s="2" customFormat="1" ht="25.35" customHeight="1">
      <c r="B24" s="8"/>
      <c r="C24" s="2" t="s">
        <v>43</v>
      </c>
      <c r="D24" s="286" t="s">
        <v>676</v>
      </c>
      <c r="N24" s="9"/>
    </row>
    <row r="25" spans="2:14" s="2" customFormat="1" ht="25.35" customHeight="1">
      <c r="B25" s="8"/>
      <c r="C25" s="2" t="s">
        <v>44</v>
      </c>
      <c r="D25" s="2" t="s">
        <v>45</v>
      </c>
      <c r="N25" s="9"/>
    </row>
    <row r="26" spans="2:14" s="2" customFormat="1" ht="25.35" customHeight="1">
      <c r="B26" s="8"/>
      <c r="C26" s="2" t="s">
        <v>46</v>
      </c>
      <c r="D26" s="2" t="s">
        <v>49</v>
      </c>
      <c r="N26" s="9"/>
    </row>
    <row r="27" spans="2:14" s="2" customFormat="1" ht="25.35" customHeight="1">
      <c r="B27" s="8"/>
      <c r="C27" s="2" t="s">
        <v>50</v>
      </c>
      <c r="D27" s="2" t="s">
        <v>51</v>
      </c>
      <c r="N27" s="9"/>
    </row>
    <row r="28" spans="2:14" s="2" customFormat="1" ht="25.35" customHeight="1">
      <c r="B28" s="8"/>
      <c r="C28" s="2" t="s">
        <v>52</v>
      </c>
      <c r="D28" s="2" t="s">
        <v>53</v>
      </c>
      <c r="N28" s="9"/>
    </row>
    <row r="29" spans="2:14" s="2" customFormat="1" ht="25.35" customHeight="1">
      <c r="B29" s="8"/>
      <c r="C29" s="2" t="s">
        <v>54</v>
      </c>
      <c r="D29" s="2" t="s">
        <v>55</v>
      </c>
      <c r="N29" s="9"/>
    </row>
    <row r="30" spans="2:14" s="2" customFormat="1" ht="25.35" customHeight="1">
      <c r="B30" s="8"/>
      <c r="C30" s="2" t="s">
        <v>56</v>
      </c>
      <c r="D30" s="425" t="s">
        <v>704</v>
      </c>
      <c r="N30" s="9"/>
    </row>
    <row r="31" spans="2:14" s="2" customFormat="1" ht="25.35" customHeight="1">
      <c r="B31" s="8"/>
      <c r="C31" s="2" t="s">
        <v>58</v>
      </c>
      <c r="D31" s="2" t="s">
        <v>57</v>
      </c>
      <c r="N31" s="9"/>
    </row>
    <row r="32" spans="2:14" s="2" customFormat="1" ht="25.35" customHeight="1">
      <c r="B32" s="8"/>
      <c r="C32" s="2" t="s">
        <v>60</v>
      </c>
      <c r="D32" s="2" t="s">
        <v>59</v>
      </c>
      <c r="N32" s="9"/>
    </row>
    <row r="33" spans="2:14" s="2" customFormat="1" ht="25.35" customHeight="1">
      <c r="B33" s="8"/>
      <c r="C33" s="425" t="s">
        <v>61</v>
      </c>
      <c r="D33" s="2" t="s">
        <v>62</v>
      </c>
      <c r="N33" s="9"/>
    </row>
    <row r="34" spans="2:14" s="2" customFormat="1" ht="25.35" customHeight="1">
      <c r="B34" s="8"/>
      <c r="C34" s="425" t="s">
        <v>700</v>
      </c>
      <c r="D34" s="2" t="s">
        <v>64</v>
      </c>
      <c r="N34" s="9"/>
    </row>
    <row r="35" spans="2:14" s="2" customFormat="1" ht="25.35" customHeight="1">
      <c r="B35" s="8"/>
      <c r="C35" s="425" t="s">
        <v>701</v>
      </c>
      <c r="D35" s="2" t="s">
        <v>65</v>
      </c>
      <c r="N35" s="9"/>
    </row>
    <row r="36" spans="2:14" s="2" customFormat="1" ht="25.35" customHeight="1">
      <c r="B36" s="8"/>
      <c r="C36" s="425" t="s">
        <v>702</v>
      </c>
      <c r="D36" s="2" t="s">
        <v>66</v>
      </c>
      <c r="N36" s="9"/>
    </row>
    <row r="37" spans="2:14" s="2" customFormat="1" ht="25.35" customHeight="1">
      <c r="B37" s="8"/>
      <c r="C37" s="425" t="s">
        <v>703</v>
      </c>
      <c r="D37" s="2" t="s">
        <v>69</v>
      </c>
      <c r="N37" s="9"/>
    </row>
    <row r="38" spans="2:14" s="2" customFormat="1" ht="25.35" customHeight="1">
      <c r="B38" s="8"/>
      <c r="N38" s="9"/>
    </row>
    <row r="39" spans="2:14" s="2" customFormat="1" ht="25.35" customHeight="1">
      <c r="B39" s="8"/>
      <c r="N39" s="9"/>
    </row>
    <row r="40" spans="2:14" s="2" customFormat="1" ht="25.35" customHeight="1">
      <c r="B40" s="8"/>
      <c r="C40" s="286" t="s">
        <v>68</v>
      </c>
      <c r="D40" s="2" t="s">
        <v>71</v>
      </c>
      <c r="N40" s="9"/>
    </row>
    <row r="41" spans="2:14" s="2" customFormat="1" ht="25.35" customHeight="1">
      <c r="B41" s="8"/>
      <c r="C41" s="286" t="s">
        <v>70</v>
      </c>
      <c r="D41" s="2" t="s">
        <v>73</v>
      </c>
      <c r="N41" s="9"/>
    </row>
    <row r="42" spans="2:14" s="2" customFormat="1" ht="25.35" customHeight="1">
      <c r="B42" s="8"/>
      <c r="C42" s="286" t="s">
        <v>72</v>
      </c>
      <c r="D42" s="2" t="s">
        <v>75</v>
      </c>
      <c r="N42" s="9"/>
    </row>
    <row r="43" spans="2:14" s="2" customFormat="1" ht="25.35" customHeight="1">
      <c r="B43" s="8"/>
      <c r="N43" s="9"/>
    </row>
    <row r="44" spans="2:14" s="2" customFormat="1" ht="25.35" customHeight="1">
      <c r="B44" s="8"/>
      <c r="C44" s="284" t="s">
        <v>529</v>
      </c>
      <c r="D44" s="285"/>
      <c r="E44" s="285"/>
      <c r="F44" s="285"/>
      <c r="G44" s="285"/>
      <c r="H44" s="285"/>
      <c r="I44" s="285"/>
      <c r="J44" s="285"/>
      <c r="K44" s="285"/>
      <c r="L44" s="285"/>
      <c r="M44" s="285"/>
      <c r="N44" s="9"/>
    </row>
    <row r="45" spans="2:14" s="2" customFormat="1" ht="25.35" customHeight="1">
      <c r="B45" s="8"/>
      <c r="N45" s="9"/>
    </row>
    <row r="46" spans="2:14" s="2" customFormat="1" ht="25.35" customHeight="1">
      <c r="B46" s="8"/>
      <c r="C46" s="286" t="s">
        <v>530</v>
      </c>
      <c r="N46" s="9"/>
    </row>
    <row r="47" spans="2:14" s="2" customFormat="1" ht="30" customHeight="1" thickBo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2:14" s="2" customFormat="1" ht="30" customHeight="1"/>
    <row r="49" spans="3:13" s="42" customFormat="1" ht="13.2">
      <c r="C49" s="37" t="s">
        <v>77</v>
      </c>
      <c r="G49" s="43"/>
      <c r="M49" s="41" t="s">
        <v>82</v>
      </c>
    </row>
    <row r="50" spans="3:13" s="42" customFormat="1" ht="13.2">
      <c r="C50" s="38" t="s">
        <v>78</v>
      </c>
      <c r="G50" s="43"/>
    </row>
    <row r="51" spans="3:13" s="42" customFormat="1" ht="13.2">
      <c r="C51" s="38" t="s">
        <v>79</v>
      </c>
      <c r="G51" s="43"/>
    </row>
    <row r="52" spans="3:13" s="42" customFormat="1" ht="13.2">
      <c r="C52" s="38" t="s">
        <v>80</v>
      </c>
      <c r="G52" s="43"/>
    </row>
    <row r="53" spans="3:13" s="42" customFormat="1" ht="13.2">
      <c r="C53" s="38" t="s">
        <v>81</v>
      </c>
      <c r="G53" s="43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059" sheet="1" objects="1" scenarios="1"/>
  <mergeCells count="3">
    <mergeCell ref="M6:M7"/>
    <mergeCell ref="D13:M13"/>
    <mergeCell ref="D16:M16"/>
  </mergeCells>
  <phoneticPr fontId="24" type="noConversion"/>
  <pageMargins left="0.75000000000000011" right="0.75000000000000011" top="1" bottom="1" header="0.5" footer="0.5"/>
  <pageSetup paperSize="9" scale="55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111"/>
  <sheetViews>
    <sheetView zoomScale="55" zoomScaleNormal="55" workbookViewId="0">
      <selection activeCell="K46" sqref="K46"/>
    </sheetView>
  </sheetViews>
  <sheetFormatPr baseColWidth="10" defaultColWidth="10.90625" defaultRowHeight="23.1" customHeight="1"/>
  <cols>
    <col min="1" max="2" width="3.08984375" style="42" customWidth="1"/>
    <col min="3" max="3" width="9.54296875" style="42" customWidth="1"/>
    <col min="4" max="4" width="5.54296875" style="42" customWidth="1"/>
    <col min="5" max="5" width="69.90625" style="42" customWidth="1"/>
    <col min="6" max="8" width="18.08984375" style="90" customWidth="1"/>
    <col min="9" max="9" width="3.08984375" style="42" customWidth="1"/>
    <col min="10" max="16384" width="10.90625" style="42"/>
  </cols>
  <sheetData>
    <row r="1" spans="2:24" ht="23.1" customHeight="1">
      <c r="D1" s="44"/>
    </row>
    <row r="2" spans="2:24" ht="23.1" customHeight="1">
      <c r="D2" s="66" t="s">
        <v>379</v>
      </c>
    </row>
    <row r="3" spans="2:24" ht="23.1" customHeight="1">
      <c r="D3" s="66" t="s">
        <v>380</v>
      </c>
    </row>
    <row r="4" spans="2:24" ht="23.1" customHeight="1" thickBot="1"/>
    <row r="5" spans="2:24" ht="9" customHeight="1">
      <c r="B5" s="45"/>
      <c r="C5" s="46"/>
      <c r="D5" s="46"/>
      <c r="E5" s="46"/>
      <c r="F5" s="91"/>
      <c r="G5" s="91"/>
      <c r="H5" s="91"/>
      <c r="I5" s="47"/>
      <c r="K5" s="427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8"/>
      <c r="X5" s="429"/>
    </row>
    <row r="6" spans="2:24" ht="30" customHeight="1">
      <c r="B6" s="48"/>
      <c r="C6" s="1" t="s">
        <v>0</v>
      </c>
      <c r="D6" s="44"/>
      <c r="E6" s="44"/>
      <c r="F6" s="92"/>
      <c r="G6" s="92"/>
      <c r="H6" s="1111">
        <f>ejercicio</f>
        <v>2018</v>
      </c>
      <c r="I6" s="50"/>
      <c r="K6" s="430"/>
      <c r="L6" s="431" t="s">
        <v>707</v>
      </c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2"/>
      <c r="X6" s="433"/>
    </row>
    <row r="7" spans="2:24" ht="30" customHeight="1">
      <c r="B7" s="48"/>
      <c r="C7" s="1" t="s">
        <v>1</v>
      </c>
      <c r="D7" s="44"/>
      <c r="E7" s="44"/>
      <c r="F7" s="92"/>
      <c r="G7" s="92"/>
      <c r="H7" s="1111"/>
      <c r="I7" s="50"/>
      <c r="K7" s="430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3"/>
    </row>
    <row r="8" spans="2:24" ht="30" customHeight="1">
      <c r="B8" s="48"/>
      <c r="C8" s="49"/>
      <c r="D8" s="44"/>
      <c r="E8" s="44"/>
      <c r="F8" s="92"/>
      <c r="G8" s="92"/>
      <c r="H8" s="93"/>
      <c r="I8" s="50"/>
      <c r="K8" s="430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2"/>
      <c r="X8" s="433"/>
    </row>
    <row r="9" spans="2:24" s="60" customFormat="1" ht="30" customHeight="1">
      <c r="B9" s="58"/>
      <c r="C9" s="39" t="s">
        <v>2</v>
      </c>
      <c r="D9" s="1135" t="str">
        <f>Entidad</f>
        <v>SPET, Turismo de Tenerife, S.A.</v>
      </c>
      <c r="E9" s="1135"/>
      <c r="F9" s="1135"/>
      <c r="G9" s="1135"/>
      <c r="H9" s="1135"/>
      <c r="I9" s="59"/>
      <c r="K9" s="434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6"/>
    </row>
    <row r="10" spans="2:24" ht="7.35" customHeight="1">
      <c r="B10" s="48"/>
      <c r="C10" s="44"/>
      <c r="D10" s="44"/>
      <c r="E10" s="44"/>
      <c r="F10" s="92"/>
      <c r="G10" s="92"/>
      <c r="H10" s="92"/>
      <c r="I10" s="50"/>
      <c r="K10" s="430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3"/>
    </row>
    <row r="11" spans="2:24" s="62" customFormat="1" ht="30" customHeight="1">
      <c r="B11" s="24"/>
      <c r="C11" s="11" t="s">
        <v>321</v>
      </c>
      <c r="D11" s="11"/>
      <c r="E11" s="11"/>
      <c r="F11" s="94"/>
      <c r="G11" s="94"/>
      <c r="H11" s="94"/>
      <c r="I11" s="61"/>
      <c r="K11" s="437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8"/>
      <c r="X11" s="439"/>
    </row>
    <row r="12" spans="2:24" s="62" customFormat="1" ht="30" customHeight="1">
      <c r="B12" s="24"/>
      <c r="C12" s="68"/>
      <c r="D12" s="68"/>
      <c r="E12" s="68"/>
      <c r="F12" s="95"/>
      <c r="G12" s="95"/>
      <c r="H12" s="95"/>
      <c r="I12" s="61"/>
      <c r="K12" s="437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438"/>
      <c r="X12" s="439"/>
    </row>
    <row r="13" spans="2:24" ht="23.1" customHeight="1">
      <c r="B13" s="48"/>
      <c r="C13" s="401"/>
      <c r="D13" s="402"/>
      <c r="E13" s="402"/>
      <c r="F13" s="410" t="s">
        <v>183</v>
      </c>
      <c r="G13" s="410" t="s">
        <v>184</v>
      </c>
      <c r="H13" s="410" t="s">
        <v>185</v>
      </c>
      <c r="I13" s="50"/>
      <c r="K13" s="430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2"/>
      <c r="X13" s="433"/>
    </row>
    <row r="14" spans="2:24" ht="23.1" customHeight="1">
      <c r="B14" s="48"/>
      <c r="C14" s="408"/>
      <c r="D14" s="409"/>
      <c r="E14" s="409"/>
      <c r="F14" s="411">
        <f>ejercicio-2</f>
        <v>2016</v>
      </c>
      <c r="G14" s="411">
        <f>ejercicio-1</f>
        <v>2017</v>
      </c>
      <c r="H14" s="411">
        <f>ejercicio</f>
        <v>2018</v>
      </c>
      <c r="I14" s="50"/>
      <c r="K14" s="430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2"/>
      <c r="X14" s="433"/>
    </row>
    <row r="15" spans="2:24" ht="23.1" customHeight="1">
      <c r="B15" s="48"/>
      <c r="C15" s="403" t="s">
        <v>322</v>
      </c>
      <c r="D15" s="88"/>
      <c r="E15" s="87"/>
      <c r="F15" s="412"/>
      <c r="G15" s="412"/>
      <c r="H15" s="412"/>
      <c r="I15" s="50"/>
      <c r="K15" s="430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2"/>
      <c r="X15" s="433"/>
    </row>
    <row r="16" spans="2:24" ht="23.1" customHeight="1">
      <c r="B16" s="48"/>
      <c r="C16" s="404" t="s">
        <v>323</v>
      </c>
      <c r="D16" s="72"/>
      <c r="E16" s="71"/>
      <c r="F16" s="580">
        <f>'FC-3_CPyG'!E76</f>
        <v>-1899945.6699999995</v>
      </c>
      <c r="G16" s="580">
        <f>'FC-3_CPyG'!F76</f>
        <v>-2056196.0099999986</v>
      </c>
      <c r="H16" s="580">
        <f>'FC-3_CPyG'!G76</f>
        <v>-2075789.3400000003</v>
      </c>
      <c r="I16" s="50"/>
      <c r="K16" s="430"/>
      <c r="L16" s="432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2"/>
      <c r="X16" s="433"/>
    </row>
    <row r="17" spans="2:24" ht="23.1" customHeight="1">
      <c r="B17" s="48"/>
      <c r="C17" s="404" t="s">
        <v>324</v>
      </c>
      <c r="D17" s="72"/>
      <c r="E17" s="71"/>
      <c r="F17" s="413">
        <f>SUM(F18:F28)</f>
        <v>599397.18999999994</v>
      </c>
      <c r="G17" s="413">
        <f>SUM(G18:G28)</f>
        <v>76571.45</v>
      </c>
      <c r="H17" s="413">
        <f>SUM(H18:H28)</f>
        <v>43645.020000000004</v>
      </c>
      <c r="I17" s="50"/>
      <c r="K17" s="430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2"/>
      <c r="X17" s="433"/>
    </row>
    <row r="18" spans="2:24" ht="23.1" customHeight="1">
      <c r="B18" s="48"/>
      <c r="C18" s="405"/>
      <c r="D18" s="74" t="s">
        <v>325</v>
      </c>
      <c r="E18" s="74"/>
      <c r="F18" s="490">
        <v>100565.04</v>
      </c>
      <c r="G18" s="490">
        <v>82395.98</v>
      </c>
      <c r="H18" s="490">
        <v>49469.55</v>
      </c>
      <c r="I18" s="50"/>
      <c r="K18" s="430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2"/>
      <c r="X18" s="433"/>
    </row>
    <row r="19" spans="2:24" ht="23.1" customHeight="1">
      <c r="B19" s="48"/>
      <c r="C19" s="405"/>
      <c r="D19" s="74" t="s">
        <v>326</v>
      </c>
      <c r="E19" s="74"/>
      <c r="F19" s="490">
        <v>368000</v>
      </c>
      <c r="G19" s="490">
        <v>0</v>
      </c>
      <c r="H19" s="490">
        <v>0</v>
      </c>
      <c r="I19" s="50"/>
      <c r="K19" s="430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2"/>
      <c r="X19" s="433"/>
    </row>
    <row r="20" spans="2:24" ht="23.1" customHeight="1">
      <c r="B20" s="48"/>
      <c r="C20" s="405"/>
      <c r="D20" s="74" t="s">
        <v>327</v>
      </c>
      <c r="E20" s="74"/>
      <c r="F20" s="490"/>
      <c r="G20" s="490"/>
      <c r="H20" s="490"/>
      <c r="I20" s="50"/>
      <c r="K20" s="430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3"/>
    </row>
    <row r="21" spans="2:24" ht="23.1" customHeight="1">
      <c r="B21" s="48"/>
      <c r="C21" s="405"/>
      <c r="D21" s="74" t="s">
        <v>328</v>
      </c>
      <c r="E21" s="74"/>
      <c r="F21" s="490">
        <v>-5840.5</v>
      </c>
      <c r="G21" s="490">
        <v>-5824.53</v>
      </c>
      <c r="H21" s="490">
        <v>-5824.53</v>
      </c>
      <c r="I21" s="50"/>
      <c r="K21" s="430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2"/>
      <c r="X21" s="433"/>
    </row>
    <row r="22" spans="2:24" ht="23.1" customHeight="1">
      <c r="B22" s="48"/>
      <c r="C22" s="405"/>
      <c r="D22" s="74" t="s">
        <v>329</v>
      </c>
      <c r="E22" s="74"/>
      <c r="F22" s="490">
        <v>111500</v>
      </c>
      <c r="G22" s="490">
        <v>0</v>
      </c>
      <c r="H22" s="490">
        <v>0</v>
      </c>
      <c r="I22" s="50"/>
      <c r="K22" s="430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2"/>
      <c r="X22" s="433"/>
    </row>
    <row r="23" spans="2:24" ht="23.1" customHeight="1">
      <c r="B23" s="48"/>
      <c r="C23" s="405"/>
      <c r="D23" s="74" t="s">
        <v>330</v>
      </c>
      <c r="E23" s="74"/>
      <c r="F23" s="490"/>
      <c r="G23" s="490"/>
      <c r="H23" s="490"/>
      <c r="I23" s="50"/>
      <c r="K23" s="430"/>
      <c r="L23" s="432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2"/>
      <c r="X23" s="433"/>
    </row>
    <row r="24" spans="2:24" ht="23.1" customHeight="1">
      <c r="B24" s="48"/>
      <c r="C24" s="405"/>
      <c r="D24" s="74" t="s">
        <v>331</v>
      </c>
      <c r="E24" s="74"/>
      <c r="F24" s="490">
        <v>-1539.43</v>
      </c>
      <c r="G24" s="490">
        <v>-3000</v>
      </c>
      <c r="H24" s="490">
        <v>-3000</v>
      </c>
      <c r="I24" s="50"/>
      <c r="K24" s="430"/>
      <c r="L24" s="432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2"/>
      <c r="X24" s="433"/>
    </row>
    <row r="25" spans="2:24" ht="23.1" customHeight="1">
      <c r="B25" s="48"/>
      <c r="C25" s="405"/>
      <c r="D25" s="74" t="s">
        <v>332</v>
      </c>
      <c r="E25" s="74"/>
      <c r="F25" s="490">
        <v>2135.1</v>
      </c>
      <c r="G25" s="490">
        <v>3000</v>
      </c>
      <c r="H25" s="490">
        <v>3000</v>
      </c>
      <c r="I25" s="50"/>
      <c r="K25" s="430"/>
      <c r="L25" s="432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2"/>
      <c r="X25" s="433"/>
    </row>
    <row r="26" spans="2:24" ht="23.1" customHeight="1">
      <c r="B26" s="48"/>
      <c r="C26" s="405"/>
      <c r="D26" s="74" t="s">
        <v>333</v>
      </c>
      <c r="E26" s="74"/>
      <c r="F26" s="490">
        <v>-2168.14</v>
      </c>
      <c r="G26" s="490">
        <v>0</v>
      </c>
      <c r="H26" s="490">
        <v>0</v>
      </c>
      <c r="I26" s="50"/>
      <c r="K26" s="430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2"/>
      <c r="X26" s="433"/>
    </row>
    <row r="27" spans="2:24" ht="23.1" customHeight="1">
      <c r="B27" s="48"/>
      <c r="C27" s="405"/>
      <c r="D27" s="74" t="s">
        <v>334</v>
      </c>
      <c r="E27" s="74"/>
      <c r="F27" s="490"/>
      <c r="G27" s="490"/>
      <c r="H27" s="490"/>
      <c r="I27" s="50"/>
      <c r="K27" s="430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2"/>
      <c r="X27" s="433"/>
    </row>
    <row r="28" spans="2:24" ht="23.1" customHeight="1">
      <c r="B28" s="48"/>
      <c r="C28" s="405"/>
      <c r="D28" s="74" t="s">
        <v>335</v>
      </c>
      <c r="E28" s="74"/>
      <c r="F28" s="490">
        <v>26745.119999999999</v>
      </c>
      <c r="G28" s="490"/>
      <c r="H28" s="490"/>
      <c r="I28" s="50"/>
      <c r="K28" s="430"/>
      <c r="L28" s="432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2"/>
      <c r="X28" s="433"/>
    </row>
    <row r="29" spans="2:24" ht="23.1" customHeight="1">
      <c r="B29" s="48"/>
      <c r="C29" s="404" t="s">
        <v>336</v>
      </c>
      <c r="D29" s="72"/>
      <c r="E29" s="71"/>
      <c r="F29" s="413">
        <f>SUM(F30:F35)</f>
        <v>391750.61000000004</v>
      </c>
      <c r="G29" s="413">
        <f>SUM(G30:G35)</f>
        <v>-845298.17000000027</v>
      </c>
      <c r="H29" s="413">
        <f>SUM(H30:H35)</f>
        <v>-19876.719999999739</v>
      </c>
      <c r="I29" s="50"/>
      <c r="K29" s="430"/>
      <c r="L29" s="432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2"/>
      <c r="X29" s="433"/>
    </row>
    <row r="30" spans="2:24" ht="23.1" customHeight="1">
      <c r="B30" s="48"/>
      <c r="C30" s="405"/>
      <c r="D30" s="74" t="s">
        <v>337</v>
      </c>
      <c r="E30" s="74"/>
      <c r="F30" s="490">
        <v>5762.52</v>
      </c>
      <c r="G30" s="490">
        <v>0</v>
      </c>
      <c r="H30" s="490">
        <v>0</v>
      </c>
      <c r="I30" s="50"/>
      <c r="K30" s="440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442"/>
    </row>
    <row r="31" spans="2:24" ht="23.1" customHeight="1">
      <c r="B31" s="48"/>
      <c r="C31" s="405"/>
      <c r="D31" s="74" t="s">
        <v>338</v>
      </c>
      <c r="E31" s="74"/>
      <c r="F31" s="490">
        <v>685212.13</v>
      </c>
      <c r="G31" s="490">
        <f>4447896.01-3319131.83</f>
        <v>1128764.1799999997</v>
      </c>
      <c r="H31" s="490">
        <v>198283.45000000019</v>
      </c>
      <c r="I31" s="50"/>
      <c r="K31" s="440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2"/>
    </row>
    <row r="32" spans="2:24" ht="23.1" customHeight="1">
      <c r="B32" s="48"/>
      <c r="C32" s="405"/>
      <c r="D32" s="74" t="s">
        <v>339</v>
      </c>
      <c r="E32" s="74"/>
      <c r="F32" s="490">
        <v>206171.53</v>
      </c>
      <c r="G32" s="490">
        <v>-214111.15</v>
      </c>
      <c r="H32" s="490">
        <v>0</v>
      </c>
      <c r="I32" s="50"/>
      <c r="K32" s="430"/>
      <c r="L32" s="432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432"/>
      <c r="X32" s="433"/>
    </row>
    <row r="33" spans="2:24" ht="23.1" customHeight="1">
      <c r="B33" s="48"/>
      <c r="C33" s="405"/>
      <c r="D33" s="74" t="s">
        <v>340</v>
      </c>
      <c r="E33" s="74"/>
      <c r="F33" s="490">
        <v>-505395.57</v>
      </c>
      <c r="G33" s="490">
        <f>-1750155.17-84796.03</f>
        <v>-1834951.2</v>
      </c>
      <c r="H33" s="490">
        <v>-218160.16999999993</v>
      </c>
      <c r="I33" s="50"/>
      <c r="K33" s="430"/>
      <c r="L33" s="432"/>
      <c r="M33" s="432"/>
      <c r="N33" s="432"/>
      <c r="O33" s="432"/>
      <c r="P33" s="432"/>
      <c r="Q33" s="432"/>
      <c r="R33" s="432"/>
      <c r="S33" s="432"/>
      <c r="T33" s="432"/>
      <c r="U33" s="432"/>
      <c r="V33" s="432"/>
      <c r="W33" s="432"/>
      <c r="X33" s="433"/>
    </row>
    <row r="34" spans="2:24" ht="23.1" customHeight="1">
      <c r="B34" s="48"/>
      <c r="C34" s="405"/>
      <c r="D34" s="74" t="s">
        <v>341</v>
      </c>
      <c r="E34" s="74"/>
      <c r="F34" s="490"/>
      <c r="G34" s="490">
        <v>75000</v>
      </c>
      <c r="H34" s="490">
        <v>0</v>
      </c>
      <c r="I34" s="50"/>
      <c r="K34" s="430"/>
      <c r="L34" s="432"/>
      <c r="M34" s="432"/>
      <c r="N34" s="432"/>
      <c r="O34" s="432"/>
      <c r="P34" s="432"/>
      <c r="Q34" s="432"/>
      <c r="R34" s="432"/>
      <c r="S34" s="432"/>
      <c r="T34" s="432"/>
      <c r="U34" s="432"/>
      <c r="V34" s="432"/>
      <c r="W34" s="432"/>
      <c r="X34" s="433"/>
    </row>
    <row r="35" spans="2:24" ht="23.1" customHeight="1">
      <c r="B35" s="48"/>
      <c r="C35" s="405"/>
      <c r="D35" s="74" t="s">
        <v>342</v>
      </c>
      <c r="E35" s="74"/>
      <c r="F35" s="490"/>
      <c r="G35" s="490"/>
      <c r="H35" s="490"/>
      <c r="I35" s="50"/>
      <c r="K35" s="430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2"/>
      <c r="X35" s="433"/>
    </row>
    <row r="36" spans="2:24" ht="23.1" customHeight="1">
      <c r="B36" s="48"/>
      <c r="C36" s="404" t="s">
        <v>343</v>
      </c>
      <c r="D36" s="72"/>
      <c r="E36" s="71"/>
      <c r="F36" s="413">
        <f>SUM(F37:F41)</f>
        <v>24902.280000000002</v>
      </c>
      <c r="G36" s="413">
        <f>SUM(G37:G41)</f>
        <v>0</v>
      </c>
      <c r="H36" s="413">
        <f>SUM(H37:H41)</f>
        <v>0</v>
      </c>
      <c r="I36" s="50"/>
      <c r="K36" s="443"/>
      <c r="L36" s="444"/>
      <c r="M36" s="444"/>
      <c r="N36" s="444"/>
      <c r="O36" s="444"/>
      <c r="P36" s="444"/>
      <c r="Q36" s="444"/>
      <c r="R36" s="444"/>
      <c r="S36" s="444"/>
      <c r="T36" s="444"/>
      <c r="U36" s="444"/>
      <c r="V36" s="444"/>
      <c r="W36" s="444"/>
      <c r="X36" s="445"/>
    </row>
    <row r="37" spans="2:24" ht="23.1" customHeight="1">
      <c r="B37" s="48"/>
      <c r="C37" s="405"/>
      <c r="D37" s="74" t="s">
        <v>344</v>
      </c>
      <c r="E37" s="74"/>
      <c r="F37" s="490">
        <v>-2135.1</v>
      </c>
      <c r="G37" s="490">
        <v>-3000</v>
      </c>
      <c r="H37" s="490">
        <v>-3000</v>
      </c>
      <c r="I37" s="50"/>
      <c r="K37" s="443"/>
      <c r="L37" s="444"/>
      <c r="M37" s="444"/>
      <c r="N37" s="444"/>
      <c r="O37" s="444"/>
      <c r="P37" s="444"/>
      <c r="Q37" s="444"/>
      <c r="R37" s="444"/>
      <c r="S37" s="444"/>
      <c r="T37" s="444"/>
      <c r="U37" s="444"/>
      <c r="V37" s="444"/>
      <c r="W37" s="444"/>
      <c r="X37" s="445"/>
    </row>
    <row r="38" spans="2:24" ht="23.1" customHeight="1">
      <c r="B38" s="48"/>
      <c r="C38" s="405"/>
      <c r="D38" s="74" t="s">
        <v>345</v>
      </c>
      <c r="E38" s="74"/>
      <c r="F38" s="490">
        <v>1539.43</v>
      </c>
      <c r="G38" s="490">
        <v>3000</v>
      </c>
      <c r="H38" s="490">
        <v>3000</v>
      </c>
      <c r="I38" s="50"/>
      <c r="K38" s="443"/>
      <c r="L38" s="444"/>
      <c r="M38" s="444"/>
      <c r="N38" s="444"/>
      <c r="O38" s="444"/>
      <c r="P38" s="444"/>
      <c r="Q38" s="444"/>
      <c r="R38" s="444"/>
      <c r="S38" s="444"/>
      <c r="T38" s="444"/>
      <c r="U38" s="444"/>
      <c r="V38" s="444"/>
      <c r="W38" s="444"/>
      <c r="X38" s="445"/>
    </row>
    <row r="39" spans="2:24" ht="23.1" customHeight="1">
      <c r="B39" s="48"/>
      <c r="C39" s="405"/>
      <c r="D39" s="74" t="s">
        <v>346</v>
      </c>
      <c r="E39" s="74"/>
      <c r="F39" s="490">
        <v>25497.95</v>
      </c>
      <c r="G39" s="490"/>
      <c r="H39" s="490"/>
      <c r="I39" s="50"/>
      <c r="K39" s="443"/>
      <c r="L39" s="444"/>
      <c r="M39" s="444"/>
      <c r="N39" s="444"/>
      <c r="O39" s="444"/>
      <c r="P39" s="444"/>
      <c r="Q39" s="444"/>
      <c r="R39" s="444"/>
      <c r="S39" s="444"/>
      <c r="T39" s="444"/>
      <c r="U39" s="444"/>
      <c r="V39" s="444"/>
      <c r="W39" s="444"/>
      <c r="X39" s="445"/>
    </row>
    <row r="40" spans="2:24" ht="23.1" customHeight="1">
      <c r="B40" s="48"/>
      <c r="C40" s="405"/>
      <c r="D40" s="74" t="s">
        <v>347</v>
      </c>
      <c r="E40" s="74"/>
      <c r="F40" s="490"/>
      <c r="G40" s="490"/>
      <c r="H40" s="490"/>
      <c r="I40" s="50"/>
      <c r="K40" s="443"/>
      <c r="L40" s="444"/>
      <c r="M40" s="444"/>
      <c r="N40" s="444"/>
      <c r="O40" s="444"/>
      <c r="P40" s="444"/>
      <c r="Q40" s="444"/>
      <c r="R40" s="444"/>
      <c r="S40" s="444"/>
      <c r="T40" s="444"/>
      <c r="U40" s="444"/>
      <c r="V40" s="444"/>
      <c r="W40" s="444"/>
      <c r="X40" s="445"/>
    </row>
    <row r="41" spans="2:24" ht="23.1" customHeight="1">
      <c r="B41" s="48"/>
      <c r="C41" s="405"/>
      <c r="D41" s="74" t="s">
        <v>348</v>
      </c>
      <c r="E41" s="74"/>
      <c r="F41" s="490"/>
      <c r="G41" s="490"/>
      <c r="H41" s="490"/>
      <c r="I41" s="50"/>
      <c r="K41" s="443"/>
      <c r="L41" s="444"/>
      <c r="M41" s="444"/>
      <c r="N41" s="444"/>
      <c r="O41" s="444"/>
      <c r="P41" s="444"/>
      <c r="Q41" s="444"/>
      <c r="R41" s="444"/>
      <c r="S41" s="444"/>
      <c r="T41" s="444"/>
      <c r="U41" s="444"/>
      <c r="V41" s="444"/>
      <c r="W41" s="444"/>
      <c r="X41" s="445"/>
    </row>
    <row r="42" spans="2:24" ht="23.1" customHeight="1" thickBot="1">
      <c r="B42" s="48"/>
      <c r="C42" s="406" t="s">
        <v>349</v>
      </c>
      <c r="D42" s="85"/>
      <c r="E42" s="85"/>
      <c r="F42" s="415">
        <f>F16+F17+F29+F36</f>
        <v>-883895.58999999939</v>
      </c>
      <c r="G42" s="415">
        <f>G16+G17+G29+G36</f>
        <v>-2824922.7299999991</v>
      </c>
      <c r="H42" s="415">
        <f>H16+H17+H29+H36</f>
        <v>-2052021.04</v>
      </c>
      <c r="I42" s="50"/>
      <c r="K42" s="443"/>
      <c r="L42" s="444"/>
      <c r="M42" s="444"/>
      <c r="N42" s="444"/>
      <c r="O42" s="444"/>
      <c r="P42" s="444"/>
      <c r="Q42" s="444"/>
      <c r="R42" s="444"/>
      <c r="S42" s="444"/>
      <c r="T42" s="444"/>
      <c r="U42" s="444"/>
      <c r="V42" s="444"/>
      <c r="W42" s="444"/>
      <c r="X42" s="445"/>
    </row>
    <row r="43" spans="2:24" ht="23.1" customHeight="1">
      <c r="B43" s="48"/>
      <c r="C43" s="405"/>
      <c r="D43" s="64"/>
      <c r="E43" s="64"/>
      <c r="F43" s="412"/>
      <c r="G43" s="412"/>
      <c r="H43" s="412"/>
      <c r="I43" s="50"/>
      <c r="K43" s="443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4"/>
      <c r="X43" s="445"/>
    </row>
    <row r="44" spans="2:24" ht="23.1" customHeight="1">
      <c r="B44" s="48"/>
      <c r="C44" s="403" t="s">
        <v>350</v>
      </c>
      <c r="D44" s="88"/>
      <c r="E44" s="87"/>
      <c r="F44" s="412"/>
      <c r="G44" s="412"/>
      <c r="H44" s="412"/>
      <c r="I44" s="50"/>
      <c r="K44" s="443"/>
      <c r="L44" s="444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4"/>
      <c r="X44" s="445"/>
    </row>
    <row r="45" spans="2:24" ht="23.1" customHeight="1">
      <c r="B45" s="48"/>
      <c r="C45" s="404" t="s">
        <v>351</v>
      </c>
      <c r="D45" s="72"/>
      <c r="E45" s="71"/>
      <c r="F45" s="413">
        <f>SUM(F46:F53)</f>
        <v>-11807.35</v>
      </c>
      <c r="G45" s="413">
        <f>SUM(G46:G53)</f>
        <v>0</v>
      </c>
      <c r="H45" s="413">
        <f>SUM(H46:H53)</f>
        <v>0</v>
      </c>
      <c r="I45" s="50"/>
      <c r="K45" s="443"/>
      <c r="L45" s="444"/>
      <c r="M45" s="444"/>
      <c r="N45" s="444"/>
      <c r="O45" s="444"/>
      <c r="P45" s="444"/>
      <c r="Q45" s="444"/>
      <c r="R45" s="444"/>
      <c r="S45" s="444"/>
      <c r="T45" s="444"/>
      <c r="U45" s="444"/>
      <c r="V45" s="444"/>
      <c r="W45" s="444"/>
      <c r="X45" s="445"/>
    </row>
    <row r="46" spans="2:24" ht="23.1" customHeight="1">
      <c r="B46" s="48"/>
      <c r="C46" s="405"/>
      <c r="D46" s="74" t="s">
        <v>352</v>
      </c>
      <c r="E46" s="74"/>
      <c r="F46" s="490"/>
      <c r="G46" s="490"/>
      <c r="H46" s="490"/>
      <c r="I46" s="50"/>
      <c r="K46" s="443"/>
      <c r="L46" s="444"/>
      <c r="M46" s="444"/>
      <c r="N46" s="444"/>
      <c r="O46" s="444"/>
      <c r="P46" s="444"/>
      <c r="Q46" s="444"/>
      <c r="R46" s="444"/>
      <c r="S46" s="444"/>
      <c r="T46" s="444"/>
      <c r="U46" s="444"/>
      <c r="V46" s="444"/>
      <c r="W46" s="444"/>
      <c r="X46" s="445"/>
    </row>
    <row r="47" spans="2:24" ht="23.1" customHeight="1">
      <c r="B47" s="48"/>
      <c r="C47" s="405"/>
      <c r="D47" s="74" t="s">
        <v>353</v>
      </c>
      <c r="E47" s="74"/>
      <c r="F47" s="490">
        <v>-2400</v>
      </c>
      <c r="G47" s="490"/>
      <c r="H47" s="490"/>
      <c r="I47" s="50"/>
      <c r="K47" s="443"/>
      <c r="L47" s="444"/>
      <c r="M47" s="444"/>
      <c r="N47" s="444"/>
      <c r="O47" s="444"/>
      <c r="P47" s="444"/>
      <c r="Q47" s="444"/>
      <c r="R47" s="444"/>
      <c r="S47" s="444"/>
      <c r="T47" s="444"/>
      <c r="U47" s="444"/>
      <c r="V47" s="444"/>
      <c r="W47" s="444"/>
      <c r="X47" s="445"/>
    </row>
    <row r="48" spans="2:24" ht="23.1" customHeight="1">
      <c r="B48" s="48"/>
      <c r="C48" s="405"/>
      <c r="D48" s="74" t="s">
        <v>354</v>
      </c>
      <c r="E48" s="74"/>
      <c r="F48" s="490">
        <v>-9407.35</v>
      </c>
      <c r="G48" s="490"/>
      <c r="H48" s="490"/>
      <c r="I48" s="50"/>
      <c r="K48" s="443"/>
      <c r="L48" s="444"/>
      <c r="M48" s="444"/>
      <c r="N48" s="444"/>
      <c r="O48" s="444"/>
      <c r="P48" s="444"/>
      <c r="Q48" s="444"/>
      <c r="R48" s="444"/>
      <c r="S48" s="444"/>
      <c r="T48" s="444"/>
      <c r="U48" s="444"/>
      <c r="V48" s="444"/>
      <c r="W48" s="444"/>
      <c r="X48" s="445"/>
    </row>
    <row r="49" spans="2:24" ht="23.1" customHeight="1">
      <c r="B49" s="48"/>
      <c r="C49" s="405"/>
      <c r="D49" s="74" t="s">
        <v>355</v>
      </c>
      <c r="E49" s="74"/>
      <c r="F49" s="490"/>
      <c r="G49" s="490"/>
      <c r="H49" s="490"/>
      <c r="I49" s="50"/>
      <c r="K49" s="443"/>
      <c r="L49" s="444"/>
      <c r="M49" s="444"/>
      <c r="N49" s="444"/>
      <c r="O49" s="444"/>
      <c r="P49" s="444"/>
      <c r="Q49" s="444"/>
      <c r="R49" s="444"/>
      <c r="S49" s="444"/>
      <c r="T49" s="444"/>
      <c r="U49" s="444"/>
      <c r="V49" s="444"/>
      <c r="W49" s="444"/>
      <c r="X49" s="445"/>
    </row>
    <row r="50" spans="2:24" ht="23.1" customHeight="1">
      <c r="B50" s="48"/>
      <c r="C50" s="405"/>
      <c r="D50" s="74" t="s">
        <v>356</v>
      </c>
      <c r="E50" s="74"/>
      <c r="F50" s="490"/>
      <c r="G50" s="490"/>
      <c r="H50" s="490"/>
      <c r="I50" s="50"/>
      <c r="K50" s="443"/>
      <c r="L50" s="444"/>
      <c r="M50" s="444"/>
      <c r="N50" s="444"/>
      <c r="O50" s="444"/>
      <c r="P50" s="444"/>
      <c r="Q50" s="444"/>
      <c r="R50" s="444"/>
      <c r="S50" s="444"/>
      <c r="T50" s="444"/>
      <c r="U50" s="444"/>
      <c r="V50" s="444"/>
      <c r="W50" s="444"/>
      <c r="X50" s="445"/>
    </row>
    <row r="51" spans="2:24" ht="23.1" customHeight="1">
      <c r="B51" s="48"/>
      <c r="C51" s="405"/>
      <c r="D51" s="74" t="s">
        <v>357</v>
      </c>
      <c r="E51" s="74"/>
      <c r="F51" s="490"/>
      <c r="G51" s="490"/>
      <c r="H51" s="490"/>
      <c r="I51" s="50"/>
      <c r="K51" s="443"/>
      <c r="L51" s="444"/>
      <c r="M51" s="444"/>
      <c r="N51" s="444"/>
      <c r="O51" s="444"/>
      <c r="P51" s="444"/>
      <c r="Q51" s="444"/>
      <c r="R51" s="444"/>
      <c r="S51" s="444"/>
      <c r="T51" s="444"/>
      <c r="U51" s="444"/>
      <c r="V51" s="444"/>
      <c r="W51" s="444"/>
      <c r="X51" s="445"/>
    </row>
    <row r="52" spans="2:24" s="77" customFormat="1" ht="23.1" customHeight="1">
      <c r="B52" s="24"/>
      <c r="C52" s="405"/>
      <c r="D52" s="74" t="s">
        <v>383</v>
      </c>
      <c r="E52" s="74"/>
      <c r="F52" s="490"/>
      <c r="G52" s="490"/>
      <c r="H52" s="490"/>
      <c r="I52" s="61"/>
      <c r="K52" s="443"/>
      <c r="L52" s="444"/>
      <c r="M52" s="444"/>
      <c r="N52" s="444"/>
      <c r="O52" s="444"/>
      <c r="P52" s="444"/>
      <c r="Q52" s="444"/>
      <c r="R52" s="444"/>
      <c r="S52" s="444"/>
      <c r="T52" s="444"/>
      <c r="U52" s="444"/>
      <c r="V52" s="444"/>
      <c r="W52" s="444"/>
      <c r="X52" s="445"/>
    </row>
    <row r="53" spans="2:24" ht="23.1" customHeight="1">
      <c r="B53" s="48"/>
      <c r="C53" s="405"/>
      <c r="D53" s="74" t="s">
        <v>384</v>
      </c>
      <c r="E53" s="74"/>
      <c r="F53" s="490"/>
      <c r="G53" s="490"/>
      <c r="H53" s="490"/>
      <c r="I53" s="50"/>
      <c r="K53" s="443"/>
      <c r="L53" s="444"/>
      <c r="M53" s="444"/>
      <c r="N53" s="444"/>
      <c r="O53" s="444"/>
      <c r="P53" s="444"/>
      <c r="Q53" s="444"/>
      <c r="R53" s="444"/>
      <c r="S53" s="444"/>
      <c r="T53" s="444"/>
      <c r="U53" s="444"/>
      <c r="V53" s="444"/>
      <c r="W53" s="444"/>
      <c r="X53" s="445"/>
    </row>
    <row r="54" spans="2:24" ht="23.1" customHeight="1">
      <c r="B54" s="48"/>
      <c r="C54" s="404" t="s">
        <v>358</v>
      </c>
      <c r="D54" s="72"/>
      <c r="E54" s="71"/>
      <c r="F54" s="413">
        <f>SUM(F55:F62)</f>
        <v>887.57</v>
      </c>
      <c r="G54" s="413">
        <f>SUM(G55:G62)</f>
        <v>0</v>
      </c>
      <c r="H54" s="413">
        <f>SUM(H55:H62)</f>
        <v>0</v>
      </c>
      <c r="I54" s="50"/>
      <c r="K54" s="443"/>
      <c r="L54" s="444"/>
      <c r="M54" s="444"/>
      <c r="N54" s="444"/>
      <c r="O54" s="444"/>
      <c r="P54" s="444"/>
      <c r="Q54" s="444"/>
      <c r="R54" s="444"/>
      <c r="S54" s="444"/>
      <c r="T54" s="444"/>
      <c r="U54" s="444"/>
      <c r="V54" s="444"/>
      <c r="W54" s="444"/>
      <c r="X54" s="445"/>
    </row>
    <row r="55" spans="2:24" ht="23.1" customHeight="1">
      <c r="B55" s="48"/>
      <c r="C55" s="405"/>
      <c r="D55" s="74" t="s">
        <v>352</v>
      </c>
      <c r="E55" s="74"/>
      <c r="F55" s="490"/>
      <c r="G55" s="490"/>
      <c r="H55" s="490"/>
      <c r="I55" s="50"/>
      <c r="K55" s="443"/>
      <c r="L55" s="444"/>
      <c r="M55" s="444"/>
      <c r="N55" s="444"/>
      <c r="O55" s="444"/>
      <c r="P55" s="444"/>
      <c r="Q55" s="444"/>
      <c r="R55" s="444"/>
      <c r="S55" s="444"/>
      <c r="T55" s="444"/>
      <c r="U55" s="444"/>
      <c r="V55" s="444"/>
      <c r="W55" s="444"/>
      <c r="X55" s="445"/>
    </row>
    <row r="56" spans="2:24" ht="23.1" customHeight="1">
      <c r="B56" s="48"/>
      <c r="C56" s="405"/>
      <c r="D56" s="74" t="s">
        <v>353</v>
      </c>
      <c r="E56" s="74"/>
      <c r="F56" s="490"/>
      <c r="G56" s="490"/>
      <c r="H56" s="490"/>
      <c r="I56" s="50"/>
      <c r="K56" s="443"/>
      <c r="L56" s="444"/>
      <c r="M56" s="444"/>
      <c r="N56" s="444"/>
      <c r="O56" s="444"/>
      <c r="P56" s="444"/>
      <c r="Q56" s="444"/>
      <c r="R56" s="444"/>
      <c r="S56" s="444"/>
      <c r="T56" s="444"/>
      <c r="U56" s="444"/>
      <c r="V56" s="444"/>
      <c r="W56" s="444"/>
      <c r="X56" s="445"/>
    </row>
    <row r="57" spans="2:24" ht="23.1" customHeight="1">
      <c r="B57" s="48"/>
      <c r="C57" s="405"/>
      <c r="D57" s="74" t="s">
        <v>354</v>
      </c>
      <c r="E57" s="74"/>
      <c r="F57" s="490"/>
      <c r="G57" s="490"/>
      <c r="H57" s="490"/>
      <c r="I57" s="50"/>
      <c r="K57" s="443"/>
      <c r="L57" s="444"/>
      <c r="M57" s="444"/>
      <c r="N57" s="444"/>
      <c r="O57" s="444"/>
      <c r="P57" s="444"/>
      <c r="Q57" s="444"/>
      <c r="R57" s="444"/>
      <c r="S57" s="444"/>
      <c r="T57" s="444"/>
      <c r="U57" s="444"/>
      <c r="V57" s="444"/>
      <c r="W57" s="444"/>
      <c r="X57" s="445"/>
    </row>
    <row r="58" spans="2:24" ht="23.1" customHeight="1">
      <c r="B58" s="48"/>
      <c r="C58" s="405"/>
      <c r="D58" s="74" t="s">
        <v>355</v>
      </c>
      <c r="E58" s="74"/>
      <c r="F58" s="490"/>
      <c r="G58" s="490"/>
      <c r="H58" s="490"/>
      <c r="I58" s="50"/>
      <c r="K58" s="443"/>
      <c r="L58" s="444"/>
      <c r="M58" s="444"/>
      <c r="N58" s="444"/>
      <c r="O58" s="444"/>
      <c r="P58" s="444"/>
      <c r="Q58" s="444"/>
      <c r="R58" s="444"/>
      <c r="S58" s="444"/>
      <c r="T58" s="444"/>
      <c r="U58" s="444"/>
      <c r="V58" s="444"/>
      <c r="W58" s="444"/>
      <c r="X58" s="445"/>
    </row>
    <row r="59" spans="2:24" ht="23.1" customHeight="1">
      <c r="B59" s="48"/>
      <c r="C59" s="405"/>
      <c r="D59" s="74" t="s">
        <v>356</v>
      </c>
      <c r="E59" s="74"/>
      <c r="F59" s="490">
        <v>887.57</v>
      </c>
      <c r="G59" s="490"/>
      <c r="H59" s="490"/>
      <c r="I59" s="50"/>
      <c r="K59" s="443"/>
      <c r="L59" s="444"/>
      <c r="M59" s="444"/>
      <c r="N59" s="444"/>
      <c r="O59" s="444"/>
      <c r="P59" s="444"/>
      <c r="Q59" s="444"/>
      <c r="R59" s="444"/>
      <c r="S59" s="444"/>
      <c r="T59" s="444"/>
      <c r="U59" s="444"/>
      <c r="V59" s="444"/>
      <c r="W59" s="444"/>
      <c r="X59" s="445"/>
    </row>
    <row r="60" spans="2:24" ht="23.1" customHeight="1">
      <c r="B60" s="48"/>
      <c r="C60" s="405"/>
      <c r="D60" s="74" t="s">
        <v>357</v>
      </c>
      <c r="E60" s="74"/>
      <c r="F60" s="490"/>
      <c r="G60" s="490"/>
      <c r="H60" s="490"/>
      <c r="I60" s="50"/>
      <c r="K60" s="443"/>
      <c r="L60" s="444"/>
      <c r="M60" s="444"/>
      <c r="N60" s="444"/>
      <c r="O60" s="444"/>
      <c r="P60" s="444"/>
      <c r="Q60" s="444"/>
      <c r="R60" s="444"/>
      <c r="S60" s="444"/>
      <c r="T60" s="444"/>
      <c r="U60" s="444"/>
      <c r="V60" s="444"/>
      <c r="W60" s="444"/>
      <c r="X60" s="445"/>
    </row>
    <row r="61" spans="2:24" ht="23.1" customHeight="1">
      <c r="B61" s="48"/>
      <c r="C61" s="405"/>
      <c r="D61" s="74" t="s">
        <v>383</v>
      </c>
      <c r="E61" s="74"/>
      <c r="F61" s="490"/>
      <c r="G61" s="490"/>
      <c r="H61" s="490"/>
      <c r="I61" s="50"/>
      <c r="K61" s="443"/>
      <c r="L61" s="444"/>
      <c r="M61" s="444"/>
      <c r="N61" s="444"/>
      <c r="O61" s="444"/>
      <c r="P61" s="444"/>
      <c r="Q61" s="444"/>
      <c r="R61" s="444"/>
      <c r="S61" s="444"/>
      <c r="T61" s="444"/>
      <c r="U61" s="444"/>
      <c r="V61" s="444"/>
      <c r="W61" s="444"/>
      <c r="X61" s="445"/>
    </row>
    <row r="62" spans="2:24" ht="23.1" customHeight="1">
      <c r="B62" s="48"/>
      <c r="C62" s="405"/>
      <c r="D62" s="74" t="s">
        <v>384</v>
      </c>
      <c r="E62" s="74"/>
      <c r="F62" s="490"/>
      <c r="G62" s="490"/>
      <c r="H62" s="490"/>
      <c r="I62" s="50"/>
      <c r="K62" s="443"/>
      <c r="L62" s="444"/>
      <c r="M62" s="444"/>
      <c r="N62" s="444"/>
      <c r="O62" s="444"/>
      <c r="P62" s="444"/>
      <c r="Q62" s="444"/>
      <c r="R62" s="444"/>
      <c r="S62" s="444"/>
      <c r="T62" s="444"/>
      <c r="U62" s="444"/>
      <c r="V62" s="444"/>
      <c r="W62" s="444"/>
      <c r="X62" s="445"/>
    </row>
    <row r="63" spans="2:24" ht="23.1" customHeight="1" thickBot="1">
      <c r="B63" s="48"/>
      <c r="C63" s="406" t="s">
        <v>359</v>
      </c>
      <c r="D63" s="85"/>
      <c r="E63" s="85"/>
      <c r="F63" s="415">
        <f>F45+F54</f>
        <v>-10919.78</v>
      </c>
      <c r="G63" s="415">
        <f>G45+G54</f>
        <v>0</v>
      </c>
      <c r="H63" s="415">
        <f>H45+H54</f>
        <v>0</v>
      </c>
      <c r="I63" s="50"/>
      <c r="K63" s="443"/>
      <c r="L63" s="444"/>
      <c r="M63" s="444"/>
      <c r="N63" s="444"/>
      <c r="O63" s="444"/>
      <c r="P63" s="444"/>
      <c r="Q63" s="444"/>
      <c r="R63" s="444"/>
      <c r="S63" s="444"/>
      <c r="T63" s="444"/>
      <c r="U63" s="444"/>
      <c r="V63" s="444"/>
      <c r="W63" s="444"/>
      <c r="X63" s="445"/>
    </row>
    <row r="64" spans="2:24" ht="23.1" customHeight="1">
      <c r="B64" s="48"/>
      <c r="C64" s="405"/>
      <c r="D64" s="64"/>
      <c r="E64" s="64"/>
      <c r="F64" s="412"/>
      <c r="G64" s="412"/>
      <c r="H64" s="412"/>
      <c r="I64" s="50"/>
      <c r="K64" s="443"/>
      <c r="L64" s="444"/>
      <c r="M64" s="444"/>
      <c r="N64" s="444"/>
      <c r="O64" s="444"/>
      <c r="P64" s="444"/>
      <c r="Q64" s="444"/>
      <c r="R64" s="444"/>
      <c r="S64" s="444"/>
      <c r="T64" s="444"/>
      <c r="U64" s="444"/>
      <c r="V64" s="444"/>
      <c r="W64" s="444"/>
      <c r="X64" s="445"/>
    </row>
    <row r="65" spans="2:24" ht="23.1" customHeight="1">
      <c r="B65" s="48"/>
      <c r="C65" s="403" t="s">
        <v>360</v>
      </c>
      <c r="D65" s="88"/>
      <c r="E65" s="87"/>
      <c r="F65" s="412"/>
      <c r="G65" s="412"/>
      <c r="H65" s="412"/>
      <c r="I65" s="50"/>
      <c r="K65" s="443"/>
      <c r="L65" s="444"/>
      <c r="M65" s="444"/>
      <c r="N65" s="444"/>
      <c r="O65" s="444"/>
      <c r="P65" s="444"/>
      <c r="Q65" s="444"/>
      <c r="R65" s="444"/>
      <c r="S65" s="444"/>
      <c r="T65" s="444"/>
      <c r="U65" s="444"/>
      <c r="V65" s="444"/>
      <c r="W65" s="444"/>
      <c r="X65" s="445"/>
    </row>
    <row r="66" spans="2:24" ht="23.1" customHeight="1">
      <c r="B66" s="48"/>
      <c r="C66" s="404" t="s">
        <v>361</v>
      </c>
      <c r="D66" s="72"/>
      <c r="E66" s="71"/>
      <c r="F66" s="413">
        <f>SUM(F67:F71)</f>
        <v>1903196.01</v>
      </c>
      <c r="G66" s="413">
        <f>SUM(G67:G71)</f>
        <v>2056196.01</v>
      </c>
      <c r="H66" s="413">
        <f>SUM(H67:H71)</f>
        <v>2211511.52</v>
      </c>
      <c r="I66" s="50"/>
      <c r="K66" s="443"/>
      <c r="L66" s="444"/>
      <c r="M66" s="444"/>
      <c r="N66" s="444"/>
      <c r="O66" s="444"/>
      <c r="P66" s="444"/>
      <c r="Q66" s="444"/>
      <c r="R66" s="444"/>
      <c r="S66" s="444"/>
      <c r="T66" s="444"/>
      <c r="U66" s="444"/>
      <c r="V66" s="444"/>
      <c r="W66" s="444"/>
      <c r="X66" s="445"/>
    </row>
    <row r="67" spans="2:24" ht="23.1" customHeight="1">
      <c r="B67" s="48"/>
      <c r="C67" s="405"/>
      <c r="D67" s="74" t="s">
        <v>362</v>
      </c>
      <c r="E67" s="74"/>
      <c r="F67" s="490"/>
      <c r="G67" s="490"/>
      <c r="H67" s="490"/>
      <c r="I67" s="50"/>
      <c r="K67" s="443"/>
      <c r="L67" s="444"/>
      <c r="M67" s="444"/>
      <c r="N67" s="444"/>
      <c r="O67" s="444"/>
      <c r="P67" s="444"/>
      <c r="Q67" s="444"/>
      <c r="R67" s="444"/>
      <c r="S67" s="444"/>
      <c r="T67" s="444"/>
      <c r="U67" s="444"/>
      <c r="V67" s="444"/>
      <c r="W67" s="444"/>
      <c r="X67" s="445"/>
    </row>
    <row r="68" spans="2:24" ht="23.1" customHeight="1">
      <c r="B68" s="48"/>
      <c r="C68" s="405"/>
      <c r="D68" s="74" t="s">
        <v>363</v>
      </c>
      <c r="E68" s="74"/>
      <c r="F68" s="490">
        <v>1903196.01</v>
      </c>
      <c r="G68" s="490">
        <v>2056196.01</v>
      </c>
      <c r="H68" s="490">
        <v>2211511.52</v>
      </c>
      <c r="I68" s="50"/>
      <c r="K68" s="443"/>
      <c r="L68" s="444"/>
      <c r="M68" s="444"/>
      <c r="N68" s="444"/>
      <c r="O68" s="444"/>
      <c r="P68" s="444"/>
      <c r="Q68" s="444"/>
      <c r="R68" s="444"/>
      <c r="S68" s="444"/>
      <c r="T68" s="444"/>
      <c r="U68" s="444"/>
      <c r="V68" s="444"/>
      <c r="W68" s="444"/>
      <c r="X68" s="445"/>
    </row>
    <row r="69" spans="2:24" ht="23.1" customHeight="1">
      <c r="B69" s="48"/>
      <c r="C69" s="405"/>
      <c r="D69" s="581" t="s">
        <v>725</v>
      </c>
      <c r="E69" s="74"/>
      <c r="F69" s="490"/>
      <c r="G69" s="490"/>
      <c r="H69" s="490"/>
      <c r="I69" s="50"/>
      <c r="K69" s="443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4"/>
      <c r="X69" s="445"/>
    </row>
    <row r="70" spans="2:24" ht="23.1" customHeight="1">
      <c r="B70" s="48"/>
      <c r="C70" s="405"/>
      <c r="D70" s="74" t="s">
        <v>364</v>
      </c>
      <c r="E70" s="74"/>
      <c r="F70" s="490"/>
      <c r="G70" s="490"/>
      <c r="H70" s="490"/>
      <c r="I70" s="50"/>
      <c r="K70" s="443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4"/>
      <c r="X70" s="445"/>
    </row>
    <row r="71" spans="2:24" ht="23.1" customHeight="1">
      <c r="B71" s="48"/>
      <c r="C71" s="405"/>
      <c r="D71" s="74" t="s">
        <v>365</v>
      </c>
      <c r="E71" s="74"/>
      <c r="F71" s="490"/>
      <c r="G71" s="490"/>
      <c r="H71" s="490"/>
      <c r="I71" s="50"/>
      <c r="K71" s="443"/>
      <c r="L71" s="444"/>
      <c r="M71" s="444"/>
      <c r="N71" s="444"/>
      <c r="O71" s="444"/>
      <c r="P71" s="444"/>
      <c r="Q71" s="444"/>
      <c r="R71" s="444"/>
      <c r="S71" s="444"/>
      <c r="T71" s="444"/>
      <c r="U71" s="444"/>
      <c r="V71" s="444"/>
      <c r="W71" s="444"/>
      <c r="X71" s="445"/>
    </row>
    <row r="72" spans="2:24" ht="23.1" customHeight="1">
      <c r="B72" s="48"/>
      <c r="C72" s="404" t="s">
        <v>366</v>
      </c>
      <c r="D72" s="72"/>
      <c r="E72" s="71"/>
      <c r="F72" s="413">
        <f>+F73+F79</f>
        <v>-48629.57</v>
      </c>
      <c r="G72" s="413">
        <f>+G73+G79</f>
        <v>-23768.3</v>
      </c>
      <c r="H72" s="413">
        <f>+H73+H79</f>
        <v>-23768.3</v>
      </c>
      <c r="I72" s="50"/>
      <c r="K72" s="443"/>
      <c r="L72" s="444"/>
      <c r="M72" s="444"/>
      <c r="N72" s="444"/>
      <c r="O72" s="444"/>
      <c r="P72" s="444"/>
      <c r="Q72" s="444"/>
      <c r="R72" s="444"/>
      <c r="S72" s="444"/>
      <c r="T72" s="444"/>
      <c r="U72" s="444"/>
      <c r="V72" s="444"/>
      <c r="W72" s="444"/>
      <c r="X72" s="445"/>
    </row>
    <row r="73" spans="2:24" ht="23.1" customHeight="1">
      <c r="B73" s="48"/>
      <c r="C73" s="405"/>
      <c r="D73" s="74" t="s">
        <v>367</v>
      </c>
      <c r="E73" s="74"/>
      <c r="F73" s="414">
        <f>SUM(F74:F78)</f>
        <v>0</v>
      </c>
      <c r="G73" s="414">
        <f>SUM(G74:G78)</f>
        <v>0</v>
      </c>
      <c r="H73" s="414">
        <f>SUM(H74:H78)</f>
        <v>0</v>
      </c>
      <c r="I73" s="50"/>
      <c r="K73" s="443"/>
      <c r="L73" s="444"/>
      <c r="M73" s="444"/>
      <c r="N73" s="444"/>
      <c r="O73" s="444"/>
      <c r="P73" s="444"/>
      <c r="Q73" s="444"/>
      <c r="R73" s="444"/>
      <c r="S73" s="444"/>
      <c r="T73" s="444"/>
      <c r="U73" s="444"/>
      <c r="V73" s="444"/>
      <c r="W73" s="444"/>
      <c r="X73" s="445"/>
    </row>
    <row r="74" spans="2:24" ht="23.1" customHeight="1">
      <c r="B74" s="48"/>
      <c r="C74" s="407"/>
      <c r="D74" s="89"/>
      <c r="E74" s="89" t="s">
        <v>368</v>
      </c>
      <c r="F74" s="491"/>
      <c r="G74" s="491"/>
      <c r="H74" s="491"/>
      <c r="I74" s="50"/>
      <c r="K74" s="443"/>
      <c r="L74" s="444"/>
      <c r="M74" s="444"/>
      <c r="N74" s="444"/>
      <c r="O74" s="444"/>
      <c r="P74" s="444"/>
      <c r="Q74" s="444"/>
      <c r="R74" s="444"/>
      <c r="S74" s="444"/>
      <c r="T74" s="444"/>
      <c r="U74" s="444"/>
      <c r="V74" s="444"/>
      <c r="W74" s="444"/>
      <c r="X74" s="445"/>
    </row>
    <row r="75" spans="2:24" ht="23.1" customHeight="1">
      <c r="B75" s="48"/>
      <c r="C75" s="407"/>
      <c r="D75" s="89"/>
      <c r="E75" s="89" t="s">
        <v>369</v>
      </c>
      <c r="F75" s="491"/>
      <c r="G75" s="491"/>
      <c r="H75" s="491"/>
      <c r="I75" s="50"/>
      <c r="K75" s="443"/>
      <c r="L75" s="444"/>
      <c r="M75" s="444"/>
      <c r="N75" s="444"/>
      <c r="O75" s="444"/>
      <c r="P75" s="444"/>
      <c r="Q75" s="444"/>
      <c r="R75" s="444"/>
      <c r="S75" s="444"/>
      <c r="T75" s="444"/>
      <c r="U75" s="444"/>
      <c r="V75" s="444"/>
      <c r="W75" s="444"/>
      <c r="X75" s="445"/>
    </row>
    <row r="76" spans="2:24" ht="23.1" customHeight="1">
      <c r="B76" s="48"/>
      <c r="C76" s="407"/>
      <c r="D76" s="89"/>
      <c r="E76" s="89" t="s">
        <v>370</v>
      </c>
      <c r="F76" s="491"/>
      <c r="G76" s="491"/>
      <c r="H76" s="491"/>
      <c r="I76" s="50"/>
      <c r="K76" s="443"/>
      <c r="L76" s="444"/>
      <c r="M76" s="444"/>
      <c r="N76" s="444"/>
      <c r="O76" s="444"/>
      <c r="P76" s="444"/>
      <c r="Q76" s="444"/>
      <c r="R76" s="444"/>
      <c r="S76" s="444"/>
      <c r="T76" s="444"/>
      <c r="U76" s="444"/>
      <c r="V76" s="444"/>
      <c r="W76" s="444"/>
      <c r="X76" s="445"/>
    </row>
    <row r="77" spans="2:24" ht="23.1" customHeight="1">
      <c r="B77" s="48"/>
      <c r="C77" s="407"/>
      <c r="D77" s="89"/>
      <c r="E77" s="89" t="s">
        <v>371</v>
      </c>
      <c r="F77" s="491"/>
      <c r="G77" s="491"/>
      <c r="H77" s="491"/>
      <c r="I77" s="50"/>
      <c r="K77" s="443"/>
      <c r="L77" s="444"/>
      <c r="M77" s="444"/>
      <c r="N77" s="444"/>
      <c r="O77" s="444"/>
      <c r="P77" s="444"/>
      <c r="Q77" s="444"/>
      <c r="R77" s="444"/>
      <c r="S77" s="444"/>
      <c r="T77" s="444"/>
      <c r="U77" s="444"/>
      <c r="V77" s="444"/>
      <c r="W77" s="444"/>
      <c r="X77" s="445"/>
    </row>
    <row r="78" spans="2:24" ht="23.1" customHeight="1">
      <c r="B78" s="48"/>
      <c r="C78" s="407"/>
      <c r="D78" s="89"/>
      <c r="E78" s="89" t="s">
        <v>372</v>
      </c>
      <c r="F78" s="491"/>
      <c r="G78" s="491"/>
      <c r="H78" s="491"/>
      <c r="I78" s="50"/>
      <c r="K78" s="443"/>
      <c r="L78" s="444"/>
      <c r="M78" s="444"/>
      <c r="N78" s="444"/>
      <c r="O78" s="444"/>
      <c r="P78" s="444"/>
      <c r="Q78" s="444"/>
      <c r="R78" s="444"/>
      <c r="S78" s="444"/>
      <c r="T78" s="444"/>
      <c r="U78" s="444"/>
      <c r="V78" s="444"/>
      <c r="W78" s="444"/>
      <c r="X78" s="445"/>
    </row>
    <row r="79" spans="2:24" ht="23.1" customHeight="1">
      <c r="B79" s="48"/>
      <c r="C79" s="405"/>
      <c r="D79" s="75" t="s">
        <v>373</v>
      </c>
      <c r="E79" s="75"/>
      <c r="F79" s="416">
        <f>SUM(F80:F84)</f>
        <v>-48629.57</v>
      </c>
      <c r="G79" s="416">
        <f>SUM(G80:G84)</f>
        <v>-23768.3</v>
      </c>
      <c r="H79" s="416">
        <f>SUM(H80:H84)</f>
        <v>-23768.3</v>
      </c>
      <c r="I79" s="50"/>
      <c r="K79" s="443"/>
      <c r="L79" s="444"/>
      <c r="M79" s="444"/>
      <c r="N79" s="444"/>
      <c r="O79" s="444"/>
      <c r="P79" s="444"/>
      <c r="Q79" s="444"/>
      <c r="R79" s="444"/>
      <c r="S79" s="444"/>
      <c r="T79" s="444"/>
      <c r="U79" s="444"/>
      <c r="V79" s="444"/>
      <c r="W79" s="444"/>
      <c r="X79" s="445"/>
    </row>
    <row r="80" spans="2:24" ht="23.1" customHeight="1">
      <c r="B80" s="48"/>
      <c r="C80" s="407"/>
      <c r="D80" s="89"/>
      <c r="E80" s="89" t="s">
        <v>720</v>
      </c>
      <c r="F80" s="491"/>
      <c r="G80" s="491"/>
      <c r="H80" s="491"/>
      <c r="I80" s="50"/>
      <c r="K80" s="443"/>
      <c r="L80" s="444"/>
      <c r="M80" s="444"/>
      <c r="N80" s="444"/>
      <c r="O80" s="444"/>
      <c r="P80" s="444"/>
      <c r="Q80" s="444"/>
      <c r="R80" s="444"/>
      <c r="S80" s="444"/>
      <c r="T80" s="444"/>
      <c r="U80" s="444"/>
      <c r="V80" s="444"/>
      <c r="W80" s="444"/>
      <c r="X80" s="445"/>
    </row>
    <row r="81" spans="2:24" ht="23.1" customHeight="1">
      <c r="B81" s="48"/>
      <c r="C81" s="407"/>
      <c r="D81" s="89"/>
      <c r="E81" s="89" t="s">
        <v>721</v>
      </c>
      <c r="F81" s="491">
        <v>-24312.15</v>
      </c>
      <c r="G81" s="491">
        <v>-23768.3</v>
      </c>
      <c r="H81" s="491">
        <v>-23768.3</v>
      </c>
      <c r="I81" s="50"/>
      <c r="K81" s="443"/>
      <c r="L81" s="444"/>
      <c r="M81" s="444"/>
      <c r="N81" s="444"/>
      <c r="O81" s="444"/>
      <c r="P81" s="444"/>
      <c r="Q81" s="444"/>
      <c r="R81" s="444"/>
      <c r="S81" s="444"/>
      <c r="T81" s="444"/>
      <c r="U81" s="444"/>
      <c r="V81" s="444"/>
      <c r="W81" s="444"/>
      <c r="X81" s="445"/>
    </row>
    <row r="82" spans="2:24" ht="23.1" customHeight="1">
      <c r="B82" s="48"/>
      <c r="C82" s="407"/>
      <c r="D82" s="89"/>
      <c r="E82" s="89" t="s">
        <v>722</v>
      </c>
      <c r="F82" s="491"/>
      <c r="G82" s="491"/>
      <c r="H82" s="491"/>
      <c r="I82" s="50"/>
      <c r="K82" s="443"/>
      <c r="L82" s="444"/>
      <c r="M82" s="444"/>
      <c r="N82" s="444"/>
      <c r="O82" s="444"/>
      <c r="P82" s="444"/>
      <c r="Q82" s="444"/>
      <c r="R82" s="444"/>
      <c r="S82" s="444"/>
      <c r="T82" s="444"/>
      <c r="U82" s="444"/>
      <c r="V82" s="444"/>
      <c r="W82" s="444"/>
      <c r="X82" s="445"/>
    </row>
    <row r="83" spans="2:24" ht="23.1" customHeight="1">
      <c r="B83" s="48"/>
      <c r="C83" s="407"/>
      <c r="D83" s="89"/>
      <c r="E83" s="89" t="s">
        <v>723</v>
      </c>
      <c r="F83" s="491"/>
      <c r="G83" s="491"/>
      <c r="H83" s="491"/>
      <c r="I83" s="50"/>
      <c r="K83" s="443"/>
      <c r="L83" s="444"/>
      <c r="M83" s="444"/>
      <c r="N83" s="444"/>
      <c r="O83" s="444"/>
      <c r="P83" s="444"/>
      <c r="Q83" s="444"/>
      <c r="R83" s="444"/>
      <c r="S83" s="444"/>
      <c r="T83" s="444"/>
      <c r="U83" s="444"/>
      <c r="V83" s="444"/>
      <c r="W83" s="444"/>
      <c r="X83" s="445"/>
    </row>
    <row r="84" spans="2:24" ht="23.1" customHeight="1">
      <c r="B84" s="48"/>
      <c r="C84" s="407"/>
      <c r="D84" s="89"/>
      <c r="E84" s="89" t="s">
        <v>724</v>
      </c>
      <c r="F84" s="491">
        <v>-24317.42</v>
      </c>
      <c r="G84" s="491"/>
      <c r="H84" s="491"/>
      <c r="I84" s="50"/>
      <c r="K84" s="443"/>
      <c r="L84" s="444"/>
      <c r="M84" s="444"/>
      <c r="N84" s="444"/>
      <c r="O84" s="444"/>
      <c r="P84" s="444"/>
      <c r="Q84" s="444"/>
      <c r="R84" s="444"/>
      <c r="S84" s="444"/>
      <c r="T84" s="444"/>
      <c r="U84" s="444"/>
      <c r="V84" s="444"/>
      <c r="W84" s="444"/>
      <c r="X84" s="445"/>
    </row>
    <row r="85" spans="2:24" ht="23.1" customHeight="1">
      <c r="B85" s="48"/>
      <c r="C85" s="404" t="s">
        <v>374</v>
      </c>
      <c r="D85" s="72"/>
      <c r="E85" s="71"/>
      <c r="F85" s="413">
        <f>+SUM(F86:F87)</f>
        <v>0</v>
      </c>
      <c r="G85" s="413">
        <f>+SUM(G86:G87)</f>
        <v>0</v>
      </c>
      <c r="H85" s="413">
        <f>+SUM(H86:H87)</f>
        <v>0</v>
      </c>
      <c r="I85" s="50"/>
      <c r="K85" s="443"/>
      <c r="L85" s="444"/>
      <c r="M85" s="444"/>
      <c r="N85" s="444"/>
      <c r="O85" s="444"/>
      <c r="P85" s="444"/>
      <c r="Q85" s="444"/>
      <c r="R85" s="444"/>
      <c r="S85" s="444"/>
      <c r="T85" s="444"/>
      <c r="U85" s="444"/>
      <c r="V85" s="444"/>
      <c r="W85" s="444"/>
      <c r="X85" s="445"/>
    </row>
    <row r="86" spans="2:24" ht="23.1" customHeight="1">
      <c r="B86" s="48"/>
      <c r="C86" s="405"/>
      <c r="D86" s="74" t="s">
        <v>375</v>
      </c>
      <c r="E86" s="74"/>
      <c r="F86" s="490"/>
      <c r="G86" s="490"/>
      <c r="H86" s="490"/>
      <c r="I86" s="50"/>
      <c r="K86" s="443"/>
      <c r="L86" s="444"/>
      <c r="M86" s="444"/>
      <c r="N86" s="444"/>
      <c r="O86" s="444"/>
      <c r="P86" s="444"/>
      <c r="Q86" s="444"/>
      <c r="R86" s="444"/>
      <c r="S86" s="444"/>
      <c r="T86" s="444"/>
      <c r="U86" s="444"/>
      <c r="V86" s="444"/>
      <c r="W86" s="444"/>
      <c r="X86" s="445"/>
    </row>
    <row r="87" spans="2:24" ht="23.1" customHeight="1">
      <c r="B87" s="48"/>
      <c r="C87" s="405"/>
      <c r="D87" s="74" t="s">
        <v>376</v>
      </c>
      <c r="E87" s="74"/>
      <c r="F87" s="490"/>
      <c r="G87" s="490"/>
      <c r="H87" s="490"/>
      <c r="I87" s="50"/>
      <c r="K87" s="443"/>
      <c r="L87" s="444"/>
      <c r="M87" s="444"/>
      <c r="N87" s="444"/>
      <c r="O87" s="444"/>
      <c r="P87" s="444"/>
      <c r="Q87" s="444"/>
      <c r="R87" s="444"/>
      <c r="S87" s="444"/>
      <c r="T87" s="444"/>
      <c r="U87" s="444"/>
      <c r="V87" s="444"/>
      <c r="W87" s="444"/>
      <c r="X87" s="445"/>
    </row>
    <row r="88" spans="2:24" ht="23.1" customHeight="1" thickBot="1">
      <c r="B88" s="48"/>
      <c r="C88" s="406" t="s">
        <v>381</v>
      </c>
      <c r="D88" s="85"/>
      <c r="E88" s="85"/>
      <c r="F88" s="415">
        <f>+F66+F72+F85</f>
        <v>1854566.44</v>
      </c>
      <c r="G88" s="415">
        <f>+G66+G72+G85</f>
        <v>2032427.71</v>
      </c>
      <c r="H88" s="415">
        <f>+H66+H72+H85</f>
        <v>2187743.2200000002</v>
      </c>
      <c r="I88" s="50"/>
      <c r="K88" s="443"/>
      <c r="L88" s="444"/>
      <c r="M88" s="444"/>
      <c r="N88" s="444"/>
      <c r="O88" s="444"/>
      <c r="P88" s="444"/>
      <c r="Q88" s="444"/>
      <c r="R88" s="444"/>
      <c r="S88" s="444"/>
      <c r="T88" s="444"/>
      <c r="U88" s="444"/>
      <c r="V88" s="444"/>
      <c r="W88" s="444"/>
      <c r="X88" s="445"/>
    </row>
    <row r="89" spans="2:24" ht="23.1" customHeight="1">
      <c r="B89" s="48"/>
      <c r="C89" s="405"/>
      <c r="D89" s="64"/>
      <c r="E89" s="64"/>
      <c r="F89" s="412"/>
      <c r="G89" s="412"/>
      <c r="H89" s="412"/>
      <c r="I89" s="50"/>
      <c r="K89" s="443"/>
      <c r="L89" s="444"/>
      <c r="M89" s="444"/>
      <c r="N89" s="444"/>
      <c r="O89" s="444"/>
      <c r="P89" s="444"/>
      <c r="Q89" s="444"/>
      <c r="R89" s="444"/>
      <c r="S89" s="444"/>
      <c r="T89" s="444"/>
      <c r="U89" s="444"/>
      <c r="V89" s="444"/>
      <c r="W89" s="444"/>
      <c r="X89" s="445"/>
    </row>
    <row r="90" spans="2:24" ht="23.1" customHeight="1" thickBot="1">
      <c r="B90" s="48"/>
      <c r="C90" s="406" t="s">
        <v>377</v>
      </c>
      <c r="D90" s="85"/>
      <c r="E90" s="85"/>
      <c r="F90" s="415">
        <v>0</v>
      </c>
      <c r="G90" s="415">
        <v>0</v>
      </c>
      <c r="H90" s="415">
        <v>0</v>
      </c>
      <c r="I90" s="50"/>
      <c r="K90" s="443"/>
      <c r="L90" s="444"/>
      <c r="M90" s="444"/>
      <c r="N90" s="444"/>
      <c r="O90" s="444"/>
      <c r="P90" s="444"/>
      <c r="Q90" s="444"/>
      <c r="R90" s="444"/>
      <c r="S90" s="444"/>
      <c r="T90" s="444"/>
      <c r="U90" s="444"/>
      <c r="V90" s="444"/>
      <c r="W90" s="444"/>
      <c r="X90" s="445"/>
    </row>
    <row r="91" spans="2:24" ht="23.1" customHeight="1">
      <c r="B91" s="48"/>
      <c r="C91" s="405"/>
      <c r="D91" s="64"/>
      <c r="E91" s="64"/>
      <c r="F91" s="412"/>
      <c r="G91" s="412"/>
      <c r="H91" s="412"/>
      <c r="I91" s="50"/>
      <c r="K91" s="443"/>
      <c r="L91" s="444"/>
      <c r="M91" s="444"/>
      <c r="N91" s="444"/>
      <c r="O91" s="444"/>
      <c r="P91" s="444"/>
      <c r="Q91" s="444"/>
      <c r="R91" s="444"/>
      <c r="S91" s="444"/>
      <c r="T91" s="444"/>
      <c r="U91" s="444"/>
      <c r="V91" s="444"/>
      <c r="W91" s="444"/>
      <c r="X91" s="445"/>
    </row>
    <row r="92" spans="2:24" ht="23.1" customHeight="1" thickBot="1">
      <c r="B92" s="48"/>
      <c r="C92" s="406" t="s">
        <v>382</v>
      </c>
      <c r="D92" s="85"/>
      <c r="E92" s="85"/>
      <c r="F92" s="415">
        <f>+F42+F63+F88+F90</f>
        <v>959751.07000000053</v>
      </c>
      <c r="G92" s="415">
        <f>+G42+G63+G88+G90</f>
        <v>-792495.01999999909</v>
      </c>
      <c r="H92" s="415">
        <f>+H42+H63+H88+H90</f>
        <v>135722.18000000017</v>
      </c>
      <c r="I92" s="50"/>
      <c r="K92" s="443"/>
      <c r="L92" s="444"/>
      <c r="M92" s="444"/>
      <c r="N92" s="444"/>
      <c r="O92" s="444"/>
      <c r="P92" s="444"/>
      <c r="Q92" s="444"/>
      <c r="R92" s="444"/>
      <c r="S92" s="444"/>
      <c r="T92" s="444"/>
      <c r="U92" s="444"/>
      <c r="V92" s="444"/>
      <c r="W92" s="444"/>
      <c r="X92" s="445"/>
    </row>
    <row r="93" spans="2:24" ht="23.1" customHeight="1">
      <c r="B93" s="48"/>
      <c r="C93" s="60"/>
      <c r="D93" s="60"/>
      <c r="E93" s="60"/>
      <c r="F93" s="60"/>
      <c r="G93" s="60"/>
      <c r="H93" s="60"/>
      <c r="I93" s="50"/>
      <c r="K93" s="443"/>
      <c r="L93" s="444"/>
      <c r="M93" s="444"/>
      <c r="N93" s="444"/>
      <c r="O93" s="444"/>
      <c r="P93" s="444"/>
      <c r="Q93" s="444"/>
      <c r="R93" s="444"/>
      <c r="S93" s="444"/>
      <c r="T93" s="444"/>
      <c r="U93" s="444"/>
      <c r="V93" s="444"/>
      <c r="W93" s="444"/>
      <c r="X93" s="445"/>
    </row>
    <row r="94" spans="2:24" ht="23.1" customHeight="1" thickBot="1">
      <c r="B94" s="48"/>
      <c r="C94" s="417" t="s">
        <v>840</v>
      </c>
      <c r="D94" s="418"/>
      <c r="E94" s="418"/>
      <c r="F94" s="492">
        <v>547743.94999999995</v>
      </c>
      <c r="G94" s="419">
        <f>+F95</f>
        <v>1507495.02</v>
      </c>
      <c r="H94" s="419">
        <f>+G95</f>
        <v>715000</v>
      </c>
      <c r="I94" s="50"/>
      <c r="K94" s="443"/>
      <c r="L94" s="444"/>
      <c r="M94" s="444"/>
      <c r="N94" s="444"/>
      <c r="O94" s="444"/>
      <c r="P94" s="444"/>
      <c r="Q94" s="444"/>
      <c r="R94" s="444"/>
      <c r="S94" s="444"/>
      <c r="T94" s="444"/>
      <c r="U94" s="444"/>
      <c r="V94" s="444"/>
      <c r="W94" s="444"/>
      <c r="X94" s="445"/>
    </row>
    <row r="95" spans="2:24" ht="23.1" customHeight="1" thickBot="1">
      <c r="B95" s="48"/>
      <c r="C95" s="406" t="s">
        <v>378</v>
      </c>
      <c r="D95" s="85"/>
      <c r="E95" s="85"/>
      <c r="F95" s="415">
        <f>'FC-4_ACTIVO'!E90</f>
        <v>1507495.02</v>
      </c>
      <c r="G95" s="415">
        <f>+'FC-4_ACTIVO'!F90</f>
        <v>715000</v>
      </c>
      <c r="H95" s="415">
        <f>+'FC-4_ACTIVO'!G90</f>
        <v>850722.17999999993</v>
      </c>
      <c r="I95" s="50"/>
      <c r="K95" s="443"/>
      <c r="L95" s="1071"/>
      <c r="M95" s="444"/>
      <c r="N95" s="444"/>
      <c r="O95" s="444"/>
      <c r="P95" s="444"/>
      <c r="Q95" s="444"/>
      <c r="R95" s="444"/>
      <c r="S95" s="444"/>
      <c r="T95" s="444"/>
      <c r="U95" s="444"/>
      <c r="V95" s="444"/>
      <c r="W95" s="444"/>
      <c r="X95" s="445"/>
    </row>
    <row r="96" spans="2:24" ht="23.1" customHeight="1">
      <c r="B96" s="48"/>
      <c r="C96" s="939"/>
      <c r="D96" s="940"/>
      <c r="E96" s="940"/>
      <c r="F96" s="941"/>
      <c r="G96" s="941"/>
      <c r="H96" s="941"/>
      <c r="I96" s="50"/>
      <c r="K96" s="1070"/>
      <c r="L96" s="1070"/>
      <c r="M96" s="1070"/>
      <c r="N96" s="444"/>
      <c r="O96" s="444"/>
      <c r="P96" s="444"/>
      <c r="Q96" s="444"/>
      <c r="R96" s="444"/>
      <c r="S96" s="444"/>
      <c r="T96" s="444"/>
      <c r="U96" s="444"/>
      <c r="V96" s="444"/>
      <c r="W96" s="444"/>
      <c r="X96" s="445"/>
    </row>
    <row r="97" spans="2:24" ht="23.1" customHeight="1">
      <c r="B97" s="48"/>
      <c r="C97" s="109" t="s">
        <v>790</v>
      </c>
      <c r="D97" s="940"/>
      <c r="E97" s="940"/>
      <c r="F97" s="941"/>
      <c r="G97" s="941"/>
      <c r="H97" s="941"/>
      <c r="I97" s="50"/>
      <c r="K97" s="443"/>
      <c r="L97" s="444"/>
      <c r="M97" s="444"/>
      <c r="N97" s="444"/>
      <c r="O97" s="444"/>
      <c r="P97" s="444"/>
      <c r="Q97" s="444"/>
      <c r="R97" s="444"/>
      <c r="S97" s="444"/>
      <c r="T97" s="444"/>
      <c r="U97" s="444"/>
      <c r="V97" s="444"/>
      <c r="W97" s="444"/>
      <c r="X97" s="445"/>
    </row>
    <row r="98" spans="2:24" ht="23.1" customHeight="1">
      <c r="B98" s="48"/>
      <c r="C98" s="942" t="s">
        <v>841</v>
      </c>
      <c r="D98" s="940"/>
      <c r="E98" s="940"/>
      <c r="F98" s="941"/>
      <c r="G98" s="941"/>
      <c r="H98" s="941"/>
      <c r="I98" s="50"/>
      <c r="K98" s="443"/>
      <c r="L98" s="444"/>
      <c r="M98" s="444"/>
      <c r="N98" s="444"/>
      <c r="O98" s="444"/>
      <c r="P98" s="444"/>
      <c r="Q98" s="444"/>
      <c r="R98" s="444"/>
      <c r="S98" s="444"/>
      <c r="T98" s="444"/>
      <c r="U98" s="444"/>
      <c r="V98" s="444"/>
      <c r="W98" s="444"/>
      <c r="X98" s="445"/>
    </row>
    <row r="99" spans="2:24" ht="23.1" customHeight="1">
      <c r="B99" s="48"/>
      <c r="C99" s="939"/>
      <c r="D99" s="940"/>
      <c r="E99" s="940"/>
      <c r="F99" s="941"/>
      <c r="G99" s="941"/>
      <c r="H99" s="941"/>
      <c r="I99" s="50"/>
      <c r="K99" s="443"/>
      <c r="L99" s="444"/>
      <c r="M99" s="444"/>
      <c r="N99" s="444"/>
      <c r="O99" s="444"/>
      <c r="P99" s="444"/>
      <c r="Q99" s="444"/>
      <c r="R99" s="444"/>
      <c r="S99" s="444"/>
      <c r="T99" s="444"/>
      <c r="U99" s="444"/>
      <c r="V99" s="444"/>
      <c r="W99" s="444"/>
      <c r="X99" s="445"/>
    </row>
    <row r="100" spans="2:24" ht="23.1" customHeight="1" thickBot="1">
      <c r="B100" s="52"/>
      <c r="C100" s="1134"/>
      <c r="D100" s="1134"/>
      <c r="E100" s="1134"/>
      <c r="F100" s="1134"/>
      <c r="G100" s="1134"/>
      <c r="H100" s="96"/>
      <c r="I100" s="55"/>
      <c r="K100" s="446"/>
      <c r="L100" s="447"/>
      <c r="M100" s="447"/>
      <c r="N100" s="447"/>
      <c r="O100" s="447"/>
      <c r="P100" s="447"/>
      <c r="Q100" s="447"/>
      <c r="R100" s="447"/>
      <c r="S100" s="447"/>
      <c r="T100" s="447"/>
      <c r="U100" s="447"/>
      <c r="V100" s="447"/>
      <c r="W100" s="447"/>
      <c r="X100" s="448"/>
    </row>
    <row r="101" spans="2:24" ht="23.1" customHeight="1">
      <c r="C101" s="44"/>
      <c r="D101" s="44"/>
      <c r="E101" s="44"/>
      <c r="F101" s="92"/>
      <c r="G101" s="92"/>
      <c r="H101" s="92"/>
    </row>
    <row r="102" spans="2:24" ht="13.2">
      <c r="C102" s="37" t="s">
        <v>77</v>
      </c>
      <c r="D102" s="44"/>
      <c r="E102" s="44"/>
      <c r="F102" s="92"/>
      <c r="G102" s="92"/>
      <c r="H102" s="97" t="s">
        <v>44</v>
      </c>
    </row>
    <row r="103" spans="2:24" ht="13.2">
      <c r="C103" s="38" t="s">
        <v>78</v>
      </c>
      <c r="D103" s="44"/>
      <c r="E103" s="44"/>
      <c r="F103" s="92"/>
      <c r="G103" s="92"/>
      <c r="H103" s="92"/>
    </row>
    <row r="104" spans="2:24" ht="13.2">
      <c r="C104" s="38" t="s">
        <v>79</v>
      </c>
      <c r="D104" s="44"/>
      <c r="E104" s="44"/>
      <c r="F104" s="92"/>
      <c r="G104" s="92"/>
      <c r="H104" s="92"/>
    </row>
    <row r="105" spans="2:24" ht="13.2">
      <c r="C105" s="38" t="s">
        <v>80</v>
      </c>
      <c r="D105" s="44"/>
      <c r="E105" s="44"/>
      <c r="F105" s="92"/>
      <c r="G105" s="92"/>
      <c r="H105" s="92"/>
    </row>
    <row r="106" spans="2:24" ht="13.2">
      <c r="C106" s="38" t="s">
        <v>81</v>
      </c>
      <c r="D106" s="44"/>
      <c r="E106" s="44"/>
      <c r="F106" s="92"/>
      <c r="G106" s="92"/>
      <c r="H106" s="92"/>
    </row>
    <row r="107" spans="2:24" ht="23.1" customHeight="1">
      <c r="C107" s="44"/>
      <c r="D107" s="44"/>
      <c r="E107" s="44"/>
      <c r="F107" s="92"/>
      <c r="G107" s="92"/>
      <c r="H107" s="92"/>
    </row>
    <row r="108" spans="2:24" ht="23.1" customHeight="1">
      <c r="C108" s="44"/>
      <c r="D108" s="44"/>
      <c r="E108" s="44"/>
      <c r="F108" s="92"/>
      <c r="G108" s="92"/>
      <c r="H108" s="92"/>
    </row>
    <row r="109" spans="2:24" ht="23.1" customHeight="1">
      <c r="C109" s="44"/>
      <c r="D109" s="44"/>
      <c r="E109" s="44"/>
      <c r="F109" s="92"/>
      <c r="G109" s="92"/>
      <c r="H109" s="92"/>
    </row>
    <row r="110" spans="2:24" ht="23.1" customHeight="1">
      <c r="C110" s="44"/>
      <c r="D110" s="44"/>
      <c r="E110" s="44"/>
      <c r="F110" s="92"/>
      <c r="G110" s="92"/>
      <c r="H110" s="92"/>
    </row>
    <row r="111" spans="2:24" ht="23.1" customHeight="1">
      <c r="G111" s="92"/>
      <c r="H111" s="92"/>
    </row>
  </sheetData>
  <sheetProtection password="E059" sheet="1" objects="1" scenarios="1"/>
  <mergeCells count="3">
    <mergeCell ref="H6:H7"/>
    <mergeCell ref="D9:H9"/>
    <mergeCell ref="C100:G100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3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66"/>
  <sheetViews>
    <sheetView zoomScale="55" zoomScaleNormal="55" workbookViewId="0">
      <selection activeCell="N46" sqref="N46"/>
    </sheetView>
  </sheetViews>
  <sheetFormatPr baseColWidth="10" defaultColWidth="10.90625" defaultRowHeight="23.1" customHeight="1"/>
  <cols>
    <col min="1" max="2" width="3.08984375" style="99" customWidth="1"/>
    <col min="3" max="3" width="13.54296875" style="99" customWidth="1"/>
    <col min="4" max="4" width="42.90625" style="99" customWidth="1"/>
    <col min="5" max="6" width="12.90625" style="100" customWidth="1"/>
    <col min="7" max="8" width="15.90625" style="100" customWidth="1"/>
    <col min="9" max="18" width="12.90625" style="100" customWidth="1"/>
    <col min="19" max="19" width="3.08984375" style="99" customWidth="1"/>
    <col min="20" max="16384" width="10.90625" style="99"/>
  </cols>
  <sheetData>
    <row r="2" spans="2:34" ht="23.1" customHeight="1">
      <c r="D2" s="65" t="s">
        <v>379</v>
      </c>
    </row>
    <row r="3" spans="2:34" ht="23.1" customHeight="1">
      <c r="D3" s="65" t="s">
        <v>380</v>
      </c>
    </row>
    <row r="4" spans="2:34" ht="23.1" customHeight="1" thickBot="1"/>
    <row r="5" spans="2:34" ht="9" customHeight="1"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4"/>
      <c r="U5" s="427"/>
      <c r="V5" s="428"/>
      <c r="W5" s="428"/>
      <c r="X5" s="428"/>
      <c r="Y5" s="428"/>
      <c r="Z5" s="428"/>
      <c r="AA5" s="428"/>
      <c r="AB5" s="428"/>
      <c r="AC5" s="428"/>
      <c r="AD5" s="428"/>
      <c r="AE5" s="428"/>
      <c r="AF5" s="428"/>
      <c r="AG5" s="428"/>
      <c r="AH5" s="429"/>
    </row>
    <row r="6" spans="2:34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111">
        <f>ejercicio</f>
        <v>2018</v>
      </c>
      <c r="S6" s="108"/>
      <c r="U6" s="430"/>
      <c r="V6" s="431" t="s">
        <v>707</v>
      </c>
      <c r="W6" s="432"/>
      <c r="X6" s="432"/>
      <c r="Y6" s="432"/>
      <c r="Z6" s="432"/>
      <c r="AA6" s="432"/>
      <c r="AB6" s="432"/>
      <c r="AC6" s="432"/>
      <c r="AD6" s="432"/>
      <c r="AE6" s="432"/>
      <c r="AF6" s="432"/>
      <c r="AG6" s="432"/>
      <c r="AH6" s="433"/>
    </row>
    <row r="7" spans="2:34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111"/>
      <c r="S7" s="108"/>
      <c r="U7" s="430"/>
      <c r="V7" s="432"/>
      <c r="W7" s="432"/>
      <c r="X7" s="432"/>
      <c r="Y7" s="432"/>
      <c r="Z7" s="432"/>
      <c r="AA7" s="432"/>
      <c r="AB7" s="432"/>
      <c r="AC7" s="432"/>
      <c r="AD7" s="432"/>
      <c r="AE7" s="432"/>
      <c r="AF7" s="432"/>
      <c r="AG7" s="432"/>
      <c r="AH7" s="433"/>
    </row>
    <row r="8" spans="2:34" ht="30" customHeight="1">
      <c r="B8" s="105"/>
      <c r="C8" s="109"/>
      <c r="D8" s="106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10"/>
      <c r="S8" s="108"/>
      <c r="U8" s="430"/>
      <c r="V8" s="432"/>
      <c r="W8" s="432"/>
      <c r="X8" s="432"/>
      <c r="Y8" s="432"/>
      <c r="Z8" s="432"/>
      <c r="AA8" s="432"/>
      <c r="AB8" s="432"/>
      <c r="AC8" s="432"/>
      <c r="AD8" s="432"/>
      <c r="AE8" s="432"/>
      <c r="AF8" s="432"/>
      <c r="AG8" s="432"/>
      <c r="AH8" s="433"/>
    </row>
    <row r="9" spans="2:34" s="67" customFormat="1" ht="30" customHeight="1">
      <c r="B9" s="111"/>
      <c r="C9" s="40" t="s">
        <v>2</v>
      </c>
      <c r="D9" s="1135" t="str">
        <f>Entidad</f>
        <v>SPET, Turismo de Tenerife, S.A.</v>
      </c>
      <c r="E9" s="1135"/>
      <c r="F9" s="1135"/>
      <c r="G9" s="1135"/>
      <c r="H9" s="1135"/>
      <c r="I9" s="1135"/>
      <c r="J9" s="1135"/>
      <c r="K9" s="1135"/>
      <c r="L9" s="1135"/>
      <c r="M9" s="1135"/>
      <c r="N9" s="1135"/>
      <c r="O9" s="1135"/>
      <c r="P9" s="1135"/>
      <c r="Q9" s="1135"/>
      <c r="R9" s="1135"/>
      <c r="S9" s="112"/>
      <c r="U9" s="434"/>
      <c r="V9" s="435"/>
      <c r="W9" s="435"/>
      <c r="X9" s="435"/>
      <c r="Y9" s="435"/>
      <c r="Z9" s="435"/>
      <c r="AA9" s="435"/>
      <c r="AB9" s="435"/>
      <c r="AC9" s="435"/>
      <c r="AD9" s="435"/>
      <c r="AE9" s="435"/>
      <c r="AF9" s="435"/>
      <c r="AG9" s="435"/>
      <c r="AH9" s="436"/>
    </row>
    <row r="10" spans="2:34" ht="7.35" customHeight="1">
      <c r="B10" s="105"/>
      <c r="C10" s="106"/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8"/>
      <c r="U10" s="430"/>
      <c r="V10" s="432"/>
      <c r="W10" s="432"/>
      <c r="X10" s="432"/>
      <c r="Y10" s="432"/>
      <c r="Z10" s="432"/>
      <c r="AA10" s="432"/>
      <c r="AB10" s="432"/>
      <c r="AC10" s="432"/>
      <c r="AD10" s="432"/>
      <c r="AE10" s="432"/>
      <c r="AF10" s="432"/>
      <c r="AG10" s="432"/>
      <c r="AH10" s="433"/>
    </row>
    <row r="11" spans="2:34" s="117" customFormat="1" ht="30" customHeight="1">
      <c r="B11" s="113"/>
      <c r="C11" s="114" t="s">
        <v>794</v>
      </c>
      <c r="D11" s="114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6"/>
      <c r="U11" s="437"/>
      <c r="V11" s="438"/>
      <c r="W11" s="438"/>
      <c r="X11" s="438"/>
      <c r="Y11" s="438"/>
      <c r="Z11" s="438"/>
      <c r="AA11" s="438"/>
      <c r="AB11" s="438"/>
      <c r="AC11" s="438"/>
      <c r="AD11" s="438"/>
      <c r="AE11" s="438"/>
      <c r="AF11" s="438"/>
      <c r="AG11" s="438"/>
      <c r="AH11" s="439"/>
    </row>
    <row r="12" spans="2:34" s="117" customFormat="1" ht="30" customHeight="1">
      <c r="B12" s="113"/>
      <c r="C12" s="118"/>
      <c r="D12" s="11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116"/>
      <c r="U12" s="437"/>
      <c r="V12" s="438"/>
      <c r="W12" s="438"/>
      <c r="X12" s="438"/>
      <c r="Y12" s="438"/>
      <c r="Z12" s="438"/>
      <c r="AA12" s="438"/>
      <c r="AB12" s="438"/>
      <c r="AC12" s="438"/>
      <c r="AD12" s="438"/>
      <c r="AE12" s="438"/>
      <c r="AF12" s="438"/>
      <c r="AG12" s="438"/>
      <c r="AH12" s="439"/>
    </row>
    <row r="13" spans="2:34" s="121" customFormat="1" ht="19.350000000000001" customHeight="1">
      <c r="B13" s="119"/>
      <c r="C13" s="389"/>
      <c r="D13" s="389"/>
      <c r="E13" s="389"/>
      <c r="F13" s="389"/>
      <c r="G13" s="389"/>
      <c r="H13" s="390" t="s">
        <v>389</v>
      </c>
      <c r="I13" s="1157" t="s">
        <v>799</v>
      </c>
      <c r="J13" s="1158"/>
      <c r="K13" s="1158"/>
      <c r="L13" s="1158"/>
      <c r="M13" s="1159"/>
      <c r="N13" s="391"/>
      <c r="O13" s="392"/>
      <c r="P13" s="393" t="s">
        <v>392</v>
      </c>
      <c r="Q13" s="394">
        <f>ejercicio-1</f>
        <v>2017</v>
      </c>
      <c r="R13" s="896" t="s">
        <v>800</v>
      </c>
      <c r="S13" s="120"/>
      <c r="U13" s="430"/>
      <c r="V13" s="432"/>
      <c r="W13" s="432"/>
      <c r="X13" s="432"/>
      <c r="Y13" s="432"/>
      <c r="Z13" s="432"/>
      <c r="AA13" s="432"/>
      <c r="AB13" s="432"/>
      <c r="AC13" s="432"/>
      <c r="AD13" s="432"/>
      <c r="AE13" s="432"/>
      <c r="AF13" s="432"/>
      <c r="AG13" s="432"/>
      <c r="AH13" s="433"/>
    </row>
    <row r="14" spans="2:34" s="122" customFormat="1" ht="19.350000000000001" customHeight="1">
      <c r="B14" s="119"/>
      <c r="C14" s="395"/>
      <c r="D14" s="395"/>
      <c r="E14" s="395"/>
      <c r="F14" s="395"/>
      <c r="G14" s="395"/>
      <c r="H14" s="396" t="s">
        <v>390</v>
      </c>
      <c r="I14" s="397"/>
      <c r="J14" s="398"/>
      <c r="K14" s="398"/>
      <c r="L14" s="398"/>
      <c r="M14" s="399"/>
      <c r="N14" s="397"/>
      <c r="O14" s="398"/>
      <c r="P14" s="398"/>
      <c r="Q14" s="398"/>
      <c r="R14" s="399"/>
      <c r="S14" s="120"/>
      <c r="U14" s="430"/>
      <c r="V14" s="432"/>
      <c r="W14" s="432"/>
      <c r="X14" s="432"/>
      <c r="Y14" s="432"/>
      <c r="Z14" s="432"/>
      <c r="AA14" s="432"/>
      <c r="AB14" s="432"/>
      <c r="AC14" s="432"/>
      <c r="AD14" s="432"/>
      <c r="AE14" s="432"/>
      <c r="AF14" s="432"/>
      <c r="AG14" s="432"/>
      <c r="AH14" s="433"/>
    </row>
    <row r="15" spans="2:34" s="122" customFormat="1" ht="19.350000000000001" customHeight="1">
      <c r="B15" s="119"/>
      <c r="C15" s="400" t="s">
        <v>385</v>
      </c>
      <c r="D15" s="400" t="s">
        <v>386</v>
      </c>
      <c r="E15" s="400" t="s">
        <v>387</v>
      </c>
      <c r="F15" s="400" t="s">
        <v>388</v>
      </c>
      <c r="G15" s="400" t="s">
        <v>795</v>
      </c>
      <c r="H15" s="400">
        <f>ejercicio-1</f>
        <v>2017</v>
      </c>
      <c r="I15" s="400">
        <f>+ejercicio</f>
        <v>2018</v>
      </c>
      <c r="J15" s="400">
        <f>ejercicio+1</f>
        <v>2019</v>
      </c>
      <c r="K15" s="400">
        <f>ejercicio+2</f>
        <v>2020</v>
      </c>
      <c r="L15" s="400">
        <f>ejercicio+3</f>
        <v>2021</v>
      </c>
      <c r="M15" s="400" t="s">
        <v>391</v>
      </c>
      <c r="N15" s="400">
        <f>+ejercicio</f>
        <v>2018</v>
      </c>
      <c r="O15" s="400">
        <f>ejercicio+1</f>
        <v>2019</v>
      </c>
      <c r="P15" s="400">
        <f>ejercicio+2</f>
        <v>2020</v>
      </c>
      <c r="Q15" s="400">
        <f>ejercicio+3</f>
        <v>2021</v>
      </c>
      <c r="R15" s="400" t="s">
        <v>391</v>
      </c>
      <c r="S15" s="120"/>
      <c r="U15" s="430"/>
      <c r="V15" s="432"/>
      <c r="W15" s="432"/>
      <c r="X15" s="432"/>
      <c r="Y15" s="432"/>
      <c r="Z15" s="432"/>
      <c r="AA15" s="432"/>
      <c r="AB15" s="432"/>
      <c r="AC15" s="432"/>
      <c r="AD15" s="432"/>
      <c r="AE15" s="432"/>
      <c r="AF15" s="432"/>
      <c r="AG15" s="432"/>
      <c r="AH15" s="433"/>
    </row>
    <row r="16" spans="2:34" ht="23.1" customHeight="1">
      <c r="B16" s="119"/>
      <c r="C16" s="493"/>
      <c r="D16" s="494"/>
      <c r="E16" s="495"/>
      <c r="F16" s="495"/>
      <c r="G16" s="496"/>
      <c r="H16" s="496"/>
      <c r="I16" s="496"/>
      <c r="J16" s="496"/>
      <c r="K16" s="496"/>
      <c r="L16" s="496"/>
      <c r="M16" s="496"/>
      <c r="N16" s="496"/>
      <c r="O16" s="496"/>
      <c r="P16" s="496"/>
      <c r="Q16" s="496"/>
      <c r="R16" s="496"/>
      <c r="S16" s="108"/>
      <c r="U16" s="430"/>
      <c r="V16" s="432"/>
      <c r="W16" s="432"/>
      <c r="X16" s="432"/>
      <c r="Y16" s="432"/>
      <c r="Z16" s="432"/>
      <c r="AA16" s="432"/>
      <c r="AB16" s="432"/>
      <c r="AC16" s="432"/>
      <c r="AD16" s="432"/>
      <c r="AE16" s="432"/>
      <c r="AF16" s="432"/>
      <c r="AG16" s="432"/>
      <c r="AH16" s="433"/>
    </row>
    <row r="17" spans="2:34" ht="23.1" customHeight="1">
      <c r="B17" s="119"/>
      <c r="C17" s="497"/>
      <c r="D17" s="498"/>
      <c r="E17" s="499"/>
      <c r="F17" s="499"/>
      <c r="G17" s="500"/>
      <c r="H17" s="500"/>
      <c r="I17" s="500"/>
      <c r="J17" s="500"/>
      <c r="K17" s="500"/>
      <c r="L17" s="500"/>
      <c r="M17" s="500"/>
      <c r="N17" s="500"/>
      <c r="O17" s="500"/>
      <c r="P17" s="500"/>
      <c r="Q17" s="500"/>
      <c r="R17" s="500"/>
      <c r="S17" s="108"/>
      <c r="U17" s="430"/>
      <c r="V17" s="432"/>
      <c r="W17" s="432"/>
      <c r="X17" s="432"/>
      <c r="Y17" s="432"/>
      <c r="Z17" s="432"/>
      <c r="AA17" s="432"/>
      <c r="AB17" s="432"/>
      <c r="AC17" s="432"/>
      <c r="AD17" s="432"/>
      <c r="AE17" s="432"/>
      <c r="AF17" s="432"/>
      <c r="AG17" s="432"/>
      <c r="AH17" s="433"/>
    </row>
    <row r="18" spans="2:34" ht="23.1" customHeight="1">
      <c r="B18" s="119"/>
      <c r="C18" s="497"/>
      <c r="D18" s="498"/>
      <c r="E18" s="499"/>
      <c r="F18" s="499"/>
      <c r="G18" s="500"/>
      <c r="H18" s="500"/>
      <c r="I18" s="500"/>
      <c r="J18" s="500"/>
      <c r="K18" s="500"/>
      <c r="L18" s="500"/>
      <c r="M18" s="500"/>
      <c r="N18" s="500"/>
      <c r="O18" s="500"/>
      <c r="P18" s="500"/>
      <c r="Q18" s="500"/>
      <c r="R18" s="500"/>
      <c r="S18" s="108"/>
      <c r="U18" s="430"/>
      <c r="V18" s="432"/>
      <c r="W18" s="432"/>
      <c r="X18" s="432"/>
      <c r="Y18" s="432"/>
      <c r="Z18" s="432"/>
      <c r="AA18" s="432"/>
      <c r="AB18" s="432"/>
      <c r="AC18" s="432"/>
      <c r="AD18" s="432"/>
      <c r="AE18" s="432"/>
      <c r="AF18" s="432"/>
      <c r="AG18" s="432"/>
      <c r="AH18" s="433"/>
    </row>
    <row r="19" spans="2:34" ht="23.1" customHeight="1">
      <c r="B19" s="119"/>
      <c r="C19" s="497"/>
      <c r="D19" s="498"/>
      <c r="E19" s="499"/>
      <c r="F19" s="499"/>
      <c r="G19" s="500"/>
      <c r="H19" s="500"/>
      <c r="I19" s="500"/>
      <c r="J19" s="500"/>
      <c r="K19" s="500"/>
      <c r="L19" s="500"/>
      <c r="M19" s="500"/>
      <c r="N19" s="500"/>
      <c r="O19" s="500"/>
      <c r="P19" s="500"/>
      <c r="Q19" s="500"/>
      <c r="R19" s="500"/>
      <c r="S19" s="108"/>
      <c r="U19" s="430"/>
      <c r="V19" s="432"/>
      <c r="W19" s="432"/>
      <c r="X19" s="432"/>
      <c r="Y19" s="432"/>
      <c r="Z19" s="432"/>
      <c r="AA19" s="432"/>
      <c r="AB19" s="432"/>
      <c r="AC19" s="432"/>
      <c r="AD19" s="432"/>
      <c r="AE19" s="432"/>
      <c r="AF19" s="432"/>
      <c r="AG19" s="432"/>
      <c r="AH19" s="433"/>
    </row>
    <row r="20" spans="2:34" ht="23.1" customHeight="1">
      <c r="B20" s="119"/>
      <c r="C20" s="497"/>
      <c r="D20" s="498"/>
      <c r="E20" s="499"/>
      <c r="F20" s="499"/>
      <c r="G20" s="500"/>
      <c r="H20" s="500"/>
      <c r="I20" s="500"/>
      <c r="J20" s="500"/>
      <c r="K20" s="500"/>
      <c r="L20" s="500"/>
      <c r="M20" s="500"/>
      <c r="N20" s="500"/>
      <c r="O20" s="500"/>
      <c r="P20" s="500"/>
      <c r="Q20" s="500"/>
      <c r="R20" s="500"/>
      <c r="S20" s="108"/>
      <c r="U20" s="430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3"/>
    </row>
    <row r="21" spans="2:34" ht="23.1" customHeight="1">
      <c r="B21" s="119"/>
      <c r="C21" s="497"/>
      <c r="D21" s="498"/>
      <c r="E21" s="499"/>
      <c r="F21" s="499"/>
      <c r="G21" s="500"/>
      <c r="H21" s="500"/>
      <c r="I21" s="500"/>
      <c r="J21" s="500"/>
      <c r="K21" s="500"/>
      <c r="L21" s="500"/>
      <c r="M21" s="500"/>
      <c r="N21" s="500"/>
      <c r="O21" s="500"/>
      <c r="P21" s="500"/>
      <c r="Q21" s="500"/>
      <c r="R21" s="500"/>
      <c r="S21" s="108"/>
      <c r="U21" s="430"/>
      <c r="V21" s="432"/>
      <c r="W21" s="432"/>
      <c r="X21" s="432"/>
      <c r="Y21" s="432"/>
      <c r="Z21" s="432"/>
      <c r="AA21" s="432"/>
      <c r="AB21" s="432"/>
      <c r="AC21" s="432"/>
      <c r="AD21" s="432"/>
      <c r="AE21" s="432"/>
      <c r="AF21" s="432"/>
      <c r="AG21" s="432"/>
      <c r="AH21" s="433"/>
    </row>
    <row r="22" spans="2:34" ht="23.1" customHeight="1">
      <c r="B22" s="119"/>
      <c r="C22" s="497"/>
      <c r="D22" s="498"/>
      <c r="E22" s="499"/>
      <c r="F22" s="499"/>
      <c r="G22" s="500"/>
      <c r="H22" s="500"/>
      <c r="I22" s="500"/>
      <c r="J22" s="500"/>
      <c r="K22" s="500"/>
      <c r="L22" s="500"/>
      <c r="M22" s="500"/>
      <c r="N22" s="500"/>
      <c r="O22" s="500"/>
      <c r="P22" s="500"/>
      <c r="Q22" s="500"/>
      <c r="R22" s="500"/>
      <c r="S22" s="108"/>
      <c r="U22" s="430"/>
      <c r="V22" s="432"/>
      <c r="W22" s="432"/>
      <c r="X22" s="432"/>
      <c r="Y22" s="432"/>
      <c r="Z22" s="432"/>
      <c r="AA22" s="432"/>
      <c r="AB22" s="432"/>
      <c r="AC22" s="432"/>
      <c r="AD22" s="432"/>
      <c r="AE22" s="432"/>
      <c r="AF22" s="432"/>
      <c r="AG22" s="432"/>
      <c r="AH22" s="433"/>
    </row>
    <row r="23" spans="2:34" ht="23.1" customHeight="1">
      <c r="B23" s="119"/>
      <c r="C23" s="497"/>
      <c r="D23" s="498"/>
      <c r="E23" s="499"/>
      <c r="F23" s="499"/>
      <c r="G23" s="500"/>
      <c r="H23" s="500"/>
      <c r="I23" s="500"/>
      <c r="J23" s="500"/>
      <c r="K23" s="500"/>
      <c r="L23" s="500"/>
      <c r="M23" s="500"/>
      <c r="N23" s="500"/>
      <c r="O23" s="500"/>
      <c r="P23" s="500"/>
      <c r="Q23" s="500"/>
      <c r="R23" s="500"/>
      <c r="S23" s="108"/>
      <c r="U23" s="430"/>
      <c r="V23" s="432"/>
      <c r="W23" s="432"/>
      <c r="X23" s="432"/>
      <c r="Y23" s="432"/>
      <c r="Z23" s="432"/>
      <c r="AA23" s="432"/>
      <c r="AB23" s="432"/>
      <c r="AC23" s="432"/>
      <c r="AD23" s="432"/>
      <c r="AE23" s="432"/>
      <c r="AF23" s="432"/>
      <c r="AG23" s="432"/>
      <c r="AH23" s="433"/>
    </row>
    <row r="24" spans="2:34" ht="23.1" customHeight="1">
      <c r="B24" s="119"/>
      <c r="C24" s="497"/>
      <c r="D24" s="498"/>
      <c r="E24" s="499"/>
      <c r="F24" s="499"/>
      <c r="G24" s="500"/>
      <c r="H24" s="500"/>
      <c r="I24" s="500"/>
      <c r="J24" s="500"/>
      <c r="K24" s="500"/>
      <c r="L24" s="500"/>
      <c r="M24" s="500"/>
      <c r="N24" s="500"/>
      <c r="O24" s="500"/>
      <c r="P24" s="500"/>
      <c r="Q24" s="500"/>
      <c r="R24" s="500"/>
      <c r="S24" s="108"/>
      <c r="U24" s="430"/>
      <c r="V24" s="432"/>
      <c r="W24" s="432"/>
      <c r="X24" s="432"/>
      <c r="Y24" s="432"/>
      <c r="Z24" s="432"/>
      <c r="AA24" s="432"/>
      <c r="AB24" s="432"/>
      <c r="AC24" s="432"/>
      <c r="AD24" s="432"/>
      <c r="AE24" s="432"/>
      <c r="AF24" s="432"/>
      <c r="AG24" s="432"/>
      <c r="AH24" s="433"/>
    </row>
    <row r="25" spans="2:34" ht="23.1" customHeight="1">
      <c r="B25" s="119"/>
      <c r="C25" s="497"/>
      <c r="D25" s="498"/>
      <c r="E25" s="499"/>
      <c r="F25" s="499"/>
      <c r="G25" s="500"/>
      <c r="H25" s="500"/>
      <c r="I25" s="500"/>
      <c r="J25" s="500"/>
      <c r="K25" s="500"/>
      <c r="L25" s="500"/>
      <c r="M25" s="500"/>
      <c r="N25" s="500"/>
      <c r="O25" s="500"/>
      <c r="P25" s="500"/>
      <c r="Q25" s="500"/>
      <c r="R25" s="500"/>
      <c r="S25" s="108"/>
      <c r="U25" s="430"/>
      <c r="V25" s="432"/>
      <c r="W25" s="432"/>
      <c r="X25" s="432"/>
      <c r="Y25" s="432"/>
      <c r="Z25" s="432"/>
      <c r="AA25" s="432"/>
      <c r="AB25" s="432"/>
      <c r="AC25" s="432"/>
      <c r="AD25" s="432"/>
      <c r="AE25" s="432"/>
      <c r="AF25" s="432"/>
      <c r="AG25" s="432"/>
      <c r="AH25" s="433"/>
    </row>
    <row r="26" spans="2:34" ht="23.1" customHeight="1">
      <c r="B26" s="119"/>
      <c r="C26" s="497"/>
      <c r="D26" s="498"/>
      <c r="E26" s="499"/>
      <c r="F26" s="499"/>
      <c r="G26" s="500"/>
      <c r="H26" s="500"/>
      <c r="I26" s="500"/>
      <c r="J26" s="500"/>
      <c r="K26" s="500"/>
      <c r="L26" s="500"/>
      <c r="M26" s="500"/>
      <c r="N26" s="500"/>
      <c r="O26" s="500"/>
      <c r="P26" s="500"/>
      <c r="Q26" s="500"/>
      <c r="R26" s="500"/>
      <c r="S26" s="108"/>
      <c r="U26" s="430"/>
      <c r="V26" s="432"/>
      <c r="W26" s="432"/>
      <c r="X26" s="432"/>
      <c r="Y26" s="432"/>
      <c r="Z26" s="432"/>
      <c r="AA26" s="432"/>
      <c r="AB26" s="432"/>
      <c r="AC26" s="432"/>
      <c r="AD26" s="432"/>
      <c r="AE26" s="432"/>
      <c r="AF26" s="432"/>
      <c r="AG26" s="432"/>
      <c r="AH26" s="433"/>
    </row>
    <row r="27" spans="2:34" ht="23.1" customHeight="1">
      <c r="B27" s="119"/>
      <c r="C27" s="497"/>
      <c r="D27" s="498"/>
      <c r="E27" s="499"/>
      <c r="F27" s="499"/>
      <c r="G27" s="500"/>
      <c r="H27" s="500"/>
      <c r="I27" s="500"/>
      <c r="J27" s="500"/>
      <c r="K27" s="500"/>
      <c r="L27" s="500"/>
      <c r="M27" s="500"/>
      <c r="N27" s="500"/>
      <c r="O27" s="500"/>
      <c r="P27" s="500"/>
      <c r="Q27" s="500"/>
      <c r="R27" s="500"/>
      <c r="S27" s="108"/>
      <c r="U27" s="430"/>
      <c r="V27" s="432"/>
      <c r="W27" s="432"/>
      <c r="X27" s="432"/>
      <c r="Y27" s="432"/>
      <c r="Z27" s="432"/>
      <c r="AA27" s="432"/>
      <c r="AB27" s="432"/>
      <c r="AC27" s="432"/>
      <c r="AD27" s="432"/>
      <c r="AE27" s="432"/>
      <c r="AF27" s="432"/>
      <c r="AG27" s="432"/>
      <c r="AH27" s="433"/>
    </row>
    <row r="28" spans="2:34" ht="23.1" customHeight="1">
      <c r="B28" s="119"/>
      <c r="C28" s="497"/>
      <c r="D28" s="498"/>
      <c r="E28" s="499"/>
      <c r="F28" s="499"/>
      <c r="G28" s="500"/>
      <c r="H28" s="500"/>
      <c r="I28" s="500"/>
      <c r="J28" s="500"/>
      <c r="K28" s="500"/>
      <c r="L28" s="500"/>
      <c r="M28" s="500"/>
      <c r="N28" s="500"/>
      <c r="O28" s="500"/>
      <c r="P28" s="500"/>
      <c r="Q28" s="500"/>
      <c r="R28" s="500"/>
      <c r="S28" s="108"/>
      <c r="U28" s="430"/>
      <c r="V28" s="432"/>
      <c r="W28" s="432"/>
      <c r="X28" s="432"/>
      <c r="Y28" s="432"/>
      <c r="Z28" s="432"/>
      <c r="AA28" s="432"/>
      <c r="AB28" s="432"/>
      <c r="AC28" s="432"/>
      <c r="AD28" s="432"/>
      <c r="AE28" s="432"/>
      <c r="AF28" s="432"/>
      <c r="AG28" s="432"/>
      <c r="AH28" s="433"/>
    </row>
    <row r="29" spans="2:34" ht="23.1" customHeight="1">
      <c r="B29" s="119"/>
      <c r="C29" s="497"/>
      <c r="D29" s="498"/>
      <c r="E29" s="499"/>
      <c r="F29" s="499"/>
      <c r="G29" s="500"/>
      <c r="H29" s="500"/>
      <c r="I29" s="500"/>
      <c r="J29" s="500"/>
      <c r="K29" s="500"/>
      <c r="L29" s="500"/>
      <c r="M29" s="500"/>
      <c r="N29" s="500"/>
      <c r="O29" s="500"/>
      <c r="P29" s="500"/>
      <c r="Q29" s="500"/>
      <c r="R29" s="500"/>
      <c r="S29" s="108"/>
      <c r="U29" s="430"/>
      <c r="V29" s="432"/>
      <c r="W29" s="432"/>
      <c r="X29" s="432"/>
      <c r="Y29" s="432"/>
      <c r="Z29" s="432"/>
      <c r="AA29" s="432"/>
      <c r="AB29" s="432"/>
      <c r="AC29" s="432"/>
      <c r="AD29" s="432"/>
      <c r="AE29" s="432"/>
      <c r="AF29" s="432"/>
      <c r="AG29" s="432"/>
      <c r="AH29" s="433"/>
    </row>
    <row r="30" spans="2:34" ht="23.1" customHeight="1">
      <c r="B30" s="119"/>
      <c r="C30" s="497"/>
      <c r="D30" s="498"/>
      <c r="E30" s="499"/>
      <c r="F30" s="499"/>
      <c r="G30" s="500"/>
      <c r="H30" s="500"/>
      <c r="I30" s="500"/>
      <c r="J30" s="500"/>
      <c r="K30" s="500"/>
      <c r="L30" s="500"/>
      <c r="M30" s="500"/>
      <c r="N30" s="500"/>
      <c r="O30" s="500"/>
      <c r="P30" s="500"/>
      <c r="Q30" s="500"/>
      <c r="R30" s="500"/>
      <c r="S30" s="108"/>
      <c r="U30" s="440"/>
      <c r="V30" s="441"/>
      <c r="W30" s="441"/>
      <c r="X30" s="441"/>
      <c r="Y30" s="441"/>
      <c r="Z30" s="441"/>
      <c r="AA30" s="441"/>
      <c r="AB30" s="441"/>
      <c r="AC30" s="441"/>
      <c r="AD30" s="441"/>
      <c r="AE30" s="441"/>
      <c r="AF30" s="441"/>
      <c r="AG30" s="441"/>
      <c r="AH30" s="442"/>
    </row>
    <row r="31" spans="2:34" ht="23.1" customHeight="1">
      <c r="B31" s="119"/>
      <c r="C31" s="497"/>
      <c r="D31" s="498"/>
      <c r="E31" s="499"/>
      <c r="F31" s="499"/>
      <c r="G31" s="500"/>
      <c r="H31" s="500"/>
      <c r="I31" s="500"/>
      <c r="J31" s="500"/>
      <c r="K31" s="500"/>
      <c r="L31" s="500"/>
      <c r="M31" s="500"/>
      <c r="N31" s="500"/>
      <c r="O31" s="500"/>
      <c r="P31" s="500"/>
      <c r="Q31" s="500"/>
      <c r="R31" s="500"/>
      <c r="S31" s="108"/>
      <c r="U31" s="440"/>
      <c r="V31" s="441"/>
      <c r="W31" s="441"/>
      <c r="X31" s="441"/>
      <c r="Y31" s="441"/>
      <c r="Z31" s="441"/>
      <c r="AA31" s="441"/>
      <c r="AB31" s="441"/>
      <c r="AC31" s="441"/>
      <c r="AD31" s="441"/>
      <c r="AE31" s="441"/>
      <c r="AF31" s="441"/>
      <c r="AG31" s="441"/>
      <c r="AH31" s="442"/>
    </row>
    <row r="32" spans="2:34" ht="23.1" customHeight="1">
      <c r="B32" s="119"/>
      <c r="C32" s="497"/>
      <c r="D32" s="498"/>
      <c r="E32" s="499"/>
      <c r="F32" s="499"/>
      <c r="G32" s="500"/>
      <c r="H32" s="500"/>
      <c r="I32" s="500"/>
      <c r="J32" s="500"/>
      <c r="K32" s="500"/>
      <c r="L32" s="500"/>
      <c r="M32" s="500"/>
      <c r="N32" s="500"/>
      <c r="O32" s="500"/>
      <c r="P32" s="500"/>
      <c r="Q32" s="500"/>
      <c r="R32" s="500"/>
      <c r="S32" s="108"/>
      <c r="U32" s="430"/>
      <c r="V32" s="432"/>
      <c r="W32" s="432"/>
      <c r="X32" s="432"/>
      <c r="Y32" s="432"/>
      <c r="Z32" s="432"/>
      <c r="AA32" s="432"/>
      <c r="AB32" s="432"/>
      <c r="AC32" s="432"/>
      <c r="AD32" s="432"/>
      <c r="AE32" s="432"/>
      <c r="AF32" s="432"/>
      <c r="AG32" s="432"/>
      <c r="AH32" s="433"/>
    </row>
    <row r="33" spans="2:34" ht="23.1" customHeight="1">
      <c r="B33" s="119"/>
      <c r="C33" s="497"/>
      <c r="D33" s="498"/>
      <c r="E33" s="499"/>
      <c r="F33" s="499"/>
      <c r="G33" s="500"/>
      <c r="H33" s="500"/>
      <c r="I33" s="500"/>
      <c r="J33" s="500"/>
      <c r="K33" s="500"/>
      <c r="L33" s="500"/>
      <c r="M33" s="500"/>
      <c r="N33" s="500"/>
      <c r="O33" s="500"/>
      <c r="P33" s="500"/>
      <c r="Q33" s="500"/>
      <c r="R33" s="500"/>
      <c r="S33" s="108"/>
      <c r="U33" s="430"/>
      <c r="V33" s="432"/>
      <c r="W33" s="432"/>
      <c r="X33" s="432"/>
      <c r="Y33" s="432"/>
      <c r="Z33" s="432"/>
      <c r="AA33" s="432"/>
      <c r="AB33" s="432"/>
      <c r="AC33" s="432"/>
      <c r="AD33" s="432"/>
      <c r="AE33" s="432"/>
      <c r="AF33" s="432"/>
      <c r="AG33" s="432"/>
      <c r="AH33" s="433"/>
    </row>
    <row r="34" spans="2:34" ht="23.1" customHeight="1">
      <c r="B34" s="119"/>
      <c r="C34" s="497"/>
      <c r="D34" s="498"/>
      <c r="E34" s="499"/>
      <c r="F34" s="499"/>
      <c r="G34" s="500"/>
      <c r="H34" s="500"/>
      <c r="I34" s="500"/>
      <c r="J34" s="500"/>
      <c r="K34" s="500"/>
      <c r="L34" s="500"/>
      <c r="M34" s="500"/>
      <c r="N34" s="500"/>
      <c r="O34" s="500"/>
      <c r="P34" s="500"/>
      <c r="Q34" s="500"/>
      <c r="R34" s="500"/>
      <c r="S34" s="108"/>
      <c r="U34" s="430"/>
      <c r="V34" s="432"/>
      <c r="W34" s="432"/>
      <c r="X34" s="432"/>
      <c r="Y34" s="432"/>
      <c r="Z34" s="432"/>
      <c r="AA34" s="432"/>
      <c r="AB34" s="432"/>
      <c r="AC34" s="432"/>
      <c r="AD34" s="432"/>
      <c r="AE34" s="432"/>
      <c r="AF34" s="432"/>
      <c r="AG34" s="432"/>
      <c r="AH34" s="433"/>
    </row>
    <row r="35" spans="2:34" ht="23.1" customHeight="1">
      <c r="B35" s="119"/>
      <c r="C35" s="497"/>
      <c r="D35" s="498"/>
      <c r="E35" s="499"/>
      <c r="F35" s="499"/>
      <c r="G35" s="500"/>
      <c r="H35" s="500"/>
      <c r="I35" s="500"/>
      <c r="J35" s="500"/>
      <c r="K35" s="500"/>
      <c r="L35" s="500"/>
      <c r="M35" s="500"/>
      <c r="N35" s="500"/>
      <c r="O35" s="500"/>
      <c r="P35" s="500"/>
      <c r="Q35" s="500"/>
      <c r="R35" s="500"/>
      <c r="S35" s="108"/>
      <c r="U35" s="430"/>
      <c r="V35" s="432"/>
      <c r="W35" s="432"/>
      <c r="X35" s="432"/>
      <c r="Y35" s="432"/>
      <c r="Z35" s="432"/>
      <c r="AA35" s="432"/>
      <c r="AB35" s="432"/>
      <c r="AC35" s="432"/>
      <c r="AD35" s="432"/>
      <c r="AE35" s="432"/>
      <c r="AF35" s="432"/>
      <c r="AG35" s="432"/>
      <c r="AH35" s="433"/>
    </row>
    <row r="36" spans="2:34" ht="23.1" customHeight="1">
      <c r="B36" s="119"/>
      <c r="C36" s="497"/>
      <c r="D36" s="498"/>
      <c r="E36" s="499"/>
      <c r="F36" s="499"/>
      <c r="G36" s="500"/>
      <c r="H36" s="500"/>
      <c r="I36" s="500"/>
      <c r="J36" s="500"/>
      <c r="K36" s="500"/>
      <c r="L36" s="500"/>
      <c r="M36" s="500"/>
      <c r="N36" s="500"/>
      <c r="O36" s="500"/>
      <c r="P36" s="500"/>
      <c r="Q36" s="500"/>
      <c r="R36" s="500"/>
      <c r="S36" s="108"/>
      <c r="U36" s="443"/>
      <c r="V36" s="444"/>
      <c r="W36" s="444"/>
      <c r="X36" s="444"/>
      <c r="Y36" s="444"/>
      <c r="Z36" s="444"/>
      <c r="AA36" s="444"/>
      <c r="AB36" s="444"/>
      <c r="AC36" s="444"/>
      <c r="AD36" s="444"/>
      <c r="AE36" s="444"/>
      <c r="AF36" s="444"/>
      <c r="AG36" s="444"/>
      <c r="AH36" s="445"/>
    </row>
    <row r="37" spans="2:34" ht="23.1" customHeight="1">
      <c r="B37" s="119"/>
      <c r="C37" s="497"/>
      <c r="D37" s="498"/>
      <c r="E37" s="499"/>
      <c r="F37" s="499"/>
      <c r="G37" s="500"/>
      <c r="H37" s="500"/>
      <c r="I37" s="500"/>
      <c r="J37" s="500"/>
      <c r="K37" s="500"/>
      <c r="L37" s="500"/>
      <c r="M37" s="500"/>
      <c r="N37" s="500"/>
      <c r="O37" s="500"/>
      <c r="P37" s="500"/>
      <c r="Q37" s="500"/>
      <c r="R37" s="500"/>
      <c r="S37" s="108"/>
      <c r="U37" s="443"/>
      <c r="V37" s="444"/>
      <c r="W37" s="444"/>
      <c r="X37" s="444"/>
      <c r="Y37" s="444"/>
      <c r="Z37" s="444"/>
      <c r="AA37" s="444"/>
      <c r="AB37" s="444"/>
      <c r="AC37" s="444"/>
      <c r="AD37" s="444"/>
      <c r="AE37" s="444"/>
      <c r="AF37" s="444"/>
      <c r="AG37" s="444"/>
      <c r="AH37" s="445"/>
    </row>
    <row r="38" spans="2:34" ht="23.1" customHeight="1">
      <c r="B38" s="119"/>
      <c r="C38" s="497"/>
      <c r="D38" s="498"/>
      <c r="E38" s="499"/>
      <c r="F38" s="499"/>
      <c r="G38" s="500"/>
      <c r="H38" s="500"/>
      <c r="I38" s="500"/>
      <c r="J38" s="500"/>
      <c r="K38" s="500"/>
      <c r="L38" s="500"/>
      <c r="M38" s="500"/>
      <c r="N38" s="500"/>
      <c r="O38" s="500"/>
      <c r="P38" s="500"/>
      <c r="Q38" s="500"/>
      <c r="R38" s="500"/>
      <c r="S38" s="108"/>
      <c r="U38" s="443"/>
      <c r="V38" s="444"/>
      <c r="W38" s="444"/>
      <c r="X38" s="444"/>
      <c r="Y38" s="444"/>
      <c r="Z38" s="444"/>
      <c r="AA38" s="444"/>
      <c r="AB38" s="444"/>
      <c r="AC38" s="444"/>
      <c r="AD38" s="444"/>
      <c r="AE38" s="444"/>
      <c r="AF38" s="444"/>
      <c r="AG38" s="444"/>
      <c r="AH38" s="445"/>
    </row>
    <row r="39" spans="2:34" ht="23.1" customHeight="1">
      <c r="B39" s="119"/>
      <c r="C39" s="497"/>
      <c r="D39" s="498"/>
      <c r="E39" s="499"/>
      <c r="F39" s="499"/>
      <c r="G39" s="500"/>
      <c r="H39" s="500"/>
      <c r="I39" s="500"/>
      <c r="J39" s="500"/>
      <c r="K39" s="500"/>
      <c r="L39" s="500"/>
      <c r="M39" s="500"/>
      <c r="N39" s="500"/>
      <c r="O39" s="500"/>
      <c r="P39" s="500"/>
      <c r="Q39" s="500"/>
      <c r="R39" s="500"/>
      <c r="S39" s="108"/>
      <c r="U39" s="443"/>
      <c r="V39" s="444"/>
      <c r="W39" s="444"/>
      <c r="X39" s="444"/>
      <c r="Y39" s="444"/>
      <c r="Z39" s="444"/>
      <c r="AA39" s="444"/>
      <c r="AB39" s="444"/>
      <c r="AC39" s="444"/>
      <c r="AD39" s="444"/>
      <c r="AE39" s="444"/>
      <c r="AF39" s="444"/>
      <c r="AG39" s="444"/>
      <c r="AH39" s="445"/>
    </row>
    <row r="40" spans="2:34" ht="23.1" customHeight="1">
      <c r="B40" s="119"/>
      <c r="C40" s="497"/>
      <c r="D40" s="498"/>
      <c r="E40" s="499"/>
      <c r="F40" s="499"/>
      <c r="G40" s="500"/>
      <c r="H40" s="500"/>
      <c r="I40" s="500"/>
      <c r="J40" s="500"/>
      <c r="K40" s="500"/>
      <c r="L40" s="500"/>
      <c r="M40" s="500"/>
      <c r="N40" s="500"/>
      <c r="O40" s="500"/>
      <c r="P40" s="500"/>
      <c r="Q40" s="500"/>
      <c r="R40" s="500"/>
      <c r="S40" s="108"/>
      <c r="U40" s="443"/>
      <c r="V40" s="444"/>
      <c r="W40" s="444"/>
      <c r="X40" s="444"/>
      <c r="Y40" s="444"/>
      <c r="Z40" s="444"/>
      <c r="AA40" s="444"/>
      <c r="AB40" s="444"/>
      <c r="AC40" s="444"/>
      <c r="AD40" s="444"/>
      <c r="AE40" s="444"/>
      <c r="AF40" s="444"/>
      <c r="AG40" s="444"/>
      <c r="AH40" s="445"/>
    </row>
    <row r="41" spans="2:34" ht="23.1" customHeight="1">
      <c r="B41" s="119"/>
      <c r="C41" s="497"/>
      <c r="D41" s="498"/>
      <c r="E41" s="499"/>
      <c r="F41" s="499"/>
      <c r="G41" s="500"/>
      <c r="H41" s="500"/>
      <c r="I41" s="500"/>
      <c r="J41" s="500"/>
      <c r="K41" s="500"/>
      <c r="L41" s="500"/>
      <c r="M41" s="500"/>
      <c r="N41" s="500"/>
      <c r="O41" s="500"/>
      <c r="P41" s="500"/>
      <c r="Q41" s="500"/>
      <c r="R41" s="500"/>
      <c r="S41" s="108"/>
      <c r="U41" s="443"/>
      <c r="V41" s="444"/>
      <c r="W41" s="444"/>
      <c r="X41" s="444"/>
      <c r="Y41" s="444"/>
      <c r="Z41" s="444"/>
      <c r="AA41" s="444"/>
      <c r="AB41" s="444"/>
      <c r="AC41" s="444"/>
      <c r="AD41" s="444"/>
      <c r="AE41" s="444"/>
      <c r="AF41" s="444"/>
      <c r="AG41" s="444"/>
      <c r="AH41" s="445"/>
    </row>
    <row r="42" spans="2:34" ht="23.1" customHeight="1">
      <c r="B42" s="119"/>
      <c r="C42" s="497"/>
      <c r="D42" s="498"/>
      <c r="E42" s="499"/>
      <c r="F42" s="499"/>
      <c r="G42" s="500"/>
      <c r="H42" s="500"/>
      <c r="I42" s="500"/>
      <c r="J42" s="500"/>
      <c r="K42" s="500"/>
      <c r="L42" s="500"/>
      <c r="M42" s="500"/>
      <c r="N42" s="500"/>
      <c r="O42" s="500"/>
      <c r="P42" s="500"/>
      <c r="Q42" s="500"/>
      <c r="R42" s="500"/>
      <c r="S42" s="108"/>
      <c r="U42" s="443"/>
      <c r="V42" s="444"/>
      <c r="W42" s="444"/>
      <c r="X42" s="444"/>
      <c r="Y42" s="444"/>
      <c r="Z42" s="444"/>
      <c r="AA42" s="444"/>
      <c r="AB42" s="444"/>
      <c r="AC42" s="444"/>
      <c r="AD42" s="444"/>
      <c r="AE42" s="444"/>
      <c r="AF42" s="444"/>
      <c r="AG42" s="444"/>
      <c r="AH42" s="445"/>
    </row>
    <row r="43" spans="2:34" ht="23.1" customHeight="1">
      <c r="B43" s="119"/>
      <c r="C43" s="497"/>
      <c r="D43" s="498"/>
      <c r="E43" s="499"/>
      <c r="F43" s="499"/>
      <c r="G43" s="500"/>
      <c r="H43" s="500"/>
      <c r="I43" s="500"/>
      <c r="J43" s="500"/>
      <c r="K43" s="500"/>
      <c r="L43" s="500"/>
      <c r="M43" s="500"/>
      <c r="N43" s="500"/>
      <c r="O43" s="500"/>
      <c r="P43" s="500"/>
      <c r="Q43" s="500"/>
      <c r="R43" s="500"/>
      <c r="S43" s="108"/>
      <c r="U43" s="443"/>
      <c r="V43" s="444"/>
      <c r="W43" s="444"/>
      <c r="X43" s="444"/>
      <c r="Y43" s="444"/>
      <c r="Z43" s="444"/>
      <c r="AA43" s="444"/>
      <c r="AB43" s="444"/>
      <c r="AC43" s="444"/>
      <c r="AD43" s="444"/>
      <c r="AE43" s="444"/>
      <c r="AF43" s="444"/>
      <c r="AG43" s="444"/>
      <c r="AH43" s="445"/>
    </row>
    <row r="44" spans="2:34" ht="23.1" customHeight="1">
      <c r="B44" s="119"/>
      <c r="C44" s="497"/>
      <c r="D44" s="498"/>
      <c r="E44" s="499"/>
      <c r="F44" s="499"/>
      <c r="G44" s="500"/>
      <c r="H44" s="500"/>
      <c r="I44" s="500"/>
      <c r="J44" s="500"/>
      <c r="K44" s="500"/>
      <c r="L44" s="500"/>
      <c r="M44" s="500"/>
      <c r="N44" s="500"/>
      <c r="O44" s="500"/>
      <c r="P44" s="500"/>
      <c r="Q44" s="500"/>
      <c r="R44" s="500"/>
      <c r="S44" s="108"/>
      <c r="U44" s="443"/>
      <c r="V44" s="444"/>
      <c r="W44" s="444"/>
      <c r="X44" s="444"/>
      <c r="Y44" s="444"/>
      <c r="Z44" s="444"/>
      <c r="AA44" s="444"/>
      <c r="AB44" s="444"/>
      <c r="AC44" s="444"/>
      <c r="AD44" s="444"/>
      <c r="AE44" s="444"/>
      <c r="AF44" s="444"/>
      <c r="AG44" s="444"/>
      <c r="AH44" s="445"/>
    </row>
    <row r="45" spans="2:34" ht="23.1" customHeight="1">
      <c r="B45" s="119"/>
      <c r="C45" s="497"/>
      <c r="D45" s="498"/>
      <c r="E45" s="499"/>
      <c r="F45" s="499"/>
      <c r="G45" s="500"/>
      <c r="H45" s="500"/>
      <c r="I45" s="500"/>
      <c r="J45" s="500"/>
      <c r="K45" s="500"/>
      <c r="L45" s="500"/>
      <c r="M45" s="500"/>
      <c r="N45" s="500"/>
      <c r="O45" s="500"/>
      <c r="P45" s="500"/>
      <c r="Q45" s="500"/>
      <c r="R45" s="500"/>
      <c r="S45" s="108"/>
      <c r="U45" s="443"/>
      <c r="V45" s="444"/>
      <c r="W45" s="444"/>
      <c r="X45" s="444"/>
      <c r="Y45" s="444"/>
      <c r="Z45" s="444"/>
      <c r="AA45" s="444"/>
      <c r="AB45" s="444"/>
      <c r="AC45" s="444"/>
      <c r="AD45" s="444"/>
      <c r="AE45" s="444"/>
      <c r="AF45" s="444"/>
      <c r="AG45" s="444"/>
      <c r="AH45" s="445"/>
    </row>
    <row r="46" spans="2:34" s="131" customFormat="1" ht="23.1" customHeight="1" thickBot="1">
      <c r="B46" s="119"/>
      <c r="C46" s="1160" t="s">
        <v>393</v>
      </c>
      <c r="D46" s="1161"/>
      <c r="E46" s="128">
        <f>MIN(E16:E45)</f>
        <v>0</v>
      </c>
      <c r="F46" s="128">
        <f>MAX(F16:F45)</f>
        <v>0</v>
      </c>
      <c r="G46" s="129">
        <f t="shared" ref="G46:R46" si="0">SUM(G16:G45)</f>
        <v>0</v>
      </c>
      <c r="H46" s="129">
        <f t="shared" si="0"/>
        <v>0</v>
      </c>
      <c r="I46" s="129">
        <f t="shared" si="0"/>
        <v>0</v>
      </c>
      <c r="J46" s="129">
        <f t="shared" si="0"/>
        <v>0</v>
      </c>
      <c r="K46" s="129">
        <f t="shared" si="0"/>
        <v>0</v>
      </c>
      <c r="L46" s="129">
        <f t="shared" si="0"/>
        <v>0</v>
      </c>
      <c r="M46" s="129">
        <f t="shared" si="0"/>
        <v>0</v>
      </c>
      <c r="N46" s="129">
        <f t="shared" si="0"/>
        <v>0</v>
      </c>
      <c r="O46" s="129">
        <f t="shared" si="0"/>
        <v>0</v>
      </c>
      <c r="P46" s="129">
        <f t="shared" si="0"/>
        <v>0</v>
      </c>
      <c r="Q46" s="129">
        <f t="shared" si="0"/>
        <v>0</v>
      </c>
      <c r="R46" s="129">
        <f t="shared" si="0"/>
        <v>0</v>
      </c>
      <c r="S46" s="130"/>
      <c r="U46" s="443"/>
      <c r="V46" s="444"/>
      <c r="W46" s="444"/>
      <c r="X46" s="444"/>
      <c r="Y46" s="444"/>
      <c r="Z46" s="444"/>
      <c r="AA46" s="444"/>
      <c r="AB46" s="444"/>
      <c r="AC46" s="444"/>
      <c r="AD46" s="444"/>
      <c r="AE46" s="444"/>
      <c r="AF46" s="444"/>
      <c r="AG46" s="444"/>
      <c r="AH46" s="445"/>
    </row>
    <row r="47" spans="2:34" s="131" customFormat="1" ht="23.1" customHeight="1">
      <c r="B47" s="119"/>
      <c r="C47" s="889"/>
      <c r="D47" s="889"/>
      <c r="E47" s="890"/>
      <c r="F47" s="890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130"/>
      <c r="U47" s="443"/>
      <c r="V47" s="444"/>
      <c r="W47" s="444"/>
      <c r="X47" s="444"/>
      <c r="Y47" s="444"/>
      <c r="Z47" s="444"/>
      <c r="AA47" s="444"/>
      <c r="AB47" s="444"/>
      <c r="AC47" s="444"/>
      <c r="AD47" s="444"/>
      <c r="AE47" s="444"/>
      <c r="AF47" s="444"/>
      <c r="AG47" s="444"/>
      <c r="AH47" s="445"/>
    </row>
    <row r="48" spans="2:34" s="131" customFormat="1" ht="23.1" customHeight="1">
      <c r="B48" s="119"/>
      <c r="C48" s="891" t="s">
        <v>790</v>
      </c>
      <c r="D48" s="889"/>
      <c r="E48" s="890"/>
      <c r="F48" s="890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130"/>
      <c r="U48" s="443"/>
      <c r="V48" s="444"/>
      <c r="W48" s="444"/>
      <c r="X48" s="444"/>
      <c r="Y48" s="444"/>
      <c r="Z48" s="444"/>
      <c r="AA48" s="444"/>
      <c r="AB48" s="444"/>
      <c r="AC48" s="444"/>
      <c r="AD48" s="444"/>
      <c r="AE48" s="444"/>
      <c r="AF48" s="444"/>
      <c r="AG48" s="444"/>
      <c r="AH48" s="445"/>
    </row>
    <row r="49" spans="2:34" s="131" customFormat="1" ht="23.1" customHeight="1">
      <c r="B49" s="119"/>
      <c r="C49" s="892" t="s">
        <v>791</v>
      </c>
      <c r="D49" s="889"/>
      <c r="E49" s="890"/>
      <c r="F49" s="893">
        <f>ejercicio-1</f>
        <v>2017</v>
      </c>
      <c r="G49" s="894" t="s">
        <v>792</v>
      </c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130"/>
      <c r="U49" s="443"/>
      <c r="V49" s="444"/>
      <c r="W49" s="444"/>
      <c r="X49" s="444"/>
      <c r="Y49" s="444"/>
      <c r="Z49" s="444"/>
      <c r="AA49" s="444"/>
      <c r="AB49" s="444"/>
      <c r="AC49" s="444"/>
      <c r="AD49" s="444"/>
      <c r="AE49" s="444"/>
      <c r="AF49" s="444"/>
      <c r="AG49" s="444"/>
      <c r="AH49" s="445"/>
    </row>
    <row r="50" spans="2:34" s="131" customFormat="1" ht="23.1" customHeight="1">
      <c r="B50" s="119"/>
      <c r="C50" s="895" t="s">
        <v>793</v>
      </c>
      <c r="D50" s="889"/>
      <c r="E50" s="890"/>
      <c r="F50" s="890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130"/>
      <c r="U50" s="443"/>
      <c r="V50" s="444"/>
      <c r="W50" s="444"/>
      <c r="X50" s="444"/>
      <c r="Y50" s="444"/>
      <c r="Z50" s="444"/>
      <c r="AA50" s="444"/>
      <c r="AB50" s="444"/>
      <c r="AC50" s="444"/>
      <c r="AD50" s="444"/>
      <c r="AE50" s="444"/>
      <c r="AF50" s="444"/>
      <c r="AG50" s="444"/>
      <c r="AH50" s="445"/>
    </row>
    <row r="51" spans="2:34" s="131" customFormat="1" ht="23.1" customHeight="1">
      <c r="B51" s="119"/>
      <c r="C51" s="892" t="s">
        <v>796</v>
      </c>
      <c r="D51" s="889"/>
      <c r="E51" s="890"/>
      <c r="F51" s="890"/>
      <c r="G51" s="893">
        <f>ejercicio-1</f>
        <v>2017</v>
      </c>
      <c r="H51" s="894" t="s">
        <v>797</v>
      </c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130"/>
      <c r="U51" s="443"/>
      <c r="V51" s="444"/>
      <c r="W51" s="444"/>
      <c r="X51" s="444"/>
      <c r="Y51" s="444"/>
      <c r="Z51" s="444"/>
      <c r="AA51" s="444"/>
      <c r="AB51" s="444"/>
      <c r="AC51" s="444"/>
      <c r="AD51" s="444"/>
      <c r="AE51" s="444"/>
      <c r="AF51" s="444"/>
      <c r="AG51" s="444"/>
      <c r="AH51" s="445"/>
    </row>
    <row r="52" spans="2:34" s="131" customFormat="1" ht="23.1" customHeight="1">
      <c r="B52" s="119"/>
      <c r="C52" s="892" t="s">
        <v>798</v>
      </c>
      <c r="D52" s="889"/>
      <c r="E52" s="890"/>
      <c r="F52" s="890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130"/>
      <c r="U52" s="443"/>
      <c r="V52" s="444"/>
      <c r="W52" s="444"/>
      <c r="X52" s="444"/>
      <c r="Y52" s="444"/>
      <c r="Z52" s="444"/>
      <c r="AA52" s="444"/>
      <c r="AB52" s="444"/>
      <c r="AC52" s="444"/>
      <c r="AD52" s="444"/>
      <c r="AE52" s="444"/>
      <c r="AF52" s="444"/>
      <c r="AG52" s="444"/>
      <c r="AH52" s="445"/>
    </row>
    <row r="53" spans="2:34" s="131" customFormat="1" ht="23.1" customHeight="1">
      <c r="B53" s="119"/>
      <c r="C53" s="892" t="s">
        <v>802</v>
      </c>
      <c r="D53" s="889"/>
      <c r="E53" s="890"/>
      <c r="F53" s="890"/>
      <c r="G53" s="893">
        <f>ejercicio-1</f>
        <v>2017</v>
      </c>
      <c r="H53" s="894" t="s">
        <v>801</v>
      </c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130"/>
      <c r="U53" s="443"/>
      <c r="V53" s="444"/>
      <c r="W53" s="444"/>
      <c r="X53" s="444"/>
      <c r="Y53" s="444"/>
      <c r="Z53" s="444"/>
      <c r="AA53" s="444"/>
      <c r="AB53" s="444"/>
      <c r="AC53" s="444"/>
      <c r="AD53" s="444"/>
      <c r="AE53" s="444"/>
      <c r="AF53" s="444"/>
      <c r="AG53" s="444"/>
      <c r="AH53" s="445"/>
    </row>
    <row r="54" spans="2:34" s="131" customFormat="1" ht="23.1" customHeight="1">
      <c r="B54" s="119"/>
      <c r="C54" s="889"/>
      <c r="D54" s="889"/>
      <c r="E54" s="890"/>
      <c r="F54" s="890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130"/>
      <c r="U54" s="443"/>
      <c r="V54" s="444"/>
      <c r="W54" s="444"/>
      <c r="X54" s="444"/>
      <c r="Y54" s="444"/>
      <c r="Z54" s="444"/>
      <c r="AA54" s="444"/>
      <c r="AB54" s="444"/>
      <c r="AC54" s="444"/>
      <c r="AD54" s="444"/>
      <c r="AE54" s="444"/>
      <c r="AF54" s="444"/>
      <c r="AG54" s="444"/>
      <c r="AH54" s="445"/>
    </row>
    <row r="55" spans="2:34" ht="23.1" customHeight="1" thickBot="1">
      <c r="B55" s="123"/>
      <c r="C55" s="1134"/>
      <c r="D55" s="1134"/>
      <c r="E55" s="1134"/>
      <c r="F55" s="1134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124"/>
      <c r="S55" s="125"/>
      <c r="U55" s="446"/>
      <c r="V55" s="447"/>
      <c r="W55" s="447"/>
      <c r="X55" s="447"/>
      <c r="Y55" s="447"/>
      <c r="Z55" s="447"/>
      <c r="AA55" s="447"/>
      <c r="AB55" s="447"/>
      <c r="AC55" s="447"/>
      <c r="AD55" s="447"/>
      <c r="AE55" s="447"/>
      <c r="AF55" s="447"/>
      <c r="AG55" s="447"/>
      <c r="AH55" s="448"/>
    </row>
    <row r="56" spans="2:34" ht="23.1" customHeight="1">
      <c r="C56" s="106"/>
      <c r="D56" s="106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</row>
    <row r="57" spans="2:34" ht="13.2">
      <c r="C57" s="126" t="s">
        <v>77</v>
      </c>
      <c r="D57" s="106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97" t="s">
        <v>46</v>
      </c>
    </row>
    <row r="58" spans="2:34" ht="13.2">
      <c r="C58" s="127" t="s">
        <v>78</v>
      </c>
      <c r="D58" s="106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</row>
    <row r="59" spans="2:34" ht="13.2">
      <c r="C59" s="127" t="s">
        <v>79</v>
      </c>
      <c r="D59" s="106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</row>
    <row r="60" spans="2:34" ht="13.2">
      <c r="C60" s="127" t="s">
        <v>80</v>
      </c>
      <c r="D60" s="106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</row>
    <row r="61" spans="2:34" ht="13.2">
      <c r="C61" s="127" t="s">
        <v>81</v>
      </c>
      <c r="D61" s="106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</row>
    <row r="62" spans="2:34" ht="23.1" customHeight="1">
      <c r="C62" s="106"/>
      <c r="D62" s="106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</row>
    <row r="63" spans="2:34" ht="23.1" customHeight="1">
      <c r="C63" s="106"/>
      <c r="D63" s="106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</row>
    <row r="64" spans="2:34" ht="23.1" customHeight="1">
      <c r="C64" s="106"/>
      <c r="D64" s="106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</row>
    <row r="65" spans="3:18" ht="23.1" customHeight="1">
      <c r="C65" s="106"/>
      <c r="D65" s="106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</row>
    <row r="66" spans="3:18" ht="23.1" customHeight="1"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24" type="noConversion"/>
  <printOptions horizontalCentered="1" verticalCentered="1"/>
  <pageMargins left="0.36000000000000004" right="0.36000000000000004" top="0.6100000000000001" bottom="0.6100000000000001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D57"/>
  <sheetViews>
    <sheetView zoomScale="70" zoomScaleNormal="70" zoomScalePageLayoutView="125" workbookViewId="0">
      <selection activeCell="M36" sqref="M36"/>
    </sheetView>
  </sheetViews>
  <sheetFormatPr baseColWidth="10" defaultColWidth="10.90625" defaultRowHeight="23.1" customHeight="1"/>
  <cols>
    <col min="1" max="2" width="3.08984375" style="99" customWidth="1"/>
    <col min="3" max="3" width="13.54296875" style="99" customWidth="1"/>
    <col min="4" max="4" width="23.08984375" style="99" customWidth="1"/>
    <col min="5" max="13" width="13.453125" style="100" customWidth="1"/>
    <col min="14" max="14" width="40.90625" style="100" customWidth="1"/>
    <col min="15" max="15" width="3.08984375" style="99" customWidth="1"/>
    <col min="16" max="16384" width="10.90625" style="99"/>
  </cols>
  <sheetData>
    <row r="2" spans="2:30" ht="23.1" customHeight="1">
      <c r="D2" s="65" t="s">
        <v>379</v>
      </c>
    </row>
    <row r="3" spans="2:30" ht="23.1" customHeight="1">
      <c r="D3" s="65" t="s">
        <v>380</v>
      </c>
    </row>
    <row r="4" spans="2:30" ht="23.1" customHeight="1" thickBot="1"/>
    <row r="5" spans="2:30" ht="9" customHeight="1"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  <c r="Q5" s="427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8"/>
      <c r="AC5" s="428"/>
      <c r="AD5" s="429"/>
    </row>
    <row r="6" spans="2:30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07"/>
      <c r="K6" s="107"/>
      <c r="L6" s="107"/>
      <c r="M6" s="107"/>
      <c r="N6" s="1111">
        <f>ejercicio</f>
        <v>2018</v>
      </c>
      <c r="O6" s="108"/>
      <c r="Q6" s="430"/>
      <c r="R6" s="431" t="s">
        <v>707</v>
      </c>
      <c r="S6" s="432"/>
      <c r="T6" s="432"/>
      <c r="U6" s="432"/>
      <c r="V6" s="432"/>
      <c r="W6" s="432"/>
      <c r="X6" s="432"/>
      <c r="Y6" s="432"/>
      <c r="Z6" s="432"/>
      <c r="AA6" s="432"/>
      <c r="AB6" s="432"/>
      <c r="AC6" s="432"/>
      <c r="AD6" s="433"/>
    </row>
    <row r="7" spans="2:30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07"/>
      <c r="K7" s="107"/>
      <c r="L7" s="107"/>
      <c r="M7" s="107"/>
      <c r="N7" s="1111"/>
      <c r="O7" s="108"/>
      <c r="Q7" s="430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3"/>
    </row>
    <row r="8" spans="2:30" ht="30" customHeight="1">
      <c r="B8" s="105"/>
      <c r="C8" s="109"/>
      <c r="D8" s="106"/>
      <c r="E8" s="107"/>
      <c r="F8" s="107"/>
      <c r="G8" s="107"/>
      <c r="H8" s="107"/>
      <c r="I8" s="107"/>
      <c r="J8" s="107"/>
      <c r="K8" s="107"/>
      <c r="L8" s="107"/>
      <c r="M8" s="107"/>
      <c r="N8" s="110"/>
      <c r="O8" s="108"/>
      <c r="Q8" s="430"/>
      <c r="R8" s="432"/>
      <c r="S8" s="432"/>
      <c r="T8" s="432"/>
      <c r="U8" s="432"/>
      <c r="V8" s="432"/>
      <c r="W8" s="432"/>
      <c r="X8" s="432"/>
      <c r="Y8" s="432"/>
      <c r="Z8" s="432"/>
      <c r="AA8" s="432"/>
      <c r="AB8" s="432"/>
      <c r="AC8" s="432"/>
      <c r="AD8" s="433"/>
    </row>
    <row r="9" spans="2:30" s="67" customFormat="1" ht="30" customHeight="1">
      <c r="B9" s="111"/>
      <c r="C9" s="56" t="s">
        <v>2</v>
      </c>
      <c r="D9" s="1135" t="str">
        <f>Entidad</f>
        <v>SPET, Turismo de Tenerife, S.A.</v>
      </c>
      <c r="E9" s="1135"/>
      <c r="F9" s="1135"/>
      <c r="G9" s="1135"/>
      <c r="H9" s="1135"/>
      <c r="I9" s="1135"/>
      <c r="J9" s="1135"/>
      <c r="K9" s="1135"/>
      <c r="L9" s="1135"/>
      <c r="M9" s="1135"/>
      <c r="N9" s="1135"/>
      <c r="O9" s="112"/>
      <c r="Q9" s="434"/>
      <c r="R9" s="435"/>
      <c r="S9" s="435"/>
      <c r="T9" s="435"/>
      <c r="U9" s="435"/>
      <c r="V9" s="435"/>
      <c r="W9" s="435"/>
      <c r="X9" s="435"/>
      <c r="Y9" s="435"/>
      <c r="Z9" s="435"/>
      <c r="AA9" s="435"/>
      <c r="AB9" s="435"/>
      <c r="AC9" s="435"/>
      <c r="AD9" s="436"/>
    </row>
    <row r="10" spans="2:30" ht="7.35" customHeight="1">
      <c r="B10" s="105"/>
      <c r="C10" s="106"/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8"/>
      <c r="Q10" s="430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2"/>
      <c r="AD10" s="433"/>
    </row>
    <row r="11" spans="2:30" s="117" customFormat="1" ht="30" customHeight="1">
      <c r="B11" s="113"/>
      <c r="C11" s="114" t="s">
        <v>420</v>
      </c>
      <c r="D11" s="114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6"/>
      <c r="Q11" s="437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439"/>
    </row>
    <row r="12" spans="2:30" s="117" customFormat="1" ht="30" customHeight="1">
      <c r="B12" s="113"/>
      <c r="C12" s="118"/>
      <c r="D12" s="11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116"/>
      <c r="Q12" s="437"/>
      <c r="R12" s="438"/>
      <c r="S12" s="438"/>
      <c r="T12" s="438"/>
      <c r="U12" s="438"/>
      <c r="V12" s="438"/>
      <c r="W12" s="438"/>
      <c r="X12" s="438"/>
      <c r="Y12" s="438"/>
      <c r="Z12" s="438"/>
      <c r="AA12" s="438"/>
      <c r="AB12" s="438"/>
      <c r="AC12" s="438"/>
      <c r="AD12" s="439"/>
    </row>
    <row r="13" spans="2:30" s="121" customFormat="1" ht="23.1" customHeight="1">
      <c r="B13" s="119"/>
      <c r="C13" s="1162"/>
      <c r="D13" s="1163"/>
      <c r="E13" s="202" t="s">
        <v>417</v>
      </c>
      <c r="F13" s="1166" t="s">
        <v>407</v>
      </c>
      <c r="G13" s="1167"/>
      <c r="H13" s="1167"/>
      <c r="I13" s="1167"/>
      <c r="J13" s="1167"/>
      <c r="K13" s="1167"/>
      <c r="L13" s="1168"/>
      <c r="M13" s="202" t="s">
        <v>418</v>
      </c>
      <c r="N13" s="1164" t="s">
        <v>419</v>
      </c>
      <c r="O13" s="120"/>
      <c r="Q13" s="430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2"/>
      <c r="AC13" s="432"/>
      <c r="AD13" s="433"/>
    </row>
    <row r="14" spans="2:30" ht="49.35" customHeight="1">
      <c r="B14" s="105"/>
      <c r="C14" s="211" t="s">
        <v>414</v>
      </c>
      <c r="D14" s="209">
        <f>ejercicio-1</f>
        <v>2017</v>
      </c>
      <c r="E14" s="210">
        <f>ejercicio-1</f>
        <v>2017</v>
      </c>
      <c r="F14" s="206" t="s">
        <v>409</v>
      </c>
      <c r="G14" s="207" t="s">
        <v>408</v>
      </c>
      <c r="H14" s="207" t="s">
        <v>410</v>
      </c>
      <c r="I14" s="207" t="s">
        <v>411</v>
      </c>
      <c r="J14" s="207" t="s">
        <v>412</v>
      </c>
      <c r="K14" s="207" t="s">
        <v>413</v>
      </c>
      <c r="L14" s="208" t="s">
        <v>398</v>
      </c>
      <c r="M14" s="210">
        <f>ejercicio-1</f>
        <v>2017</v>
      </c>
      <c r="N14" s="1165"/>
      <c r="O14" s="108"/>
      <c r="Q14" s="430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2"/>
      <c r="AC14" s="432"/>
      <c r="AD14" s="433"/>
    </row>
    <row r="15" spans="2:30" s="122" customFormat="1" ht="23.1" customHeight="1">
      <c r="B15" s="119"/>
      <c r="C15" s="160" t="s">
        <v>400</v>
      </c>
      <c r="D15" s="161"/>
      <c r="E15" s="501">
        <v>25149.919999999998</v>
      </c>
      <c r="F15" s="502">
        <v>16409.78</v>
      </c>
      <c r="G15" s="503"/>
      <c r="H15" s="503"/>
      <c r="I15" s="503">
        <v>-23521.45</v>
      </c>
      <c r="J15" s="503"/>
      <c r="K15" s="503"/>
      <c r="L15" s="504"/>
      <c r="M15" s="176">
        <f>SUM(E15:L15)</f>
        <v>18038.249999999996</v>
      </c>
      <c r="N15" s="534"/>
      <c r="O15" s="120"/>
      <c r="Q15" s="430"/>
      <c r="R15" s="432"/>
      <c r="S15" s="432"/>
      <c r="T15" s="432"/>
      <c r="U15" s="432"/>
      <c r="V15" s="432"/>
      <c r="W15" s="432"/>
      <c r="X15" s="432"/>
      <c r="Y15" s="432"/>
      <c r="Z15" s="432"/>
      <c r="AA15" s="432"/>
      <c r="AB15" s="432"/>
      <c r="AC15" s="432"/>
      <c r="AD15" s="433"/>
    </row>
    <row r="16" spans="2:30" ht="23.1" customHeight="1">
      <c r="B16" s="119"/>
      <c r="C16" s="162" t="s">
        <v>403</v>
      </c>
      <c r="D16" s="163"/>
      <c r="E16" s="505"/>
      <c r="F16" s="506"/>
      <c r="G16" s="507"/>
      <c r="H16" s="507"/>
      <c r="I16" s="507"/>
      <c r="J16" s="507"/>
      <c r="K16" s="507"/>
      <c r="L16" s="508"/>
      <c r="M16" s="180">
        <f t="shared" ref="M16:M19" si="0">SUM(E16:L16)</f>
        <v>0</v>
      </c>
      <c r="N16" s="909"/>
      <c r="O16" s="108"/>
      <c r="Q16" s="430"/>
      <c r="R16" s="432"/>
      <c r="S16" s="432"/>
      <c r="T16" s="432"/>
      <c r="U16" s="432"/>
      <c r="V16" s="432"/>
      <c r="W16" s="432"/>
      <c r="X16" s="432"/>
      <c r="Y16" s="432"/>
      <c r="Z16" s="432"/>
      <c r="AA16" s="432"/>
      <c r="AB16" s="432"/>
      <c r="AC16" s="432"/>
      <c r="AD16" s="433"/>
    </row>
    <row r="17" spans="2:30" ht="23.1" customHeight="1">
      <c r="B17" s="119"/>
      <c r="C17" s="162" t="s">
        <v>401</v>
      </c>
      <c r="D17" s="163"/>
      <c r="E17" s="505">
        <v>786229.83</v>
      </c>
      <c r="F17" s="506">
        <v>48060.85</v>
      </c>
      <c r="G17" s="507"/>
      <c r="H17" s="507"/>
      <c r="I17" s="507">
        <v>-58874.53</v>
      </c>
      <c r="J17" s="507"/>
      <c r="K17" s="507"/>
      <c r="L17" s="508"/>
      <c r="M17" s="180">
        <f t="shared" si="0"/>
        <v>775416.14999999991</v>
      </c>
      <c r="N17" s="909"/>
      <c r="O17" s="108"/>
      <c r="Q17" s="430"/>
      <c r="R17" s="432"/>
      <c r="S17" s="432"/>
      <c r="T17" s="432"/>
      <c r="U17" s="432"/>
      <c r="V17" s="432"/>
      <c r="W17" s="432"/>
      <c r="X17" s="432"/>
      <c r="Y17" s="432"/>
      <c r="Z17" s="432"/>
      <c r="AA17" s="432"/>
      <c r="AB17" s="432"/>
      <c r="AC17" s="432"/>
      <c r="AD17" s="433"/>
    </row>
    <row r="18" spans="2:30" ht="23.1" customHeight="1">
      <c r="B18" s="119"/>
      <c r="C18" s="162" t="s">
        <v>404</v>
      </c>
      <c r="D18" s="163"/>
      <c r="E18" s="505"/>
      <c r="F18" s="506"/>
      <c r="G18" s="507"/>
      <c r="H18" s="507"/>
      <c r="I18" s="507"/>
      <c r="J18" s="507"/>
      <c r="K18" s="507"/>
      <c r="L18" s="508"/>
      <c r="M18" s="180">
        <f t="shared" si="0"/>
        <v>0</v>
      </c>
      <c r="N18" s="909"/>
      <c r="O18" s="108"/>
      <c r="Q18" s="430"/>
      <c r="R18" s="432"/>
      <c r="S18" s="432"/>
      <c r="T18" s="432"/>
      <c r="U18" s="432"/>
      <c r="V18" s="432"/>
      <c r="W18" s="432"/>
      <c r="X18" s="432"/>
      <c r="Y18" s="432"/>
      <c r="Z18" s="432"/>
      <c r="AA18" s="432"/>
      <c r="AB18" s="432"/>
      <c r="AC18" s="432"/>
      <c r="AD18" s="433"/>
    </row>
    <row r="19" spans="2:30" ht="23.1" customHeight="1">
      <c r="B19" s="119"/>
      <c r="C19" s="164" t="s">
        <v>402</v>
      </c>
      <c r="D19" s="165"/>
      <c r="E19" s="509"/>
      <c r="F19" s="510"/>
      <c r="G19" s="511"/>
      <c r="H19" s="511"/>
      <c r="I19" s="511"/>
      <c r="J19" s="511"/>
      <c r="K19" s="511"/>
      <c r="L19" s="512"/>
      <c r="M19" s="181">
        <f t="shared" si="0"/>
        <v>0</v>
      </c>
      <c r="N19" s="910"/>
      <c r="O19" s="108"/>
      <c r="Q19" s="430"/>
      <c r="R19" s="432"/>
      <c r="S19" s="432"/>
      <c r="T19" s="432"/>
      <c r="U19" s="432"/>
      <c r="V19" s="432"/>
      <c r="W19" s="432"/>
      <c r="X19" s="432"/>
      <c r="Y19" s="432"/>
      <c r="Z19" s="432"/>
      <c r="AA19" s="432"/>
      <c r="AB19" s="432"/>
      <c r="AC19" s="432"/>
      <c r="AD19" s="433"/>
    </row>
    <row r="20" spans="2:30" ht="23.1" customHeight="1" thickBot="1">
      <c r="B20" s="119"/>
      <c r="C20" s="166" t="s">
        <v>405</v>
      </c>
      <c r="D20" s="167"/>
      <c r="E20" s="179">
        <f>SUM(E15:E19)</f>
        <v>811379.75</v>
      </c>
      <c r="F20" s="179">
        <f t="shared" ref="F20:M20" si="1">SUM(F15:F19)</f>
        <v>64470.63</v>
      </c>
      <c r="G20" s="179">
        <f t="shared" si="1"/>
        <v>0</v>
      </c>
      <c r="H20" s="179">
        <f t="shared" si="1"/>
        <v>0</v>
      </c>
      <c r="I20" s="179">
        <f t="shared" si="1"/>
        <v>-82395.98</v>
      </c>
      <c r="J20" s="179">
        <f t="shared" si="1"/>
        <v>0</v>
      </c>
      <c r="K20" s="179">
        <f t="shared" si="1"/>
        <v>0</v>
      </c>
      <c r="L20" s="179">
        <f t="shared" si="1"/>
        <v>0</v>
      </c>
      <c r="M20" s="179">
        <f t="shared" si="1"/>
        <v>793454.39999999991</v>
      </c>
      <c r="N20" s="168"/>
      <c r="O20" s="108"/>
      <c r="Q20" s="430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3"/>
    </row>
    <row r="21" spans="2:30" ht="8.1" customHeight="1">
      <c r="B21" s="119"/>
      <c r="C21" s="156"/>
      <c r="D21" s="156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08"/>
      <c r="Q21" s="430"/>
      <c r="R21" s="432"/>
      <c r="S21" s="432"/>
      <c r="T21" s="432"/>
      <c r="U21" s="432"/>
      <c r="V21" s="432"/>
      <c r="W21" s="432"/>
      <c r="X21" s="432"/>
      <c r="Y21" s="432"/>
      <c r="Z21" s="432"/>
      <c r="AA21" s="432"/>
      <c r="AB21" s="432"/>
      <c r="AC21" s="432"/>
      <c r="AD21" s="433"/>
    </row>
    <row r="22" spans="2:30" ht="23.1" customHeight="1" thickBot="1">
      <c r="B22" s="119"/>
      <c r="C22" s="170" t="s">
        <v>406</v>
      </c>
      <c r="D22" s="171"/>
      <c r="E22" s="582">
        <v>45400.31</v>
      </c>
      <c r="F22" s="583"/>
      <c r="G22" s="584"/>
      <c r="H22" s="584"/>
      <c r="I22" s="584"/>
      <c r="J22" s="584"/>
      <c r="K22" s="584"/>
      <c r="L22" s="585"/>
      <c r="M22" s="179">
        <f>SUM(E22:L22)</f>
        <v>45400.31</v>
      </c>
      <c r="N22" s="943"/>
      <c r="O22" s="108"/>
      <c r="Q22" s="430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2"/>
      <c r="AC22" s="432"/>
      <c r="AD22" s="433"/>
    </row>
    <row r="23" spans="2:30" ht="23.1" customHeight="1">
      <c r="B23" s="119"/>
      <c r="C23" s="118"/>
      <c r="D23" s="11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108"/>
      <c r="Q23" s="430"/>
      <c r="R23" s="432"/>
      <c r="S23" s="432"/>
      <c r="T23" s="432"/>
      <c r="U23" s="432"/>
      <c r="V23" s="432"/>
      <c r="W23" s="432"/>
      <c r="X23" s="432"/>
      <c r="Y23" s="432"/>
      <c r="Z23" s="432"/>
      <c r="AA23" s="432"/>
      <c r="AB23" s="432"/>
      <c r="AC23" s="432"/>
      <c r="AD23" s="433"/>
    </row>
    <row r="24" spans="2:30" ht="23.1" customHeight="1">
      <c r="B24" s="119"/>
      <c r="C24" s="1162"/>
      <c r="D24" s="1163"/>
      <c r="E24" s="202" t="s">
        <v>417</v>
      </c>
      <c r="F24" s="1166" t="s">
        <v>407</v>
      </c>
      <c r="G24" s="1167"/>
      <c r="H24" s="1167"/>
      <c r="I24" s="1167"/>
      <c r="J24" s="1167"/>
      <c r="K24" s="1167"/>
      <c r="L24" s="1168"/>
      <c r="M24" s="202" t="s">
        <v>418</v>
      </c>
      <c r="N24" s="1164" t="s">
        <v>419</v>
      </c>
      <c r="O24" s="108"/>
      <c r="Q24" s="430"/>
      <c r="R24" s="432"/>
      <c r="S24" s="432"/>
      <c r="T24" s="432"/>
      <c r="U24" s="432"/>
      <c r="V24" s="432"/>
      <c r="W24" s="432"/>
      <c r="X24" s="432"/>
      <c r="Y24" s="432"/>
      <c r="Z24" s="432"/>
      <c r="AA24" s="432"/>
      <c r="AB24" s="432"/>
      <c r="AC24" s="432"/>
      <c r="AD24" s="433"/>
    </row>
    <row r="25" spans="2:30" ht="49.35" customHeight="1">
      <c r="B25" s="119"/>
      <c r="C25" s="211" t="s">
        <v>415</v>
      </c>
      <c r="D25" s="209">
        <f>ejercicio</f>
        <v>2018</v>
      </c>
      <c r="E25" s="210">
        <f>ejercicio</f>
        <v>2018</v>
      </c>
      <c r="F25" s="206" t="s">
        <v>409</v>
      </c>
      <c r="G25" s="207" t="s">
        <v>408</v>
      </c>
      <c r="H25" s="207" t="s">
        <v>410</v>
      </c>
      <c r="I25" s="207" t="s">
        <v>411</v>
      </c>
      <c r="J25" s="207" t="s">
        <v>412</v>
      </c>
      <c r="K25" s="207" t="s">
        <v>413</v>
      </c>
      <c r="L25" s="208" t="s">
        <v>398</v>
      </c>
      <c r="M25" s="210">
        <f>ejercicio</f>
        <v>2018</v>
      </c>
      <c r="N25" s="1165"/>
      <c r="O25" s="108"/>
      <c r="Q25" s="430"/>
      <c r="R25" s="432"/>
      <c r="S25" s="432"/>
      <c r="T25" s="432"/>
      <c r="U25" s="432"/>
      <c r="V25" s="432"/>
      <c r="W25" s="432"/>
      <c r="X25" s="432"/>
      <c r="Y25" s="432"/>
      <c r="Z25" s="432"/>
      <c r="AA25" s="432"/>
      <c r="AB25" s="432"/>
      <c r="AC25" s="432"/>
      <c r="AD25" s="433"/>
    </row>
    <row r="26" spans="2:30" ht="23.1" customHeight="1">
      <c r="B26" s="119"/>
      <c r="C26" s="160" t="s">
        <v>400</v>
      </c>
      <c r="D26" s="161"/>
      <c r="E26" s="176">
        <f>+M15</f>
        <v>18038.249999999996</v>
      </c>
      <c r="F26" s="502"/>
      <c r="G26" s="503"/>
      <c r="H26" s="503"/>
      <c r="I26" s="503">
        <f>-4454.4-6357.7</f>
        <v>-10812.099999999999</v>
      </c>
      <c r="J26" s="503"/>
      <c r="K26" s="503"/>
      <c r="L26" s="504"/>
      <c r="M26" s="176">
        <f>SUM(E26:L26)</f>
        <v>7226.1499999999978</v>
      </c>
      <c r="N26" s="534"/>
      <c r="O26" s="108"/>
      <c r="Q26" s="430"/>
      <c r="R26" s="432"/>
      <c r="S26" s="432"/>
      <c r="T26" s="432"/>
      <c r="U26" s="432"/>
      <c r="V26" s="432"/>
      <c r="W26" s="432"/>
      <c r="X26" s="432"/>
      <c r="Y26" s="432"/>
      <c r="Z26" s="432"/>
      <c r="AA26" s="432"/>
      <c r="AB26" s="432"/>
      <c r="AC26" s="432"/>
      <c r="AD26" s="433"/>
    </row>
    <row r="27" spans="2:30" ht="23.1" customHeight="1">
      <c r="B27" s="119"/>
      <c r="C27" s="162" t="s">
        <v>403</v>
      </c>
      <c r="D27" s="163"/>
      <c r="E27" s="180">
        <f>+M16</f>
        <v>0</v>
      </c>
      <c r="F27" s="506"/>
      <c r="G27" s="507"/>
      <c r="H27" s="507"/>
      <c r="I27" s="507"/>
      <c r="J27" s="507"/>
      <c r="K27" s="507"/>
      <c r="L27" s="508"/>
      <c r="M27" s="180">
        <f t="shared" ref="M27:M30" si="2">SUM(E27:L27)</f>
        <v>0</v>
      </c>
      <c r="N27" s="909"/>
      <c r="O27" s="108"/>
      <c r="Q27" s="430"/>
      <c r="R27" s="432"/>
      <c r="S27" s="432"/>
      <c r="T27" s="432"/>
      <c r="U27" s="432"/>
      <c r="V27" s="432"/>
      <c r="W27" s="432"/>
      <c r="X27" s="432"/>
      <c r="Y27" s="432"/>
      <c r="Z27" s="432"/>
      <c r="AA27" s="432"/>
      <c r="AB27" s="432"/>
      <c r="AC27" s="432"/>
      <c r="AD27" s="433"/>
    </row>
    <row r="28" spans="2:30" ht="23.1" customHeight="1">
      <c r="B28" s="119"/>
      <c r="C28" s="162" t="s">
        <v>401</v>
      </c>
      <c r="D28" s="163"/>
      <c r="E28" s="180">
        <f>+M17</f>
        <v>775416.14999999991</v>
      </c>
      <c r="F28" s="506"/>
      <c r="G28" s="507"/>
      <c r="H28" s="507"/>
      <c r="I28" s="507">
        <v>-38657.449999999997</v>
      </c>
      <c r="J28" s="507"/>
      <c r="K28" s="507"/>
      <c r="L28" s="508"/>
      <c r="M28" s="180">
        <f t="shared" si="2"/>
        <v>736758.7</v>
      </c>
      <c r="N28" s="909"/>
      <c r="O28" s="108"/>
      <c r="Q28" s="430"/>
      <c r="R28" s="432"/>
      <c r="S28" s="432"/>
      <c r="T28" s="432"/>
      <c r="U28" s="432"/>
      <c r="V28" s="432"/>
      <c r="W28" s="432"/>
      <c r="X28" s="432"/>
      <c r="Y28" s="432"/>
      <c r="Z28" s="432"/>
      <c r="AA28" s="432"/>
      <c r="AB28" s="432"/>
      <c r="AC28" s="432"/>
      <c r="AD28" s="433"/>
    </row>
    <row r="29" spans="2:30" ht="23.1" customHeight="1">
      <c r="B29" s="119"/>
      <c r="C29" s="162" t="s">
        <v>404</v>
      </c>
      <c r="D29" s="163"/>
      <c r="E29" s="180">
        <f>+M18</f>
        <v>0</v>
      </c>
      <c r="F29" s="506"/>
      <c r="G29" s="507"/>
      <c r="H29" s="507"/>
      <c r="I29" s="507"/>
      <c r="J29" s="507"/>
      <c r="K29" s="507"/>
      <c r="L29" s="508"/>
      <c r="M29" s="180">
        <f t="shared" si="2"/>
        <v>0</v>
      </c>
      <c r="N29" s="909"/>
      <c r="O29" s="108"/>
      <c r="Q29" s="430"/>
      <c r="R29" s="432"/>
      <c r="S29" s="432"/>
      <c r="T29" s="432"/>
      <c r="U29" s="432"/>
      <c r="V29" s="432"/>
      <c r="W29" s="432"/>
      <c r="X29" s="432"/>
      <c r="Y29" s="432"/>
      <c r="Z29" s="432"/>
      <c r="AA29" s="432"/>
      <c r="AB29" s="432"/>
      <c r="AC29" s="432"/>
      <c r="AD29" s="433"/>
    </row>
    <row r="30" spans="2:30" ht="23.1" customHeight="1">
      <c r="B30" s="119"/>
      <c r="C30" s="164" t="s">
        <v>402</v>
      </c>
      <c r="D30" s="165"/>
      <c r="E30" s="181">
        <f>+M19</f>
        <v>0</v>
      </c>
      <c r="F30" s="510"/>
      <c r="G30" s="511"/>
      <c r="H30" s="511"/>
      <c r="I30" s="511"/>
      <c r="J30" s="511"/>
      <c r="K30" s="511"/>
      <c r="L30" s="512"/>
      <c r="M30" s="181">
        <f t="shared" si="2"/>
        <v>0</v>
      </c>
      <c r="N30" s="910"/>
      <c r="O30" s="108"/>
      <c r="Q30" s="440"/>
      <c r="R30" s="441"/>
      <c r="S30" s="441"/>
      <c r="T30" s="441"/>
      <c r="U30" s="441"/>
      <c r="V30" s="441"/>
      <c r="W30" s="441"/>
      <c r="X30" s="441"/>
      <c r="Y30" s="441"/>
      <c r="Z30" s="441"/>
      <c r="AA30" s="441"/>
      <c r="AB30" s="441"/>
      <c r="AC30" s="441"/>
      <c r="AD30" s="442"/>
    </row>
    <row r="31" spans="2:30" ht="23.1" customHeight="1" thickBot="1">
      <c r="B31" s="119"/>
      <c r="C31" s="166" t="s">
        <v>405</v>
      </c>
      <c r="D31" s="167"/>
      <c r="E31" s="179">
        <f>SUM(E26:E30)</f>
        <v>793454.39999999991</v>
      </c>
      <c r="F31" s="179">
        <f t="shared" ref="F31" si="3">SUM(F26:F30)</f>
        <v>0</v>
      </c>
      <c r="G31" s="179">
        <f t="shared" ref="G31" si="4">SUM(G26:G30)</f>
        <v>0</v>
      </c>
      <c r="H31" s="179">
        <f t="shared" ref="H31" si="5">SUM(H26:H30)</f>
        <v>0</v>
      </c>
      <c r="I31" s="179">
        <f t="shared" ref="I31" si="6">SUM(I26:I30)</f>
        <v>-49469.549999999996</v>
      </c>
      <c r="J31" s="179">
        <f t="shared" ref="J31" si="7">SUM(J26:J30)</f>
        <v>0</v>
      </c>
      <c r="K31" s="179">
        <f t="shared" ref="K31" si="8">SUM(K26:K30)</f>
        <v>0</v>
      </c>
      <c r="L31" s="179">
        <f t="shared" ref="L31" si="9">SUM(L26:L30)</f>
        <v>0</v>
      </c>
      <c r="M31" s="179">
        <f>SUM(M26:M30)</f>
        <v>743984.85</v>
      </c>
      <c r="N31" s="168"/>
      <c r="O31" s="108"/>
      <c r="Q31" s="440"/>
      <c r="R31" s="441"/>
      <c r="S31" s="441"/>
      <c r="T31" s="441"/>
      <c r="U31" s="441"/>
      <c r="V31" s="441"/>
      <c r="W31" s="441"/>
      <c r="X31" s="441"/>
      <c r="Y31" s="441"/>
      <c r="Z31" s="441"/>
      <c r="AA31" s="441"/>
      <c r="AB31" s="441"/>
      <c r="AC31" s="441"/>
      <c r="AD31" s="442"/>
    </row>
    <row r="32" spans="2:30" ht="9" customHeight="1">
      <c r="B32" s="119"/>
      <c r="C32" s="156"/>
      <c r="D32" s="156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08"/>
      <c r="Q32" s="430"/>
      <c r="R32" s="432"/>
      <c r="S32" s="432"/>
      <c r="T32" s="432"/>
      <c r="U32" s="432"/>
      <c r="V32" s="432"/>
      <c r="W32" s="432"/>
      <c r="X32" s="432"/>
      <c r="Y32" s="432"/>
      <c r="Z32" s="432"/>
      <c r="AA32" s="432"/>
      <c r="AB32" s="432"/>
      <c r="AC32" s="432"/>
      <c r="AD32" s="433"/>
    </row>
    <row r="33" spans="2:30" ht="23.1" customHeight="1" thickBot="1">
      <c r="B33" s="119"/>
      <c r="C33" s="170" t="s">
        <v>406</v>
      </c>
      <c r="D33" s="171"/>
      <c r="E33" s="179">
        <f>+M22</f>
        <v>45400.31</v>
      </c>
      <c r="F33" s="583"/>
      <c r="G33" s="584"/>
      <c r="H33" s="584"/>
      <c r="I33" s="584"/>
      <c r="J33" s="584"/>
      <c r="K33" s="584"/>
      <c r="L33" s="585"/>
      <c r="M33" s="179">
        <f>SUM(E33:L33)</f>
        <v>45400.31</v>
      </c>
      <c r="N33" s="943"/>
      <c r="O33" s="108"/>
      <c r="Q33" s="430"/>
      <c r="R33" s="432"/>
      <c r="S33" s="432"/>
      <c r="T33" s="432"/>
      <c r="U33" s="432"/>
      <c r="V33" s="432"/>
      <c r="W33" s="432"/>
      <c r="X33" s="432"/>
      <c r="Y33" s="432"/>
      <c r="Z33" s="432"/>
      <c r="AA33" s="432"/>
      <c r="AB33" s="432"/>
      <c r="AC33" s="432"/>
      <c r="AD33" s="433"/>
    </row>
    <row r="34" spans="2:30" ht="23.1" customHeight="1">
      <c r="B34" s="119"/>
      <c r="C34" s="118"/>
      <c r="D34" s="11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108"/>
      <c r="Q34" s="430"/>
      <c r="R34" s="432"/>
      <c r="S34" s="432"/>
      <c r="T34" s="432"/>
      <c r="U34" s="432"/>
      <c r="V34" s="432"/>
      <c r="W34" s="432"/>
      <c r="X34" s="432"/>
      <c r="Y34" s="432"/>
      <c r="Z34" s="432"/>
      <c r="AA34" s="432"/>
      <c r="AB34" s="432"/>
      <c r="AC34" s="432"/>
      <c r="AD34" s="433"/>
    </row>
    <row r="35" spans="2:30" ht="23.1" customHeight="1">
      <c r="B35" s="119"/>
      <c r="C35" s="175" t="s">
        <v>416</v>
      </c>
      <c r="D35" s="173"/>
      <c r="E35" s="174"/>
      <c r="F35" s="174"/>
      <c r="G35" s="174"/>
      <c r="H35" s="174"/>
      <c r="I35" s="174"/>
      <c r="J35" s="174"/>
      <c r="K35" s="174"/>
      <c r="L35" s="174"/>
      <c r="M35" s="174"/>
      <c r="N35" s="98"/>
      <c r="O35" s="108"/>
      <c r="Q35" s="430"/>
      <c r="R35" s="432"/>
      <c r="S35" s="432"/>
      <c r="T35" s="432"/>
      <c r="U35" s="432"/>
      <c r="V35" s="432"/>
      <c r="W35" s="432"/>
      <c r="X35" s="432"/>
      <c r="Y35" s="432"/>
      <c r="Z35" s="432"/>
      <c r="AA35" s="432"/>
      <c r="AB35" s="432"/>
      <c r="AC35" s="432"/>
      <c r="AD35" s="433"/>
    </row>
    <row r="36" spans="2:30" ht="17.399999999999999">
      <c r="B36" s="119"/>
      <c r="C36" s="173" t="s">
        <v>814</v>
      </c>
      <c r="D36" s="173"/>
      <c r="E36" s="174"/>
      <c r="F36" s="174"/>
      <c r="G36" s="174"/>
      <c r="H36" s="174"/>
      <c r="I36" s="174"/>
      <c r="J36" s="174"/>
      <c r="K36" s="174"/>
      <c r="L36" s="174"/>
      <c r="M36" s="174"/>
      <c r="N36" s="98"/>
      <c r="O36" s="108"/>
      <c r="Q36" s="443"/>
      <c r="R36" s="444"/>
      <c r="S36" s="444"/>
      <c r="T36" s="444"/>
      <c r="U36" s="444"/>
      <c r="V36" s="444"/>
      <c r="W36" s="444"/>
      <c r="X36" s="444"/>
      <c r="Y36" s="444"/>
      <c r="Z36" s="444"/>
      <c r="AA36" s="444"/>
      <c r="AB36" s="444"/>
      <c r="AC36" s="444"/>
      <c r="AD36" s="445"/>
    </row>
    <row r="37" spans="2:30" ht="17.399999999999999">
      <c r="B37" s="119"/>
      <c r="C37" s="173" t="s">
        <v>815</v>
      </c>
      <c r="D37" s="173"/>
      <c r="E37" s="174"/>
      <c r="F37" s="174"/>
      <c r="G37" s="174"/>
      <c r="H37" s="174"/>
      <c r="I37" s="174"/>
      <c r="J37" s="174"/>
      <c r="K37" s="174"/>
      <c r="L37" s="174"/>
      <c r="M37" s="174"/>
      <c r="N37" s="98"/>
      <c r="O37" s="108"/>
      <c r="Q37" s="443"/>
      <c r="R37" s="444"/>
      <c r="S37" s="444"/>
      <c r="T37" s="444"/>
      <c r="U37" s="444"/>
      <c r="V37" s="444"/>
      <c r="W37" s="444"/>
      <c r="X37" s="444"/>
      <c r="Y37" s="444"/>
      <c r="Z37" s="444"/>
      <c r="AA37" s="444"/>
      <c r="AB37" s="444"/>
      <c r="AC37" s="444"/>
      <c r="AD37" s="445"/>
    </row>
    <row r="38" spans="2:30" ht="17.399999999999999">
      <c r="B38" s="119"/>
      <c r="C38" s="173" t="s">
        <v>816</v>
      </c>
      <c r="D38" s="173"/>
      <c r="E38" s="174"/>
      <c r="F38" s="174"/>
      <c r="G38" s="174"/>
      <c r="H38" s="174"/>
      <c r="I38" s="174"/>
      <c r="J38" s="174"/>
      <c r="K38" s="174"/>
      <c r="L38" s="174"/>
      <c r="M38" s="174"/>
      <c r="N38" s="98"/>
      <c r="O38" s="108"/>
      <c r="Q38" s="443"/>
      <c r="R38" s="444"/>
      <c r="S38" s="444"/>
      <c r="T38" s="444"/>
      <c r="U38" s="444"/>
      <c r="V38" s="444"/>
      <c r="W38" s="444"/>
      <c r="X38" s="444"/>
      <c r="Y38" s="444"/>
      <c r="Z38" s="444"/>
      <c r="AA38" s="444"/>
      <c r="AB38" s="444"/>
      <c r="AC38" s="444"/>
      <c r="AD38" s="445"/>
    </row>
    <row r="39" spans="2:30" ht="17.399999999999999">
      <c r="B39" s="119"/>
      <c r="C39" s="173" t="s">
        <v>817</v>
      </c>
      <c r="D39" s="173"/>
      <c r="E39" s="174"/>
      <c r="F39" s="174"/>
      <c r="G39" s="174"/>
      <c r="H39" s="174"/>
      <c r="I39" s="174"/>
      <c r="J39" s="174"/>
      <c r="K39" s="174"/>
      <c r="L39" s="174"/>
      <c r="M39" s="174"/>
      <c r="N39" s="98"/>
      <c r="O39" s="108"/>
      <c r="Q39" s="443"/>
      <c r="R39" s="444"/>
      <c r="S39" s="444"/>
      <c r="T39" s="444"/>
      <c r="U39" s="444"/>
      <c r="V39" s="444"/>
      <c r="W39" s="444"/>
      <c r="X39" s="444"/>
      <c r="Y39" s="444"/>
      <c r="Z39" s="444"/>
      <c r="AA39" s="444"/>
      <c r="AB39" s="444"/>
      <c r="AC39" s="444"/>
      <c r="AD39" s="445"/>
    </row>
    <row r="40" spans="2:30" ht="17.399999999999999">
      <c r="B40" s="119"/>
      <c r="C40" s="173" t="s">
        <v>823</v>
      </c>
      <c r="D40" s="173"/>
      <c r="E40" s="174"/>
      <c r="F40" s="174"/>
      <c r="G40" s="174"/>
      <c r="H40" s="174"/>
      <c r="I40" s="174"/>
      <c r="J40" s="174"/>
      <c r="K40" s="174"/>
      <c r="L40" s="174"/>
      <c r="M40" s="174"/>
      <c r="N40" s="98"/>
      <c r="O40" s="108"/>
      <c r="Q40" s="443"/>
      <c r="R40" s="444"/>
      <c r="S40" s="444"/>
      <c r="T40" s="444"/>
      <c r="U40" s="444"/>
      <c r="V40" s="444"/>
      <c r="W40" s="444"/>
      <c r="X40" s="444"/>
      <c r="Y40" s="444"/>
      <c r="Z40" s="444"/>
      <c r="AA40" s="444"/>
      <c r="AB40" s="444"/>
      <c r="AC40" s="444"/>
      <c r="AD40" s="445"/>
    </row>
    <row r="41" spans="2:30" ht="17.399999999999999">
      <c r="B41" s="119"/>
      <c r="C41" s="173" t="s">
        <v>818</v>
      </c>
      <c r="D41" s="173"/>
      <c r="E41" s="174"/>
      <c r="F41" s="174"/>
      <c r="G41" s="174"/>
      <c r="H41" s="174"/>
      <c r="I41" s="174"/>
      <c r="J41" s="174"/>
      <c r="K41" s="174"/>
      <c r="L41" s="174"/>
      <c r="M41" s="174"/>
      <c r="N41" s="98"/>
      <c r="O41" s="108"/>
      <c r="Q41" s="443"/>
      <c r="R41" s="444"/>
      <c r="S41" s="444"/>
      <c r="T41" s="444"/>
      <c r="U41" s="444"/>
      <c r="V41" s="444"/>
      <c r="W41" s="444"/>
      <c r="X41" s="444"/>
      <c r="Y41" s="444"/>
      <c r="Z41" s="444"/>
      <c r="AA41" s="444"/>
      <c r="AB41" s="444"/>
      <c r="AC41" s="444"/>
      <c r="AD41" s="445"/>
    </row>
    <row r="42" spans="2:30" ht="17.399999999999999">
      <c r="B42" s="119"/>
      <c r="C42" s="173" t="s">
        <v>819</v>
      </c>
      <c r="D42" s="173"/>
      <c r="E42" s="174"/>
      <c r="F42" s="174"/>
      <c r="G42" s="174"/>
      <c r="H42" s="174"/>
      <c r="I42" s="174"/>
      <c r="J42" s="174"/>
      <c r="K42" s="174"/>
      <c r="L42" s="174"/>
      <c r="M42" s="174"/>
      <c r="N42" s="98"/>
      <c r="O42" s="108"/>
      <c r="Q42" s="443"/>
      <c r="R42" s="444"/>
      <c r="S42" s="444"/>
      <c r="T42" s="444"/>
      <c r="U42" s="444"/>
      <c r="V42" s="444"/>
      <c r="W42" s="444"/>
      <c r="X42" s="444"/>
      <c r="Y42" s="444"/>
      <c r="Z42" s="444"/>
      <c r="AA42" s="444"/>
      <c r="AB42" s="444"/>
      <c r="AC42" s="444"/>
      <c r="AD42" s="445"/>
    </row>
    <row r="43" spans="2:30" ht="17.399999999999999">
      <c r="B43" s="119"/>
      <c r="C43" s="173" t="s">
        <v>820</v>
      </c>
      <c r="D43" s="173"/>
      <c r="E43" s="174"/>
      <c r="F43" s="174"/>
      <c r="G43" s="174"/>
      <c r="H43" s="174"/>
      <c r="I43" s="174"/>
      <c r="J43" s="174"/>
      <c r="K43" s="174"/>
      <c r="L43" s="174"/>
      <c r="M43" s="174"/>
      <c r="N43" s="98"/>
      <c r="O43" s="108"/>
      <c r="Q43" s="443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4"/>
      <c r="AD43" s="445"/>
    </row>
    <row r="44" spans="2:30" ht="17.399999999999999">
      <c r="B44" s="119"/>
      <c r="C44" s="173" t="s">
        <v>821</v>
      </c>
      <c r="D44" s="173"/>
      <c r="E44" s="174"/>
      <c r="F44" s="174"/>
      <c r="G44" s="174"/>
      <c r="H44" s="174"/>
      <c r="I44" s="174"/>
      <c r="J44" s="174"/>
      <c r="K44" s="174"/>
      <c r="L44" s="174"/>
      <c r="M44" s="174"/>
      <c r="N44" s="98"/>
      <c r="O44" s="108"/>
      <c r="Q44" s="443"/>
      <c r="R44" s="444"/>
      <c r="S44" s="444"/>
      <c r="T44" s="444"/>
      <c r="U44" s="444"/>
      <c r="V44" s="444"/>
      <c r="W44" s="444"/>
      <c r="X44" s="444"/>
      <c r="Y44" s="444"/>
      <c r="Z44" s="444"/>
      <c r="AA44" s="444"/>
      <c r="AB44" s="444"/>
      <c r="AC44" s="444"/>
      <c r="AD44" s="445"/>
    </row>
    <row r="45" spans="2:30" ht="17.399999999999999">
      <c r="B45" s="119"/>
      <c r="C45" s="173" t="s">
        <v>822</v>
      </c>
      <c r="D45" s="173"/>
      <c r="E45" s="174"/>
      <c r="F45" s="174"/>
      <c r="G45" s="174"/>
      <c r="H45" s="174"/>
      <c r="I45" s="174"/>
      <c r="J45" s="174"/>
      <c r="K45" s="174"/>
      <c r="L45" s="174"/>
      <c r="M45" s="174"/>
      <c r="N45" s="98"/>
      <c r="O45" s="108"/>
      <c r="Q45" s="443"/>
      <c r="R45" s="444"/>
      <c r="S45" s="444"/>
      <c r="T45" s="444"/>
      <c r="U45" s="444"/>
      <c r="V45" s="444"/>
      <c r="W45" s="444"/>
      <c r="X45" s="444"/>
      <c r="Y45" s="444"/>
      <c r="Z45" s="444"/>
      <c r="AA45" s="444"/>
      <c r="AB45" s="444"/>
      <c r="AC45" s="444"/>
      <c r="AD45" s="445"/>
    </row>
    <row r="46" spans="2:30" ht="23.1" customHeight="1" thickBot="1">
      <c r="B46" s="123"/>
      <c r="C46" s="1134"/>
      <c r="D46" s="1134"/>
      <c r="E46" s="1134"/>
      <c r="F46" s="1134"/>
      <c r="G46" s="57"/>
      <c r="H46" s="57"/>
      <c r="I46" s="57"/>
      <c r="J46" s="57"/>
      <c r="K46" s="57"/>
      <c r="L46" s="57"/>
      <c r="M46" s="57"/>
      <c r="N46" s="124"/>
      <c r="O46" s="125"/>
      <c r="Q46" s="446"/>
      <c r="R46" s="447"/>
      <c r="S46" s="447"/>
      <c r="T46" s="447"/>
      <c r="U46" s="447"/>
      <c r="V46" s="447"/>
      <c r="W46" s="447"/>
      <c r="X46" s="447"/>
      <c r="Y46" s="447"/>
      <c r="Z46" s="447"/>
      <c r="AA46" s="447"/>
      <c r="AB46" s="447"/>
      <c r="AC46" s="447"/>
      <c r="AD46" s="448"/>
    </row>
    <row r="47" spans="2:30" ht="23.1" customHeight="1">
      <c r="C47" s="106"/>
      <c r="D47" s="106"/>
      <c r="E47" s="107"/>
      <c r="F47" s="107"/>
      <c r="G47" s="107"/>
      <c r="H47" s="107"/>
      <c r="I47" s="107"/>
      <c r="J47" s="107"/>
      <c r="K47" s="107"/>
      <c r="L47" s="107"/>
      <c r="M47" s="107"/>
      <c r="N47" s="107"/>
    </row>
    <row r="48" spans="2:30" ht="13.2">
      <c r="C48" s="126" t="s">
        <v>77</v>
      </c>
      <c r="D48" s="106"/>
      <c r="E48" s="107"/>
      <c r="F48" s="107"/>
      <c r="G48" s="107"/>
      <c r="H48" s="107"/>
      <c r="I48" s="107"/>
      <c r="J48" s="107"/>
      <c r="K48" s="107"/>
      <c r="L48" s="107"/>
      <c r="M48" s="107"/>
      <c r="N48" s="97" t="s">
        <v>50</v>
      </c>
    </row>
    <row r="49" spans="3:14" ht="13.2">
      <c r="C49" s="127" t="s">
        <v>78</v>
      </c>
      <c r="D49" s="106"/>
      <c r="E49" s="107"/>
      <c r="F49" s="107"/>
      <c r="G49" s="107"/>
      <c r="H49" s="107"/>
      <c r="I49" s="107"/>
      <c r="J49" s="107"/>
      <c r="K49" s="107"/>
      <c r="L49" s="107"/>
      <c r="M49" s="107"/>
      <c r="N49" s="107"/>
    </row>
    <row r="50" spans="3:14" ht="13.2">
      <c r="C50" s="127" t="s">
        <v>79</v>
      </c>
      <c r="D50" s="106"/>
      <c r="E50" s="107"/>
      <c r="F50" s="107"/>
      <c r="G50" s="107"/>
      <c r="H50" s="107"/>
      <c r="I50" s="107"/>
      <c r="J50" s="107"/>
      <c r="K50" s="107"/>
      <c r="L50" s="107"/>
      <c r="M50" s="107"/>
      <c r="N50" s="107"/>
    </row>
    <row r="51" spans="3:14" ht="13.2">
      <c r="C51" s="127" t="s">
        <v>80</v>
      </c>
      <c r="D51" s="106"/>
      <c r="E51" s="107"/>
      <c r="F51" s="107"/>
      <c r="G51" s="107"/>
      <c r="H51" s="107"/>
      <c r="I51" s="107"/>
      <c r="J51" s="107"/>
      <c r="K51" s="107"/>
      <c r="L51" s="107"/>
      <c r="M51" s="107"/>
      <c r="N51" s="107"/>
    </row>
    <row r="52" spans="3:14" ht="13.2">
      <c r="C52" s="127" t="s">
        <v>81</v>
      </c>
      <c r="D52" s="106"/>
      <c r="E52" s="107"/>
      <c r="F52" s="107"/>
      <c r="G52" s="107"/>
      <c r="H52" s="107"/>
      <c r="I52" s="107"/>
      <c r="J52" s="107"/>
      <c r="K52" s="107"/>
      <c r="L52" s="107"/>
      <c r="M52" s="107"/>
      <c r="N52" s="107"/>
    </row>
    <row r="53" spans="3:14" ht="23.1" customHeight="1">
      <c r="C53" s="106"/>
      <c r="D53" s="106"/>
      <c r="E53" s="107"/>
      <c r="F53" s="107"/>
      <c r="G53" s="107"/>
      <c r="H53" s="107"/>
      <c r="I53" s="107"/>
      <c r="J53" s="107"/>
      <c r="K53" s="107"/>
      <c r="L53" s="107"/>
      <c r="M53" s="107"/>
      <c r="N53" s="107"/>
    </row>
    <row r="54" spans="3:14" ht="23.1" customHeight="1">
      <c r="C54" s="106"/>
      <c r="D54" s="106"/>
      <c r="E54" s="107"/>
      <c r="F54" s="107"/>
      <c r="G54" s="107"/>
      <c r="H54" s="107"/>
      <c r="I54" s="107"/>
      <c r="J54" s="107"/>
      <c r="K54" s="107"/>
      <c r="L54" s="107"/>
      <c r="M54" s="107"/>
      <c r="N54" s="107"/>
    </row>
    <row r="55" spans="3:14" ht="23.1" customHeight="1">
      <c r="C55" s="106"/>
      <c r="D55" s="106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3:14" ht="23.1" customHeight="1">
      <c r="C56" s="106"/>
      <c r="D56" s="106"/>
      <c r="E56" s="107"/>
      <c r="F56" s="107"/>
      <c r="G56" s="107"/>
      <c r="H56" s="107"/>
      <c r="I56" s="107"/>
      <c r="J56" s="107"/>
      <c r="K56" s="107"/>
      <c r="L56" s="107"/>
      <c r="M56" s="107"/>
      <c r="N56" s="107"/>
    </row>
    <row r="57" spans="3:14" ht="23.1" customHeight="1">
      <c r="F57" s="107"/>
      <c r="G57" s="107"/>
      <c r="H57" s="107"/>
      <c r="I57" s="107"/>
      <c r="J57" s="107"/>
      <c r="K57" s="107"/>
      <c r="L57" s="107"/>
      <c r="M57" s="107"/>
      <c r="N57" s="107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3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C82"/>
  <sheetViews>
    <sheetView zoomScale="40" zoomScaleNormal="40" zoomScalePageLayoutView="125" workbookViewId="0">
      <selection activeCell="AA64" sqref="AA64"/>
    </sheetView>
  </sheetViews>
  <sheetFormatPr baseColWidth="10" defaultColWidth="10.90625" defaultRowHeight="23.1" customHeight="1"/>
  <cols>
    <col min="1" max="2" width="3.08984375" style="99" customWidth="1"/>
    <col min="3" max="3" width="13.54296875" style="99" customWidth="1"/>
    <col min="4" max="4" width="23.08984375" style="99" customWidth="1"/>
    <col min="5" max="12" width="13.453125" style="100" customWidth="1"/>
    <col min="13" max="13" width="25.90625" style="100" customWidth="1"/>
    <col min="14" max="14" width="3.08984375" style="99" customWidth="1"/>
    <col min="15" max="16384" width="10.90625" style="99"/>
  </cols>
  <sheetData>
    <row r="2" spans="2:29" ht="23.1" customHeight="1">
      <c r="D2" s="65" t="s">
        <v>379</v>
      </c>
    </row>
    <row r="3" spans="2:29" ht="23.1" customHeight="1">
      <c r="D3" s="65" t="s">
        <v>380</v>
      </c>
    </row>
    <row r="4" spans="2:29" ht="23.1" customHeight="1" thickBot="1"/>
    <row r="5" spans="2:29" ht="9" customHeight="1"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4"/>
      <c r="P5" s="427"/>
      <c r="Q5" s="428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8"/>
      <c r="AC5" s="429"/>
    </row>
    <row r="6" spans="2:29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07"/>
      <c r="K6" s="107"/>
      <c r="L6" s="107"/>
      <c r="M6" s="1111">
        <f>ejercicio</f>
        <v>2018</v>
      </c>
      <c r="N6" s="108"/>
      <c r="P6" s="430"/>
      <c r="Q6" s="431" t="s">
        <v>707</v>
      </c>
      <c r="R6" s="432"/>
      <c r="S6" s="432"/>
      <c r="T6" s="432"/>
      <c r="U6" s="432"/>
      <c r="V6" s="432"/>
      <c r="W6" s="432"/>
      <c r="X6" s="432"/>
      <c r="Y6" s="432"/>
      <c r="Z6" s="432"/>
      <c r="AA6" s="432"/>
      <c r="AB6" s="432"/>
      <c r="AC6" s="433"/>
    </row>
    <row r="7" spans="2:29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07"/>
      <c r="K7" s="107"/>
      <c r="L7" s="107"/>
      <c r="M7" s="1111"/>
      <c r="N7" s="108"/>
      <c r="P7" s="430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3"/>
    </row>
    <row r="8" spans="2:29" ht="30" customHeight="1">
      <c r="B8" s="105"/>
      <c r="C8" s="109"/>
      <c r="D8" s="106"/>
      <c r="E8" s="107"/>
      <c r="F8" s="107"/>
      <c r="G8" s="107"/>
      <c r="H8" s="107"/>
      <c r="I8" s="107"/>
      <c r="J8" s="107"/>
      <c r="K8" s="107"/>
      <c r="L8" s="107"/>
      <c r="M8" s="110"/>
      <c r="N8" s="108"/>
      <c r="P8" s="430"/>
      <c r="Q8" s="432"/>
      <c r="R8" s="432"/>
      <c r="S8" s="432"/>
      <c r="T8" s="432"/>
      <c r="U8" s="432"/>
      <c r="V8" s="432"/>
      <c r="W8" s="432"/>
      <c r="X8" s="432"/>
      <c r="Y8" s="432"/>
      <c r="Z8" s="432"/>
      <c r="AA8" s="432"/>
      <c r="AB8" s="432"/>
      <c r="AC8" s="433"/>
    </row>
    <row r="9" spans="2:29" s="67" customFormat="1" ht="30" customHeight="1">
      <c r="B9" s="111"/>
      <c r="C9" s="56" t="s">
        <v>2</v>
      </c>
      <c r="D9" s="1135" t="str">
        <f>Entidad</f>
        <v>SPET, Turismo de Tenerife, S.A.</v>
      </c>
      <c r="E9" s="1135"/>
      <c r="F9" s="1135"/>
      <c r="G9" s="1135"/>
      <c r="H9" s="1135"/>
      <c r="I9" s="1135"/>
      <c r="J9" s="1135"/>
      <c r="K9" s="1135"/>
      <c r="L9" s="1135"/>
      <c r="M9" s="1135"/>
      <c r="N9" s="112"/>
      <c r="P9" s="434"/>
      <c r="Q9" s="435"/>
      <c r="R9" s="435"/>
      <c r="S9" s="435"/>
      <c r="T9" s="435"/>
      <c r="U9" s="435"/>
      <c r="V9" s="435"/>
      <c r="W9" s="435"/>
      <c r="X9" s="435"/>
      <c r="Y9" s="435"/>
      <c r="Z9" s="435"/>
      <c r="AA9" s="435"/>
      <c r="AB9" s="435"/>
      <c r="AC9" s="436"/>
    </row>
    <row r="10" spans="2:29" ht="7.35" customHeight="1">
      <c r="B10" s="105"/>
      <c r="C10" s="106"/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8"/>
      <c r="P10" s="430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3"/>
    </row>
    <row r="11" spans="2:29" s="117" customFormat="1" ht="30" customHeight="1">
      <c r="B11" s="113"/>
      <c r="C11" s="114" t="s">
        <v>421</v>
      </c>
      <c r="D11" s="114"/>
      <c r="E11" s="115"/>
      <c r="F11" s="115"/>
      <c r="G11" s="115"/>
      <c r="H11" s="115"/>
      <c r="I11" s="115"/>
      <c r="J11" s="115"/>
      <c r="K11" s="115"/>
      <c r="L11" s="115"/>
      <c r="M11" s="115"/>
      <c r="N11" s="116"/>
      <c r="P11" s="437"/>
      <c r="Q11" s="438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9"/>
    </row>
    <row r="12" spans="2:29" s="117" customFormat="1" ht="30" customHeight="1">
      <c r="B12" s="113"/>
      <c r="C12" s="1177"/>
      <c r="D12" s="1177"/>
      <c r="E12" s="98"/>
      <c r="F12" s="98"/>
      <c r="G12" s="98"/>
      <c r="H12" s="98"/>
      <c r="I12" s="98"/>
      <c r="J12" s="98"/>
      <c r="K12" s="98"/>
      <c r="L12" s="98"/>
      <c r="M12" s="98"/>
      <c r="N12" s="116"/>
      <c r="P12" s="437"/>
      <c r="Q12" s="438"/>
      <c r="R12" s="438"/>
      <c r="S12" s="438"/>
      <c r="T12" s="438"/>
      <c r="U12" s="438"/>
      <c r="V12" s="438"/>
      <c r="W12" s="438"/>
      <c r="X12" s="438"/>
      <c r="Y12" s="438"/>
      <c r="Z12" s="438"/>
      <c r="AA12" s="438"/>
      <c r="AB12" s="438"/>
      <c r="AC12" s="439"/>
    </row>
    <row r="13" spans="2:29" s="117" customFormat="1" ht="30" customHeight="1">
      <c r="B13" s="113"/>
      <c r="C13" s="68" t="s">
        <v>432</v>
      </c>
      <c r="D13" s="22"/>
      <c r="E13" s="98"/>
      <c r="F13" s="98"/>
      <c r="G13" s="98"/>
      <c r="H13" s="98"/>
      <c r="I13" s="98"/>
      <c r="J13" s="98"/>
      <c r="K13" s="98"/>
      <c r="L13" s="98"/>
      <c r="M13" s="98"/>
      <c r="N13" s="116"/>
      <c r="P13" s="430"/>
      <c r="Q13" s="432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2"/>
      <c r="AC13" s="433"/>
    </row>
    <row r="14" spans="2:29" s="117" customFormat="1" ht="30" customHeight="1">
      <c r="B14" s="113"/>
      <c r="C14" s="22"/>
      <c r="D14" s="22"/>
      <c r="E14" s="98"/>
      <c r="F14" s="98"/>
      <c r="G14" s="98"/>
      <c r="H14" s="98"/>
      <c r="I14" s="98"/>
      <c r="J14" s="98"/>
      <c r="K14" s="98"/>
      <c r="L14" s="98"/>
      <c r="M14" s="98"/>
      <c r="N14" s="116"/>
      <c r="P14" s="430"/>
      <c r="Q14" s="432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2"/>
      <c r="AC14" s="433"/>
    </row>
    <row r="15" spans="2:29" s="121" customFormat="1" ht="23.1" customHeight="1">
      <c r="B15" s="119"/>
      <c r="C15" s="200"/>
      <c r="D15" s="201"/>
      <c r="E15" s="202" t="s">
        <v>423</v>
      </c>
      <c r="F15" s="202" t="s">
        <v>399</v>
      </c>
      <c r="G15" s="1166" t="s">
        <v>407</v>
      </c>
      <c r="H15" s="1167"/>
      <c r="I15" s="1167"/>
      <c r="J15" s="202" t="s">
        <v>418</v>
      </c>
      <c r="K15" s="202" t="s">
        <v>428</v>
      </c>
      <c r="L15" s="202" t="s">
        <v>429</v>
      </c>
      <c r="M15" s="1164" t="s">
        <v>825</v>
      </c>
      <c r="N15" s="120"/>
      <c r="P15" s="430"/>
      <c r="Q15" s="432"/>
      <c r="R15" s="432"/>
      <c r="S15" s="432"/>
      <c r="T15" s="432"/>
      <c r="U15" s="432"/>
      <c r="V15" s="432"/>
      <c r="W15" s="432"/>
      <c r="X15" s="432"/>
      <c r="Y15" s="432"/>
      <c r="Z15" s="432"/>
      <c r="AA15" s="432"/>
      <c r="AB15" s="432"/>
      <c r="AC15" s="433"/>
    </row>
    <row r="16" spans="2:29" ht="49.35" customHeight="1">
      <c r="B16" s="105"/>
      <c r="C16" s="203" t="s">
        <v>422</v>
      </c>
      <c r="D16" s="204"/>
      <c r="E16" s="205" t="s">
        <v>424</v>
      </c>
      <c r="F16" s="205">
        <f>ejercicio</f>
        <v>2018</v>
      </c>
      <c r="G16" s="206" t="s">
        <v>425</v>
      </c>
      <c r="H16" s="207" t="s">
        <v>426</v>
      </c>
      <c r="I16" s="208" t="s">
        <v>427</v>
      </c>
      <c r="J16" s="205">
        <f>ejercicio</f>
        <v>2018</v>
      </c>
      <c r="K16" s="205" t="s">
        <v>824</v>
      </c>
      <c r="L16" s="205">
        <f>ejercicio</f>
        <v>2018</v>
      </c>
      <c r="M16" s="1165"/>
      <c r="N16" s="108"/>
      <c r="P16" s="430"/>
      <c r="Q16" s="432"/>
      <c r="R16" s="432"/>
      <c r="S16" s="432"/>
      <c r="T16" s="432"/>
      <c r="U16" s="432"/>
      <c r="V16" s="432"/>
      <c r="W16" s="432"/>
      <c r="X16" s="432"/>
      <c r="Y16" s="432"/>
      <c r="Z16" s="432"/>
      <c r="AA16" s="432"/>
      <c r="AB16" s="432"/>
      <c r="AC16" s="433"/>
    </row>
    <row r="17" spans="2:29" ht="30" customHeight="1" thickBot="1">
      <c r="B17" s="105"/>
      <c r="C17" s="1169" t="s">
        <v>430</v>
      </c>
      <c r="D17" s="1169"/>
      <c r="E17" s="1169"/>
      <c r="F17" s="1169"/>
      <c r="G17" s="1169"/>
      <c r="H17" s="1169"/>
      <c r="I17" s="1169"/>
      <c r="J17" s="1169"/>
      <c r="K17" s="1169"/>
      <c r="L17" s="1169"/>
      <c r="M17" s="1169"/>
      <c r="N17" s="108"/>
      <c r="P17" s="430"/>
      <c r="Q17" s="432"/>
      <c r="R17" s="432"/>
      <c r="S17" s="432"/>
      <c r="T17" s="432"/>
      <c r="U17" s="432"/>
      <c r="V17" s="432"/>
      <c r="W17" s="432"/>
      <c r="X17" s="432"/>
      <c r="Y17" s="432"/>
      <c r="Z17" s="432"/>
      <c r="AA17" s="432"/>
      <c r="AB17" s="432"/>
      <c r="AC17" s="433"/>
    </row>
    <row r="18" spans="2:29" s="122" customFormat="1" ht="23.1" customHeight="1">
      <c r="B18" s="119"/>
      <c r="C18" s="1171"/>
      <c r="D18" s="1172"/>
      <c r="E18" s="952"/>
      <c r="F18" s="513"/>
      <c r="G18" s="514"/>
      <c r="H18" s="514"/>
      <c r="I18" s="514"/>
      <c r="J18" s="189">
        <f t="shared" ref="J18:J24" si="0">SUM(F18:I18)</f>
        <v>0</v>
      </c>
      <c r="K18" s="521"/>
      <c r="L18" s="522"/>
      <c r="M18" s="948"/>
      <c r="N18" s="120"/>
      <c r="P18" s="430"/>
      <c r="Q18" s="432"/>
      <c r="R18" s="432"/>
      <c r="S18" s="432"/>
      <c r="T18" s="432"/>
      <c r="U18" s="432"/>
      <c r="V18" s="432"/>
      <c r="W18" s="432"/>
      <c r="X18" s="432"/>
      <c r="Y18" s="432"/>
      <c r="Z18" s="432"/>
      <c r="AA18" s="432"/>
      <c r="AB18" s="432"/>
      <c r="AC18" s="433"/>
    </row>
    <row r="19" spans="2:29" ht="23.1" customHeight="1">
      <c r="B19" s="119"/>
      <c r="C19" s="1173"/>
      <c r="D19" s="1174"/>
      <c r="E19" s="953"/>
      <c r="F19" s="506"/>
      <c r="G19" s="507"/>
      <c r="H19" s="507"/>
      <c r="I19" s="507"/>
      <c r="J19" s="180">
        <f t="shared" si="0"/>
        <v>0</v>
      </c>
      <c r="K19" s="523"/>
      <c r="L19" s="524"/>
      <c r="M19" s="949"/>
      <c r="N19" s="108"/>
      <c r="P19" s="430"/>
      <c r="Q19" s="432"/>
      <c r="R19" s="432"/>
      <c r="S19" s="432"/>
      <c r="T19" s="432"/>
      <c r="U19" s="432"/>
      <c r="V19" s="432"/>
      <c r="W19" s="432"/>
      <c r="X19" s="432"/>
      <c r="Y19" s="432"/>
      <c r="Z19" s="432"/>
      <c r="AA19" s="432"/>
      <c r="AB19" s="432"/>
      <c r="AC19" s="433"/>
    </row>
    <row r="20" spans="2:29" ht="23.1" customHeight="1">
      <c r="B20" s="119"/>
      <c r="C20" s="1173"/>
      <c r="D20" s="1174"/>
      <c r="E20" s="953"/>
      <c r="F20" s="506"/>
      <c r="G20" s="507"/>
      <c r="H20" s="507"/>
      <c r="I20" s="507"/>
      <c r="J20" s="180">
        <f t="shared" si="0"/>
        <v>0</v>
      </c>
      <c r="K20" s="523"/>
      <c r="L20" s="524"/>
      <c r="M20" s="949"/>
      <c r="N20" s="108"/>
      <c r="P20" s="430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3"/>
    </row>
    <row r="21" spans="2:29" ht="23.1" customHeight="1">
      <c r="B21" s="119"/>
      <c r="C21" s="1173"/>
      <c r="D21" s="1174"/>
      <c r="E21" s="953"/>
      <c r="F21" s="506"/>
      <c r="G21" s="507"/>
      <c r="H21" s="507"/>
      <c r="I21" s="507"/>
      <c r="J21" s="180">
        <f t="shared" si="0"/>
        <v>0</v>
      </c>
      <c r="K21" s="523"/>
      <c r="L21" s="524"/>
      <c r="M21" s="949"/>
      <c r="N21" s="108"/>
      <c r="P21" s="430"/>
      <c r="Q21" s="432"/>
      <c r="R21" s="432"/>
      <c r="S21" s="432"/>
      <c r="T21" s="432"/>
      <c r="U21" s="432"/>
      <c r="V21" s="432"/>
      <c r="W21" s="432"/>
      <c r="X21" s="432"/>
      <c r="Y21" s="432"/>
      <c r="Z21" s="432"/>
      <c r="AA21" s="432"/>
      <c r="AB21" s="432"/>
      <c r="AC21" s="433"/>
    </row>
    <row r="22" spans="2:29" ht="23.1" customHeight="1">
      <c r="B22" s="119"/>
      <c r="C22" s="1173"/>
      <c r="D22" s="1174"/>
      <c r="E22" s="954"/>
      <c r="F22" s="515"/>
      <c r="G22" s="516"/>
      <c r="H22" s="516"/>
      <c r="I22" s="516"/>
      <c r="J22" s="180">
        <f t="shared" si="0"/>
        <v>0</v>
      </c>
      <c r="K22" s="525"/>
      <c r="L22" s="526"/>
      <c r="M22" s="950"/>
      <c r="N22" s="108"/>
      <c r="P22" s="430"/>
      <c r="Q22" s="432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2"/>
      <c r="AC22" s="433"/>
    </row>
    <row r="23" spans="2:29" ht="23.1" customHeight="1">
      <c r="B23" s="119"/>
      <c r="C23" s="1173"/>
      <c r="D23" s="1174"/>
      <c r="E23" s="954"/>
      <c r="F23" s="515"/>
      <c r="G23" s="516"/>
      <c r="H23" s="516"/>
      <c r="I23" s="516"/>
      <c r="J23" s="180">
        <f t="shared" si="0"/>
        <v>0</v>
      </c>
      <c r="K23" s="525"/>
      <c r="L23" s="526"/>
      <c r="M23" s="950"/>
      <c r="N23" s="108"/>
      <c r="P23" s="430"/>
      <c r="Q23" s="432"/>
      <c r="R23" s="432"/>
      <c r="S23" s="432"/>
      <c r="T23" s="432"/>
      <c r="U23" s="432"/>
      <c r="V23" s="432"/>
      <c r="W23" s="432"/>
      <c r="X23" s="432"/>
      <c r="Y23" s="432"/>
      <c r="Z23" s="432"/>
      <c r="AA23" s="432"/>
      <c r="AB23" s="432"/>
      <c r="AC23" s="433"/>
    </row>
    <row r="24" spans="2:29" ht="23.1" customHeight="1">
      <c r="B24" s="119"/>
      <c r="C24" s="517"/>
      <c r="D24" s="518"/>
      <c r="E24" s="955"/>
      <c r="F24" s="510"/>
      <c r="G24" s="511"/>
      <c r="H24" s="511"/>
      <c r="I24" s="511"/>
      <c r="J24" s="181">
        <f t="shared" si="0"/>
        <v>0</v>
      </c>
      <c r="K24" s="527"/>
      <c r="L24" s="528"/>
      <c r="M24" s="951"/>
      <c r="N24" s="108"/>
      <c r="P24" s="430"/>
      <c r="Q24" s="432"/>
      <c r="R24" s="432"/>
      <c r="S24" s="432"/>
      <c r="T24" s="432"/>
      <c r="U24" s="432"/>
      <c r="V24" s="432"/>
      <c r="W24" s="432"/>
      <c r="X24" s="432"/>
      <c r="Y24" s="432"/>
      <c r="Z24" s="432"/>
      <c r="AA24" s="432"/>
      <c r="AB24" s="432"/>
      <c r="AC24" s="433"/>
    </row>
    <row r="25" spans="2:29" ht="23.1" customHeight="1" thickBot="1">
      <c r="B25" s="119"/>
      <c r="C25" s="166" t="s">
        <v>405</v>
      </c>
      <c r="D25" s="167"/>
      <c r="E25" s="179"/>
      <c r="F25" s="179">
        <f>SUM(F18:F24)</f>
        <v>0</v>
      </c>
      <c r="G25" s="179">
        <f>SUM(G18:G24)</f>
        <v>0</v>
      </c>
      <c r="H25" s="179">
        <f>SUM(H18:H24)</f>
        <v>0</v>
      </c>
      <c r="I25" s="179">
        <f>SUM(I18:I24)</f>
        <v>0</v>
      </c>
      <c r="J25" s="179">
        <f>SUM(J18:J24)</f>
        <v>0</v>
      </c>
      <c r="K25" s="184"/>
      <c r="L25" s="179">
        <f>SUM(L18:L24)</f>
        <v>0</v>
      </c>
      <c r="M25" s="168"/>
      <c r="N25" s="108"/>
      <c r="P25" s="430"/>
      <c r="Q25" s="432"/>
      <c r="R25" s="432"/>
      <c r="S25" s="432"/>
      <c r="T25" s="432"/>
      <c r="U25" s="432"/>
      <c r="V25" s="432"/>
      <c r="W25" s="432"/>
      <c r="X25" s="432"/>
      <c r="Y25" s="432"/>
      <c r="Z25" s="432"/>
      <c r="AA25" s="432"/>
      <c r="AB25" s="432"/>
      <c r="AC25" s="433"/>
    </row>
    <row r="26" spans="2:29" ht="30" customHeight="1" thickBot="1">
      <c r="B26" s="105"/>
      <c r="C26" s="1170" t="s">
        <v>431</v>
      </c>
      <c r="D26" s="1170"/>
      <c r="E26" s="1170"/>
      <c r="F26" s="1170"/>
      <c r="G26" s="1170"/>
      <c r="H26" s="1170"/>
      <c r="I26" s="1170"/>
      <c r="J26" s="1170"/>
      <c r="K26" s="1170"/>
      <c r="L26" s="1170"/>
      <c r="M26" s="1170"/>
      <c r="N26" s="108"/>
      <c r="P26" s="430"/>
      <c r="Q26" s="432"/>
      <c r="R26" s="432"/>
      <c r="S26" s="432"/>
      <c r="T26" s="432"/>
      <c r="U26" s="432"/>
      <c r="V26" s="432"/>
      <c r="W26" s="432"/>
      <c r="X26" s="432"/>
      <c r="Y26" s="432"/>
      <c r="Z26" s="432"/>
      <c r="AA26" s="432"/>
      <c r="AB26" s="432"/>
      <c r="AC26" s="433"/>
    </row>
    <row r="27" spans="2:29" ht="23.1" customHeight="1">
      <c r="B27" s="119"/>
      <c r="C27" s="1175"/>
      <c r="D27" s="1172"/>
      <c r="E27" s="952"/>
      <c r="F27" s="513"/>
      <c r="G27" s="514"/>
      <c r="H27" s="514"/>
      <c r="I27" s="514"/>
      <c r="J27" s="189">
        <f t="shared" ref="J27:J33" si="1">SUM(F27:I27)</f>
        <v>0</v>
      </c>
      <c r="K27" s="521"/>
      <c r="L27" s="522"/>
      <c r="M27" s="948"/>
      <c r="N27" s="120"/>
      <c r="P27" s="430"/>
      <c r="Q27" s="432"/>
      <c r="R27" s="432"/>
      <c r="S27" s="432"/>
      <c r="T27" s="432"/>
      <c r="U27" s="432"/>
      <c r="V27" s="432"/>
      <c r="W27" s="432"/>
      <c r="X27" s="432"/>
      <c r="Y27" s="432"/>
      <c r="Z27" s="432"/>
      <c r="AA27" s="432"/>
      <c r="AB27" s="432"/>
      <c r="AC27" s="433"/>
    </row>
    <row r="28" spans="2:29" ht="23.1" customHeight="1">
      <c r="B28" s="119"/>
      <c r="C28" s="1176"/>
      <c r="D28" s="1174"/>
      <c r="E28" s="953"/>
      <c r="F28" s="506"/>
      <c r="G28" s="507"/>
      <c r="H28" s="507"/>
      <c r="I28" s="507"/>
      <c r="J28" s="180">
        <f t="shared" si="1"/>
        <v>0</v>
      </c>
      <c r="K28" s="523"/>
      <c r="L28" s="524"/>
      <c r="M28" s="949"/>
      <c r="N28" s="108"/>
      <c r="P28" s="430"/>
      <c r="Q28" s="432"/>
      <c r="R28" s="432"/>
      <c r="S28" s="432"/>
      <c r="T28" s="432"/>
      <c r="U28" s="432"/>
      <c r="V28" s="432"/>
      <c r="W28" s="432"/>
      <c r="X28" s="432"/>
      <c r="Y28" s="432"/>
      <c r="Z28" s="432"/>
      <c r="AA28" s="432"/>
      <c r="AB28" s="432"/>
      <c r="AC28" s="433"/>
    </row>
    <row r="29" spans="2:29" ht="23.1" customHeight="1">
      <c r="B29" s="119"/>
      <c r="C29" s="1176"/>
      <c r="D29" s="1174"/>
      <c r="E29" s="953"/>
      <c r="F29" s="506"/>
      <c r="G29" s="507"/>
      <c r="H29" s="507"/>
      <c r="I29" s="507"/>
      <c r="J29" s="180">
        <f t="shared" si="1"/>
        <v>0</v>
      </c>
      <c r="K29" s="523"/>
      <c r="L29" s="524"/>
      <c r="M29" s="949"/>
      <c r="N29" s="108"/>
      <c r="P29" s="430"/>
      <c r="Q29" s="432"/>
      <c r="R29" s="432"/>
      <c r="S29" s="432"/>
      <c r="T29" s="432"/>
      <c r="U29" s="432"/>
      <c r="V29" s="432"/>
      <c r="W29" s="432"/>
      <c r="X29" s="432"/>
      <c r="Y29" s="432"/>
      <c r="Z29" s="432"/>
      <c r="AA29" s="432"/>
      <c r="AB29" s="432"/>
      <c r="AC29" s="433"/>
    </row>
    <row r="30" spans="2:29" ht="23.1" customHeight="1">
      <c r="B30" s="119"/>
      <c r="C30" s="1173"/>
      <c r="D30" s="1174"/>
      <c r="E30" s="953"/>
      <c r="F30" s="506"/>
      <c r="G30" s="507"/>
      <c r="H30" s="507"/>
      <c r="I30" s="507"/>
      <c r="J30" s="180">
        <f t="shared" si="1"/>
        <v>0</v>
      </c>
      <c r="K30" s="523"/>
      <c r="L30" s="524"/>
      <c r="M30" s="949"/>
      <c r="N30" s="108"/>
      <c r="P30" s="440"/>
      <c r="Q30" s="441"/>
      <c r="R30" s="441"/>
      <c r="S30" s="441"/>
      <c r="T30" s="441"/>
      <c r="U30" s="441"/>
      <c r="V30" s="441"/>
      <c r="W30" s="441"/>
      <c r="X30" s="441"/>
      <c r="Y30" s="441"/>
      <c r="Z30" s="441"/>
      <c r="AA30" s="441"/>
      <c r="AB30" s="441"/>
      <c r="AC30" s="442"/>
    </row>
    <row r="31" spans="2:29" ht="23.1" customHeight="1">
      <c r="B31" s="119"/>
      <c r="C31" s="1173"/>
      <c r="D31" s="1174"/>
      <c r="E31" s="954"/>
      <c r="F31" s="515"/>
      <c r="G31" s="516"/>
      <c r="H31" s="516"/>
      <c r="I31" s="516"/>
      <c r="J31" s="180">
        <f t="shared" si="1"/>
        <v>0</v>
      </c>
      <c r="K31" s="525"/>
      <c r="L31" s="526"/>
      <c r="M31" s="950"/>
      <c r="N31" s="108"/>
      <c r="P31" s="440"/>
      <c r="Q31" s="441"/>
      <c r="R31" s="441"/>
      <c r="S31" s="441"/>
      <c r="T31" s="441"/>
      <c r="U31" s="441"/>
      <c r="V31" s="441"/>
      <c r="W31" s="441"/>
      <c r="X31" s="441"/>
      <c r="Y31" s="441"/>
      <c r="Z31" s="441"/>
      <c r="AA31" s="441"/>
      <c r="AB31" s="441"/>
      <c r="AC31" s="442"/>
    </row>
    <row r="32" spans="2:29" ht="23.1" customHeight="1">
      <c r="B32" s="119"/>
      <c r="C32" s="1173"/>
      <c r="D32" s="1174"/>
      <c r="E32" s="954"/>
      <c r="F32" s="515"/>
      <c r="G32" s="516"/>
      <c r="H32" s="516"/>
      <c r="I32" s="516"/>
      <c r="J32" s="180">
        <f t="shared" si="1"/>
        <v>0</v>
      </c>
      <c r="K32" s="525"/>
      <c r="L32" s="526"/>
      <c r="M32" s="950"/>
      <c r="N32" s="108"/>
      <c r="P32" s="430"/>
      <c r="Q32" s="432"/>
      <c r="R32" s="432"/>
      <c r="S32" s="432"/>
      <c r="T32" s="432"/>
      <c r="U32" s="432"/>
      <c r="V32" s="432"/>
      <c r="W32" s="432"/>
      <c r="X32" s="432"/>
      <c r="Y32" s="432"/>
      <c r="Z32" s="432"/>
      <c r="AA32" s="432"/>
      <c r="AB32" s="432"/>
      <c r="AC32" s="433"/>
    </row>
    <row r="33" spans="2:29" ht="23.1" customHeight="1">
      <c r="B33" s="119"/>
      <c r="C33" s="1178"/>
      <c r="D33" s="1179"/>
      <c r="E33" s="955"/>
      <c r="F33" s="510"/>
      <c r="G33" s="511"/>
      <c r="H33" s="511"/>
      <c r="I33" s="511"/>
      <c r="J33" s="181">
        <f t="shared" si="1"/>
        <v>0</v>
      </c>
      <c r="K33" s="527"/>
      <c r="L33" s="528"/>
      <c r="M33" s="951"/>
      <c r="N33" s="108"/>
      <c r="P33" s="430"/>
      <c r="Q33" s="432"/>
      <c r="R33" s="432"/>
      <c r="S33" s="432"/>
      <c r="T33" s="432"/>
      <c r="U33" s="432"/>
      <c r="V33" s="432"/>
      <c r="W33" s="432"/>
      <c r="X33" s="432"/>
      <c r="Y33" s="432"/>
      <c r="Z33" s="432"/>
      <c r="AA33" s="432"/>
      <c r="AB33" s="432"/>
      <c r="AC33" s="433"/>
    </row>
    <row r="34" spans="2:29" ht="23.1" customHeight="1" thickBot="1">
      <c r="B34" s="119"/>
      <c r="C34" s="166" t="s">
        <v>405</v>
      </c>
      <c r="D34" s="167"/>
      <c r="E34" s="179"/>
      <c r="F34" s="179">
        <f>SUM(F27:F33)</f>
        <v>0</v>
      </c>
      <c r="G34" s="179">
        <f>SUM(G27:G33)</f>
        <v>0</v>
      </c>
      <c r="H34" s="179">
        <f>SUM(H27:H33)</f>
        <v>0</v>
      </c>
      <c r="I34" s="179">
        <f>SUM(I27:I33)</f>
        <v>0</v>
      </c>
      <c r="J34" s="179">
        <f>SUM(J27:J33)</f>
        <v>0</v>
      </c>
      <c r="K34" s="184"/>
      <c r="L34" s="179">
        <f>SUM(L27:L33)</f>
        <v>0</v>
      </c>
      <c r="M34" s="168"/>
      <c r="N34" s="108"/>
      <c r="P34" s="430"/>
      <c r="Q34" s="432"/>
      <c r="R34" s="432"/>
      <c r="S34" s="432"/>
      <c r="T34" s="432"/>
      <c r="U34" s="432"/>
      <c r="V34" s="432"/>
      <c r="W34" s="432"/>
      <c r="X34" s="432"/>
      <c r="Y34" s="432"/>
      <c r="Z34" s="432"/>
      <c r="AA34" s="432"/>
      <c r="AB34" s="432"/>
      <c r="AC34" s="433"/>
    </row>
    <row r="35" spans="2:29" ht="23.1" customHeight="1">
      <c r="B35" s="119"/>
      <c r="C35" s="156"/>
      <c r="D35" s="156"/>
      <c r="E35" s="157"/>
      <c r="F35" s="157"/>
      <c r="G35" s="157"/>
      <c r="H35" s="157"/>
      <c r="I35" s="157"/>
      <c r="J35" s="157"/>
      <c r="K35" s="157"/>
      <c r="L35" s="157"/>
      <c r="M35" s="157"/>
      <c r="N35" s="108"/>
      <c r="P35" s="430"/>
      <c r="Q35" s="432"/>
      <c r="R35" s="432"/>
      <c r="S35" s="432"/>
      <c r="T35" s="432"/>
      <c r="U35" s="432"/>
      <c r="V35" s="432"/>
      <c r="W35" s="432"/>
      <c r="X35" s="432"/>
      <c r="Y35" s="432"/>
      <c r="Z35" s="432"/>
      <c r="AA35" s="432"/>
      <c r="AB35" s="432"/>
      <c r="AC35" s="433"/>
    </row>
    <row r="36" spans="2:29" ht="23.1" customHeight="1">
      <c r="B36" s="119"/>
      <c r="C36" s="156"/>
      <c r="D36" s="156"/>
      <c r="E36" s="157"/>
      <c r="F36" s="157"/>
      <c r="G36" s="157"/>
      <c r="H36" s="157"/>
      <c r="I36" s="157"/>
      <c r="J36" s="157"/>
      <c r="K36" s="157"/>
      <c r="L36" s="157"/>
      <c r="M36" s="157"/>
      <c r="N36" s="108"/>
      <c r="P36" s="443"/>
      <c r="Q36" s="444"/>
      <c r="R36" s="444"/>
      <c r="S36" s="444"/>
      <c r="T36" s="444"/>
      <c r="U36" s="444"/>
      <c r="V36" s="444"/>
      <c r="W36" s="444"/>
      <c r="X36" s="444"/>
      <c r="Y36" s="444"/>
      <c r="Z36" s="444"/>
      <c r="AA36" s="444"/>
      <c r="AB36" s="444"/>
      <c r="AC36" s="445"/>
    </row>
    <row r="37" spans="2:29" ht="23.1" customHeight="1">
      <c r="B37" s="119"/>
      <c r="C37" s="68" t="s">
        <v>433</v>
      </c>
      <c r="D37" s="22"/>
      <c r="E37" s="98"/>
      <c r="F37" s="98"/>
      <c r="G37" s="98"/>
      <c r="H37" s="98"/>
      <c r="I37" s="98"/>
      <c r="J37" s="98"/>
      <c r="K37" s="98"/>
      <c r="L37" s="98"/>
      <c r="M37" s="98"/>
      <c r="N37" s="108"/>
      <c r="P37" s="443"/>
      <c r="Q37" s="444"/>
      <c r="R37" s="444"/>
      <c r="S37" s="444"/>
      <c r="T37" s="444"/>
      <c r="U37" s="444"/>
      <c r="V37" s="444"/>
      <c r="W37" s="444"/>
      <c r="X37" s="444"/>
      <c r="Y37" s="444"/>
      <c r="Z37" s="444"/>
      <c r="AA37" s="444"/>
      <c r="AB37" s="444"/>
      <c r="AC37" s="445"/>
    </row>
    <row r="38" spans="2:29" ht="23.1" customHeight="1">
      <c r="B38" s="119"/>
      <c r="C38" s="22"/>
      <c r="D38" s="22"/>
      <c r="E38" s="98"/>
      <c r="F38" s="98"/>
      <c r="G38" s="98"/>
      <c r="H38" s="98"/>
      <c r="I38" s="98"/>
      <c r="J38" s="98"/>
      <c r="K38" s="98"/>
      <c r="L38" s="98"/>
      <c r="M38" s="98"/>
      <c r="N38" s="108"/>
      <c r="P38" s="443"/>
      <c r="Q38" s="444"/>
      <c r="R38" s="444"/>
      <c r="S38" s="444"/>
      <c r="T38" s="444"/>
      <c r="U38" s="444"/>
      <c r="V38" s="444"/>
      <c r="W38" s="444"/>
      <c r="X38" s="444"/>
      <c r="Y38" s="444"/>
      <c r="Z38" s="444"/>
      <c r="AA38" s="444"/>
      <c r="AB38" s="444"/>
      <c r="AC38" s="445"/>
    </row>
    <row r="39" spans="2:29" ht="23.1" customHeight="1">
      <c r="B39" s="119"/>
      <c r="C39" s="200"/>
      <c r="D39" s="201"/>
      <c r="E39" s="202" t="s">
        <v>423</v>
      </c>
      <c r="F39" s="202" t="s">
        <v>399</v>
      </c>
      <c r="G39" s="1166" t="s">
        <v>407</v>
      </c>
      <c r="H39" s="1167"/>
      <c r="I39" s="1167"/>
      <c r="J39" s="202" t="s">
        <v>418</v>
      </c>
      <c r="K39" s="202" t="s">
        <v>428</v>
      </c>
      <c r="L39" s="202" t="s">
        <v>429</v>
      </c>
      <c r="M39" s="1164" t="s">
        <v>828</v>
      </c>
      <c r="N39" s="108"/>
      <c r="P39" s="443"/>
      <c r="Q39" s="444"/>
      <c r="R39" s="444"/>
      <c r="S39" s="444"/>
      <c r="T39" s="444"/>
      <c r="U39" s="444"/>
      <c r="V39" s="444"/>
      <c r="W39" s="444"/>
      <c r="X39" s="444"/>
      <c r="Y39" s="444"/>
      <c r="Z39" s="444"/>
      <c r="AA39" s="444"/>
      <c r="AB39" s="444"/>
      <c r="AC39" s="445"/>
    </row>
    <row r="40" spans="2:29" ht="49.35" customHeight="1">
      <c r="B40" s="119"/>
      <c r="C40" s="203" t="s">
        <v>422</v>
      </c>
      <c r="D40" s="204"/>
      <c r="E40" s="205" t="s">
        <v>424</v>
      </c>
      <c r="F40" s="205">
        <f>ejercicio</f>
        <v>2018</v>
      </c>
      <c r="G40" s="206" t="s">
        <v>425</v>
      </c>
      <c r="H40" s="207" t="s">
        <v>426</v>
      </c>
      <c r="I40" s="208" t="s">
        <v>427</v>
      </c>
      <c r="J40" s="205">
        <f>ejercicio</f>
        <v>2018</v>
      </c>
      <c r="K40" s="205" t="s">
        <v>827</v>
      </c>
      <c r="L40" s="205">
        <f>ejercicio</f>
        <v>2018</v>
      </c>
      <c r="M40" s="1165"/>
      <c r="N40" s="108"/>
      <c r="P40" s="443"/>
      <c r="Q40" s="444"/>
      <c r="R40" s="444"/>
      <c r="S40" s="444"/>
      <c r="T40" s="444"/>
      <c r="U40" s="444"/>
      <c r="V40" s="444"/>
      <c r="W40" s="444"/>
      <c r="X40" s="444"/>
      <c r="Y40" s="444"/>
      <c r="Z40" s="444"/>
      <c r="AA40" s="444"/>
      <c r="AB40" s="444"/>
      <c r="AC40" s="445"/>
    </row>
    <row r="41" spans="2:29" ht="30" customHeight="1" thickBot="1">
      <c r="B41" s="119"/>
      <c r="C41" s="1169" t="s">
        <v>434</v>
      </c>
      <c r="D41" s="1169"/>
      <c r="E41" s="1169"/>
      <c r="F41" s="1169"/>
      <c r="G41" s="1169"/>
      <c r="H41" s="1169"/>
      <c r="I41" s="1169"/>
      <c r="J41" s="1169"/>
      <c r="K41" s="1169"/>
      <c r="L41" s="1169"/>
      <c r="M41" s="1169"/>
      <c r="N41" s="108"/>
      <c r="P41" s="443"/>
      <c r="Q41" s="444"/>
      <c r="R41" s="444"/>
      <c r="S41" s="444"/>
      <c r="T41" s="444"/>
      <c r="U41" s="444"/>
      <c r="V41" s="444"/>
      <c r="W41" s="444"/>
      <c r="X41" s="444"/>
      <c r="Y41" s="444"/>
      <c r="Z41" s="444"/>
      <c r="AA41" s="444"/>
      <c r="AB41" s="444"/>
      <c r="AC41" s="445"/>
    </row>
    <row r="42" spans="2:29" ht="23.1" customHeight="1">
      <c r="B42" s="119"/>
      <c r="C42" s="1171"/>
      <c r="D42" s="1172"/>
      <c r="E42" s="952"/>
      <c r="F42" s="513"/>
      <c r="G42" s="514"/>
      <c r="H42" s="514"/>
      <c r="I42" s="514"/>
      <c r="J42" s="189">
        <f t="shared" ref="J42:J48" si="2">SUM(F42:I42)</f>
        <v>0</v>
      </c>
      <c r="K42" s="521"/>
      <c r="L42" s="944"/>
      <c r="M42" s="948"/>
      <c r="N42" s="108"/>
      <c r="P42" s="443"/>
      <c r="Q42" s="444"/>
      <c r="R42" s="444"/>
      <c r="S42" s="444"/>
      <c r="T42" s="444"/>
      <c r="U42" s="444"/>
      <c r="V42" s="444"/>
      <c r="W42" s="444"/>
      <c r="X42" s="444"/>
      <c r="Y42" s="444"/>
      <c r="Z42" s="444"/>
      <c r="AA42" s="444"/>
      <c r="AB42" s="444"/>
      <c r="AC42" s="445"/>
    </row>
    <row r="43" spans="2:29" ht="23.1" customHeight="1">
      <c r="B43" s="119"/>
      <c r="C43" s="1173"/>
      <c r="D43" s="1174"/>
      <c r="E43" s="953"/>
      <c r="F43" s="506"/>
      <c r="G43" s="507"/>
      <c r="H43" s="507"/>
      <c r="I43" s="507"/>
      <c r="J43" s="180">
        <f t="shared" si="2"/>
        <v>0</v>
      </c>
      <c r="K43" s="523"/>
      <c r="L43" s="945"/>
      <c r="M43" s="949"/>
      <c r="N43" s="108"/>
      <c r="P43" s="443"/>
      <c r="Q43" s="444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5"/>
    </row>
    <row r="44" spans="2:29" ht="23.1" customHeight="1">
      <c r="B44" s="119"/>
      <c r="C44" s="1173"/>
      <c r="D44" s="1174"/>
      <c r="E44" s="953"/>
      <c r="F44" s="506"/>
      <c r="G44" s="507"/>
      <c r="H44" s="507"/>
      <c r="I44" s="507"/>
      <c r="J44" s="180">
        <f t="shared" si="2"/>
        <v>0</v>
      </c>
      <c r="K44" s="523"/>
      <c r="L44" s="945"/>
      <c r="M44" s="949"/>
      <c r="N44" s="108"/>
      <c r="P44" s="443"/>
      <c r="Q44" s="444"/>
      <c r="R44" s="444"/>
      <c r="S44" s="444"/>
      <c r="T44" s="444"/>
      <c r="U44" s="444"/>
      <c r="V44" s="444"/>
      <c r="W44" s="444"/>
      <c r="X44" s="444"/>
      <c r="Y44" s="444"/>
      <c r="Z44" s="444"/>
      <c r="AA44" s="444"/>
      <c r="AB44" s="444"/>
      <c r="AC44" s="445"/>
    </row>
    <row r="45" spans="2:29" ht="23.1" customHeight="1">
      <c r="B45" s="119"/>
      <c r="C45" s="1173"/>
      <c r="D45" s="1174"/>
      <c r="E45" s="953"/>
      <c r="F45" s="506"/>
      <c r="G45" s="507"/>
      <c r="H45" s="507"/>
      <c r="I45" s="507"/>
      <c r="J45" s="180">
        <f t="shared" si="2"/>
        <v>0</v>
      </c>
      <c r="K45" s="523"/>
      <c r="L45" s="945"/>
      <c r="M45" s="949"/>
      <c r="N45" s="108"/>
      <c r="P45" s="443"/>
      <c r="Q45" s="444"/>
      <c r="R45" s="444"/>
      <c r="S45" s="444"/>
      <c r="T45" s="444"/>
      <c r="U45" s="444"/>
      <c r="V45" s="444"/>
      <c r="W45" s="444"/>
      <c r="X45" s="444"/>
      <c r="Y45" s="444"/>
      <c r="Z45" s="444"/>
      <c r="AA45" s="444"/>
      <c r="AB45" s="444"/>
      <c r="AC45" s="445"/>
    </row>
    <row r="46" spans="2:29" ht="23.1" customHeight="1">
      <c r="B46" s="119"/>
      <c r="C46" s="1173"/>
      <c r="D46" s="1174"/>
      <c r="E46" s="954"/>
      <c r="F46" s="515"/>
      <c r="G46" s="516"/>
      <c r="H46" s="516"/>
      <c r="I46" s="516"/>
      <c r="J46" s="180">
        <f t="shared" si="2"/>
        <v>0</v>
      </c>
      <c r="K46" s="525"/>
      <c r="L46" s="946"/>
      <c r="M46" s="950"/>
      <c r="N46" s="108"/>
      <c r="P46" s="443"/>
      <c r="Q46" s="444"/>
      <c r="R46" s="444"/>
      <c r="S46" s="444"/>
      <c r="T46" s="444"/>
      <c r="U46" s="444"/>
      <c r="V46" s="444"/>
      <c r="W46" s="444"/>
      <c r="X46" s="444"/>
      <c r="Y46" s="444"/>
      <c r="Z46" s="444"/>
      <c r="AA46" s="444"/>
      <c r="AB46" s="444"/>
      <c r="AC46" s="445"/>
    </row>
    <row r="47" spans="2:29" ht="23.1" customHeight="1">
      <c r="B47" s="119"/>
      <c r="C47" s="1173"/>
      <c r="D47" s="1174"/>
      <c r="E47" s="954"/>
      <c r="F47" s="515"/>
      <c r="G47" s="516"/>
      <c r="H47" s="516"/>
      <c r="I47" s="516"/>
      <c r="J47" s="180">
        <f t="shared" si="2"/>
        <v>0</v>
      </c>
      <c r="K47" s="525"/>
      <c r="L47" s="946"/>
      <c r="M47" s="950"/>
      <c r="N47" s="108"/>
      <c r="P47" s="443"/>
      <c r="Q47" s="444"/>
      <c r="R47" s="444"/>
      <c r="S47" s="444"/>
      <c r="T47" s="444"/>
      <c r="U47" s="444"/>
      <c r="V47" s="444"/>
      <c r="W47" s="444"/>
      <c r="X47" s="444"/>
      <c r="Y47" s="444"/>
      <c r="Z47" s="444"/>
      <c r="AA47" s="444"/>
      <c r="AB47" s="444"/>
      <c r="AC47" s="445"/>
    </row>
    <row r="48" spans="2:29" ht="23.1" customHeight="1">
      <c r="B48" s="119"/>
      <c r="C48" s="1178"/>
      <c r="D48" s="1179"/>
      <c r="E48" s="955"/>
      <c r="F48" s="510"/>
      <c r="G48" s="511"/>
      <c r="H48" s="511"/>
      <c r="I48" s="511"/>
      <c r="J48" s="181">
        <f t="shared" si="2"/>
        <v>0</v>
      </c>
      <c r="K48" s="527"/>
      <c r="L48" s="947"/>
      <c r="M48" s="951"/>
      <c r="N48" s="108"/>
      <c r="P48" s="443"/>
      <c r="Q48" s="444"/>
      <c r="R48" s="444"/>
      <c r="S48" s="444"/>
      <c r="T48" s="444"/>
      <c r="U48" s="444"/>
      <c r="V48" s="444"/>
      <c r="W48" s="444"/>
      <c r="X48" s="444"/>
      <c r="Y48" s="444"/>
      <c r="Z48" s="444"/>
      <c r="AA48" s="444"/>
      <c r="AB48" s="444"/>
      <c r="AC48" s="445"/>
    </row>
    <row r="49" spans="2:29" ht="23.1" customHeight="1" thickBot="1">
      <c r="B49" s="119"/>
      <c r="C49" s="166" t="s">
        <v>405</v>
      </c>
      <c r="D49" s="167"/>
      <c r="E49" s="179"/>
      <c r="F49" s="179">
        <f>SUM(F42:F48)</f>
        <v>0</v>
      </c>
      <c r="G49" s="179">
        <f>SUM(G42:G48)</f>
        <v>0</v>
      </c>
      <c r="H49" s="179">
        <f>SUM(H42:H48)</f>
        <v>0</v>
      </c>
      <c r="I49" s="179">
        <f>SUM(I42:I48)</f>
        <v>0</v>
      </c>
      <c r="J49" s="179">
        <f>SUM(J42:J48)</f>
        <v>0</v>
      </c>
      <c r="K49" s="529"/>
      <c r="L49" s="179">
        <f>SUM(L42:L48)</f>
        <v>0</v>
      </c>
      <c r="M49" s="168"/>
      <c r="N49" s="108"/>
      <c r="P49" s="443"/>
      <c r="Q49" s="444"/>
      <c r="R49" s="444"/>
      <c r="S49" s="444"/>
      <c r="T49" s="444"/>
      <c r="U49" s="444"/>
      <c r="V49" s="444"/>
      <c r="W49" s="444"/>
      <c r="X49" s="444"/>
      <c r="Y49" s="444"/>
      <c r="Z49" s="444"/>
      <c r="AA49" s="444"/>
      <c r="AB49" s="444"/>
      <c r="AC49" s="445"/>
    </row>
    <row r="50" spans="2:29" ht="29.1" customHeight="1" thickBot="1">
      <c r="B50" s="119"/>
      <c r="C50" s="1170" t="s">
        <v>435</v>
      </c>
      <c r="D50" s="1170"/>
      <c r="E50" s="1170"/>
      <c r="F50" s="1170"/>
      <c r="G50" s="1170"/>
      <c r="H50" s="1170"/>
      <c r="I50" s="1170"/>
      <c r="J50" s="1170"/>
      <c r="K50" s="1170"/>
      <c r="L50" s="1170"/>
      <c r="M50" s="1170"/>
      <c r="N50" s="108"/>
      <c r="P50" s="443"/>
      <c r="Q50" s="444"/>
      <c r="R50" s="444"/>
      <c r="S50" s="444"/>
      <c r="T50" s="444"/>
      <c r="U50" s="444"/>
      <c r="V50" s="444"/>
      <c r="W50" s="444"/>
      <c r="X50" s="444"/>
      <c r="Y50" s="444"/>
      <c r="Z50" s="444"/>
      <c r="AA50" s="444"/>
      <c r="AB50" s="444"/>
      <c r="AC50" s="445"/>
    </row>
    <row r="51" spans="2:29" ht="23.1" customHeight="1">
      <c r="B51" s="119"/>
      <c r="C51" s="1175" t="s">
        <v>914</v>
      </c>
      <c r="D51" s="1172"/>
      <c r="E51" s="952">
        <v>2660001</v>
      </c>
      <c r="F51" s="513">
        <v>1782.06</v>
      </c>
      <c r="G51" s="514"/>
      <c r="H51" s="514"/>
      <c r="I51" s="514"/>
      <c r="J51" s="189">
        <f t="shared" ref="J51:J57" si="3">SUM(F51:I51)</f>
        <v>1782.06</v>
      </c>
      <c r="K51" s="521"/>
      <c r="L51" s="522"/>
      <c r="M51" s="948"/>
      <c r="N51" s="108"/>
      <c r="P51" s="443"/>
      <c r="Q51" s="444"/>
      <c r="R51" s="444"/>
      <c r="S51" s="444"/>
      <c r="T51" s="444"/>
      <c r="U51" s="444"/>
      <c r="V51" s="444"/>
      <c r="W51" s="444"/>
      <c r="X51" s="444"/>
      <c r="Y51" s="444"/>
      <c r="Z51" s="444"/>
      <c r="AA51" s="444"/>
      <c r="AB51" s="444"/>
      <c r="AC51" s="445"/>
    </row>
    <row r="52" spans="2:29" ht="23.1" customHeight="1">
      <c r="B52" s="119"/>
      <c r="C52" s="1176" t="s">
        <v>915</v>
      </c>
      <c r="D52" s="1174"/>
      <c r="E52" s="953">
        <v>2600004</v>
      </c>
      <c r="F52" s="506">
        <v>300</v>
      </c>
      <c r="G52" s="507"/>
      <c r="H52" s="507"/>
      <c r="I52" s="507"/>
      <c r="J52" s="180">
        <f t="shared" si="3"/>
        <v>300</v>
      </c>
      <c r="K52" s="523"/>
      <c r="L52" s="524"/>
      <c r="M52" s="949"/>
      <c r="N52" s="108"/>
      <c r="P52" s="443"/>
      <c r="Q52" s="444"/>
      <c r="R52" s="444"/>
      <c r="S52" s="444"/>
      <c r="T52" s="444"/>
      <c r="U52" s="444"/>
      <c r="V52" s="444"/>
      <c r="W52" s="444"/>
      <c r="X52" s="444"/>
      <c r="Y52" s="444"/>
      <c r="Z52" s="444"/>
      <c r="AA52" s="444"/>
      <c r="AB52" s="444"/>
      <c r="AC52" s="445"/>
    </row>
    <row r="53" spans="2:29" ht="23.1" customHeight="1">
      <c r="B53" s="119"/>
      <c r="C53" s="1176" t="s">
        <v>916</v>
      </c>
      <c r="D53" s="1174"/>
      <c r="E53" s="953">
        <v>2600005</v>
      </c>
      <c r="F53" s="506">
        <v>600</v>
      </c>
      <c r="G53" s="507"/>
      <c r="H53" s="507"/>
      <c r="I53" s="507"/>
      <c r="J53" s="180">
        <f t="shared" si="3"/>
        <v>600</v>
      </c>
      <c r="K53" s="523"/>
      <c r="L53" s="524"/>
      <c r="M53" s="949"/>
      <c r="N53" s="108"/>
      <c r="P53" s="443"/>
      <c r="Q53" s="444"/>
      <c r="R53" s="444"/>
      <c r="S53" s="444"/>
      <c r="T53" s="444"/>
      <c r="U53" s="444"/>
      <c r="V53" s="444"/>
      <c r="W53" s="444"/>
      <c r="X53" s="444"/>
      <c r="Y53" s="444"/>
      <c r="Z53" s="444"/>
      <c r="AA53" s="444"/>
      <c r="AB53" s="444"/>
      <c r="AC53" s="445"/>
    </row>
    <row r="54" spans="2:29" ht="23.1" customHeight="1">
      <c r="B54" s="119"/>
      <c r="C54" s="1173"/>
      <c r="D54" s="1174"/>
      <c r="E54" s="953"/>
      <c r="F54" s="506"/>
      <c r="G54" s="507"/>
      <c r="H54" s="507"/>
      <c r="I54" s="507"/>
      <c r="J54" s="180">
        <f t="shared" si="3"/>
        <v>0</v>
      </c>
      <c r="K54" s="523"/>
      <c r="L54" s="524"/>
      <c r="M54" s="949"/>
      <c r="N54" s="108"/>
      <c r="P54" s="443"/>
      <c r="Q54" s="444"/>
      <c r="R54" s="444"/>
      <c r="S54" s="444"/>
      <c r="T54" s="444"/>
      <c r="U54" s="444"/>
      <c r="V54" s="444"/>
      <c r="W54" s="444"/>
      <c r="X54" s="444"/>
      <c r="Y54" s="444"/>
      <c r="Z54" s="444"/>
      <c r="AA54" s="444"/>
      <c r="AB54" s="444"/>
      <c r="AC54" s="445"/>
    </row>
    <row r="55" spans="2:29" ht="23.1" customHeight="1">
      <c r="B55" s="119"/>
      <c r="C55" s="1173"/>
      <c r="D55" s="1174"/>
      <c r="E55" s="954"/>
      <c r="F55" s="515"/>
      <c r="G55" s="516"/>
      <c r="H55" s="516"/>
      <c r="I55" s="516"/>
      <c r="J55" s="180">
        <f t="shared" si="3"/>
        <v>0</v>
      </c>
      <c r="K55" s="525"/>
      <c r="L55" s="526"/>
      <c r="M55" s="950"/>
      <c r="N55" s="108"/>
      <c r="P55" s="443"/>
      <c r="Q55" s="444"/>
      <c r="R55" s="444"/>
      <c r="S55" s="444"/>
      <c r="T55" s="444"/>
      <c r="U55" s="444"/>
      <c r="V55" s="444"/>
      <c r="W55" s="444"/>
      <c r="X55" s="444"/>
      <c r="Y55" s="444"/>
      <c r="Z55" s="444"/>
      <c r="AA55" s="444"/>
      <c r="AB55" s="444"/>
      <c r="AC55" s="445"/>
    </row>
    <row r="56" spans="2:29" ht="23.1" customHeight="1">
      <c r="B56" s="119"/>
      <c r="C56" s="1173"/>
      <c r="D56" s="1174"/>
      <c r="E56" s="954"/>
      <c r="F56" s="515"/>
      <c r="G56" s="516"/>
      <c r="H56" s="516"/>
      <c r="I56" s="516"/>
      <c r="J56" s="180">
        <f t="shared" si="3"/>
        <v>0</v>
      </c>
      <c r="K56" s="525"/>
      <c r="L56" s="526"/>
      <c r="M56" s="950"/>
      <c r="N56" s="108"/>
      <c r="P56" s="443"/>
      <c r="Q56" s="444"/>
      <c r="R56" s="444"/>
      <c r="S56" s="444"/>
      <c r="T56" s="444"/>
      <c r="U56" s="444"/>
      <c r="V56" s="444"/>
      <c r="W56" s="444"/>
      <c r="X56" s="444"/>
      <c r="Y56" s="444"/>
      <c r="Z56" s="444"/>
      <c r="AA56" s="444"/>
      <c r="AB56" s="444"/>
      <c r="AC56" s="445"/>
    </row>
    <row r="57" spans="2:29" ht="23.1" customHeight="1">
      <c r="B57" s="119"/>
      <c r="C57" s="1178"/>
      <c r="D57" s="1179"/>
      <c r="E57" s="955"/>
      <c r="F57" s="510"/>
      <c r="G57" s="511"/>
      <c r="H57" s="511"/>
      <c r="I57" s="511"/>
      <c r="J57" s="181">
        <f t="shared" si="3"/>
        <v>0</v>
      </c>
      <c r="K57" s="527"/>
      <c r="L57" s="528"/>
      <c r="M57" s="951"/>
      <c r="N57" s="108"/>
      <c r="P57" s="443"/>
      <c r="Q57" s="444"/>
      <c r="R57" s="444"/>
      <c r="S57" s="444"/>
      <c r="T57" s="444"/>
      <c r="U57" s="444"/>
      <c r="V57" s="444"/>
      <c r="W57" s="444"/>
      <c r="X57" s="444"/>
      <c r="Y57" s="444"/>
      <c r="Z57" s="444"/>
      <c r="AA57" s="444"/>
      <c r="AB57" s="444"/>
      <c r="AC57" s="445"/>
    </row>
    <row r="58" spans="2:29" ht="23.1" customHeight="1" thickBot="1">
      <c r="B58" s="119"/>
      <c r="C58" s="166" t="s">
        <v>405</v>
      </c>
      <c r="D58" s="167"/>
      <c r="E58" s="179"/>
      <c r="F58" s="179">
        <f>SUM(F51:F57)</f>
        <v>2682.06</v>
      </c>
      <c r="G58" s="179">
        <f>SUM(G51:G57)</f>
        <v>0</v>
      </c>
      <c r="H58" s="179">
        <f>SUM(H51:H57)</f>
        <v>0</v>
      </c>
      <c r="I58" s="179">
        <f>SUM(I51:I57)</f>
        <v>0</v>
      </c>
      <c r="J58" s="179">
        <f>SUM(J51:J57)</f>
        <v>2682.06</v>
      </c>
      <c r="K58" s="184"/>
      <c r="L58" s="179">
        <f>SUM(L51:L57)</f>
        <v>0</v>
      </c>
      <c r="M58" s="168"/>
      <c r="N58" s="108"/>
      <c r="P58" s="443"/>
      <c r="Q58" s="444"/>
      <c r="R58" s="444"/>
      <c r="S58" s="444"/>
      <c r="T58" s="444"/>
      <c r="U58" s="444"/>
      <c r="V58" s="444"/>
      <c r="W58" s="444"/>
      <c r="X58" s="444"/>
      <c r="Y58" s="444"/>
      <c r="Z58" s="444"/>
      <c r="AA58" s="444"/>
      <c r="AB58" s="444"/>
      <c r="AC58" s="445"/>
    </row>
    <row r="59" spans="2:29" ht="23.1" customHeight="1">
      <c r="B59" s="119"/>
      <c r="C59" s="156"/>
      <c r="D59" s="156"/>
      <c r="E59" s="157"/>
      <c r="F59" s="157"/>
      <c r="G59" s="157"/>
      <c r="H59" s="157"/>
      <c r="I59" s="157"/>
      <c r="J59" s="157"/>
      <c r="K59" s="157"/>
      <c r="L59" s="157"/>
      <c r="M59" s="157"/>
      <c r="N59" s="108"/>
      <c r="P59" s="443"/>
      <c r="Q59" s="444"/>
      <c r="R59" s="444"/>
      <c r="S59" s="444"/>
      <c r="T59" s="444"/>
      <c r="U59" s="444"/>
      <c r="V59" s="444"/>
      <c r="W59" s="444"/>
      <c r="X59" s="444"/>
      <c r="Y59" s="444"/>
      <c r="Z59" s="444"/>
      <c r="AA59" s="444"/>
      <c r="AB59" s="444"/>
      <c r="AC59" s="445"/>
    </row>
    <row r="60" spans="2:29" ht="23.1" customHeight="1">
      <c r="B60" s="119"/>
      <c r="C60" s="175" t="s">
        <v>416</v>
      </c>
      <c r="D60" s="173"/>
      <c r="E60" s="174"/>
      <c r="F60" s="174"/>
      <c r="G60" s="174"/>
      <c r="H60" s="174"/>
      <c r="I60" s="174"/>
      <c r="J60" s="174"/>
      <c r="K60" s="174"/>
      <c r="L60" s="174"/>
      <c r="M60" s="98"/>
      <c r="N60" s="108"/>
      <c r="P60" s="443"/>
      <c r="Q60" s="444"/>
      <c r="R60" s="444"/>
      <c r="S60" s="444"/>
      <c r="T60" s="444"/>
      <c r="U60" s="444"/>
      <c r="V60" s="444"/>
      <c r="W60" s="444"/>
      <c r="X60" s="444"/>
      <c r="Y60" s="444"/>
      <c r="Z60" s="444"/>
      <c r="AA60" s="444"/>
      <c r="AB60" s="444"/>
      <c r="AC60" s="445"/>
    </row>
    <row r="61" spans="2:29" ht="17.399999999999999">
      <c r="B61" s="119"/>
      <c r="C61" s="173" t="s">
        <v>436</v>
      </c>
      <c r="D61" s="173"/>
      <c r="E61" s="174"/>
      <c r="F61" s="174"/>
      <c r="G61" s="174"/>
      <c r="H61" s="174"/>
      <c r="I61" s="174"/>
      <c r="J61" s="174"/>
      <c r="K61" s="174"/>
      <c r="L61" s="174"/>
      <c r="M61" s="98"/>
      <c r="N61" s="108"/>
      <c r="P61" s="443"/>
      <c r="Q61" s="444"/>
      <c r="R61" s="444"/>
      <c r="S61" s="444"/>
      <c r="T61" s="444"/>
      <c r="U61" s="444"/>
      <c r="V61" s="444"/>
      <c r="W61" s="444"/>
      <c r="X61" s="444"/>
      <c r="Y61" s="444"/>
      <c r="Z61" s="444"/>
      <c r="AA61" s="444"/>
      <c r="AB61" s="444"/>
      <c r="AC61" s="445"/>
    </row>
    <row r="62" spans="2:29" ht="17.399999999999999">
      <c r="B62" s="119"/>
      <c r="C62" s="173" t="s">
        <v>437</v>
      </c>
      <c r="D62" s="173"/>
      <c r="E62" s="174"/>
      <c r="F62" s="174"/>
      <c r="G62" s="174"/>
      <c r="H62" s="174"/>
      <c r="I62" s="174"/>
      <c r="J62" s="174"/>
      <c r="K62" s="174"/>
      <c r="L62" s="174"/>
      <c r="M62" s="98"/>
      <c r="N62" s="108"/>
      <c r="P62" s="443"/>
      <c r="Q62" s="444"/>
      <c r="R62" s="444"/>
      <c r="S62" s="444"/>
      <c r="T62" s="444"/>
      <c r="U62" s="444"/>
      <c r="V62" s="444"/>
      <c r="W62" s="444"/>
      <c r="X62" s="444"/>
      <c r="Y62" s="444"/>
      <c r="Z62" s="444"/>
      <c r="AA62" s="444"/>
      <c r="AB62" s="444"/>
      <c r="AC62" s="445"/>
    </row>
    <row r="63" spans="2:29" ht="17.399999999999999">
      <c r="B63" s="119"/>
      <c r="C63" s="173" t="s">
        <v>438</v>
      </c>
      <c r="D63" s="173"/>
      <c r="E63" s="174"/>
      <c r="F63" s="174"/>
      <c r="G63" s="174"/>
      <c r="H63" s="174"/>
      <c r="I63" s="174"/>
      <c r="J63" s="174"/>
      <c r="K63" s="174"/>
      <c r="L63" s="174"/>
      <c r="M63" s="98"/>
      <c r="N63" s="108"/>
      <c r="P63" s="443"/>
      <c r="Q63" s="444"/>
      <c r="R63" s="444"/>
      <c r="S63" s="444"/>
      <c r="T63" s="444"/>
      <c r="U63" s="444"/>
      <c r="V63" s="444"/>
      <c r="W63" s="444"/>
      <c r="X63" s="444"/>
      <c r="Y63" s="444"/>
      <c r="Z63" s="444"/>
      <c r="AA63" s="444"/>
      <c r="AB63" s="444"/>
      <c r="AC63" s="445"/>
    </row>
    <row r="64" spans="2:29" ht="17.399999999999999">
      <c r="B64" s="119"/>
      <c r="C64" s="173" t="s">
        <v>439</v>
      </c>
      <c r="D64" s="173"/>
      <c r="E64" s="174"/>
      <c r="F64" s="174"/>
      <c r="G64" s="174"/>
      <c r="H64" s="174"/>
      <c r="I64" s="174"/>
      <c r="J64" s="174"/>
      <c r="K64" s="174"/>
      <c r="L64" s="174"/>
      <c r="M64" s="98"/>
      <c r="N64" s="108"/>
      <c r="P64" s="443"/>
      <c r="Q64" s="444"/>
      <c r="R64" s="444"/>
      <c r="S64" s="444"/>
      <c r="T64" s="444"/>
      <c r="U64" s="444"/>
      <c r="V64" s="444"/>
      <c r="W64" s="444"/>
      <c r="X64" s="444"/>
      <c r="Y64" s="444"/>
      <c r="Z64" s="444"/>
      <c r="AA64" s="444"/>
      <c r="AB64" s="444"/>
      <c r="AC64" s="445"/>
    </row>
    <row r="65" spans="2:29" ht="17.399999999999999">
      <c r="B65" s="119"/>
      <c r="C65" s="173" t="s">
        <v>440</v>
      </c>
      <c r="D65" s="173"/>
      <c r="E65" s="174"/>
      <c r="F65" s="174"/>
      <c r="G65" s="174"/>
      <c r="H65" s="174"/>
      <c r="I65" s="174"/>
      <c r="J65" s="174"/>
      <c r="K65" s="174"/>
      <c r="L65" s="174"/>
      <c r="M65" s="98"/>
      <c r="N65" s="108"/>
      <c r="P65" s="443"/>
      <c r="Q65" s="444"/>
      <c r="R65" s="444"/>
      <c r="S65" s="444"/>
      <c r="T65" s="444"/>
      <c r="U65" s="444"/>
      <c r="V65" s="444"/>
      <c r="W65" s="444"/>
      <c r="X65" s="444"/>
      <c r="Y65" s="444"/>
      <c r="Z65" s="444"/>
      <c r="AA65" s="444"/>
      <c r="AB65" s="444"/>
      <c r="AC65" s="445"/>
    </row>
    <row r="66" spans="2:29" ht="17.399999999999999">
      <c r="B66" s="119"/>
      <c r="C66" s="173" t="s">
        <v>826</v>
      </c>
      <c r="D66" s="173"/>
      <c r="E66" s="174"/>
      <c r="F66" s="174"/>
      <c r="G66" s="174"/>
      <c r="H66" s="174"/>
      <c r="I66" s="174"/>
      <c r="J66" s="174"/>
      <c r="K66" s="174"/>
      <c r="L66" s="174"/>
      <c r="M66" s="98"/>
      <c r="N66" s="108"/>
      <c r="P66" s="443"/>
      <c r="Q66" s="444"/>
      <c r="R66" s="444"/>
      <c r="S66" s="444"/>
      <c r="T66" s="444"/>
      <c r="U66" s="444"/>
      <c r="V66" s="444"/>
      <c r="W66" s="444"/>
      <c r="X66" s="444"/>
      <c r="Y66" s="444"/>
      <c r="Z66" s="444"/>
      <c r="AA66" s="444"/>
      <c r="AB66" s="444"/>
      <c r="AC66" s="445"/>
    </row>
    <row r="67" spans="2:29" ht="17.399999999999999">
      <c r="B67" s="119"/>
      <c r="C67" s="173" t="s">
        <v>728</v>
      </c>
      <c r="D67" s="173"/>
      <c r="E67" s="174"/>
      <c r="F67" s="174"/>
      <c r="G67" s="174"/>
      <c r="H67" s="174"/>
      <c r="I67" s="174"/>
      <c r="J67" s="174"/>
      <c r="K67" s="174"/>
      <c r="L67" s="174"/>
      <c r="M67" s="98"/>
      <c r="N67" s="108"/>
      <c r="P67" s="443"/>
      <c r="Q67" s="444"/>
      <c r="R67" s="444"/>
      <c r="S67" s="444"/>
      <c r="T67" s="444"/>
      <c r="U67" s="444"/>
      <c r="V67" s="444"/>
      <c r="W67" s="444"/>
      <c r="X67" s="444"/>
      <c r="Y67" s="444"/>
      <c r="Z67" s="444"/>
      <c r="AA67" s="444"/>
      <c r="AB67" s="444"/>
      <c r="AC67" s="445"/>
    </row>
    <row r="68" spans="2:29" ht="17.399999999999999">
      <c r="B68" s="119"/>
      <c r="C68" s="173" t="s">
        <v>441</v>
      </c>
      <c r="D68" s="173"/>
      <c r="E68" s="174"/>
      <c r="F68" s="174"/>
      <c r="G68" s="174"/>
      <c r="H68" s="174"/>
      <c r="I68" s="174"/>
      <c r="J68" s="174"/>
      <c r="K68" s="174"/>
      <c r="L68" s="174"/>
      <c r="M68" s="98"/>
      <c r="N68" s="108"/>
      <c r="P68" s="443"/>
      <c r="Q68" s="444"/>
      <c r="R68" s="444"/>
      <c r="S68" s="444"/>
      <c r="T68" s="444"/>
      <c r="U68" s="444"/>
      <c r="V68" s="444"/>
      <c r="W68" s="444"/>
      <c r="X68" s="444"/>
      <c r="Y68" s="444"/>
      <c r="Z68" s="444"/>
      <c r="AA68" s="444"/>
      <c r="AB68" s="444"/>
      <c r="AC68" s="445"/>
    </row>
    <row r="69" spans="2:29" ht="17.399999999999999">
      <c r="B69" s="119"/>
      <c r="C69" s="173" t="s">
        <v>442</v>
      </c>
      <c r="D69" s="173"/>
      <c r="E69" s="174"/>
      <c r="F69" s="174"/>
      <c r="G69" s="174"/>
      <c r="H69" s="174"/>
      <c r="I69" s="174"/>
      <c r="J69" s="174"/>
      <c r="K69" s="174"/>
      <c r="L69" s="174"/>
      <c r="M69" s="98"/>
      <c r="N69" s="108"/>
      <c r="P69" s="443"/>
      <c r="Q69" s="444"/>
      <c r="R69" s="444"/>
      <c r="S69" s="444"/>
      <c r="T69" s="444"/>
      <c r="U69" s="444"/>
      <c r="V69" s="444"/>
      <c r="W69" s="444"/>
      <c r="X69" s="444"/>
      <c r="Y69" s="444"/>
      <c r="Z69" s="444"/>
      <c r="AA69" s="444"/>
      <c r="AB69" s="444"/>
      <c r="AC69" s="445"/>
    </row>
    <row r="70" spans="2:29" ht="17.399999999999999">
      <c r="B70" s="119"/>
      <c r="C70" s="173" t="s">
        <v>443</v>
      </c>
      <c r="D70" s="173"/>
      <c r="E70" s="174"/>
      <c r="F70" s="174"/>
      <c r="G70" s="174"/>
      <c r="H70" s="174"/>
      <c r="I70" s="174"/>
      <c r="J70" s="174"/>
      <c r="K70" s="174"/>
      <c r="L70" s="174"/>
      <c r="M70" s="98"/>
      <c r="N70" s="108"/>
      <c r="P70" s="443"/>
      <c r="Q70" s="444"/>
      <c r="R70" s="444"/>
      <c r="S70" s="444"/>
      <c r="T70" s="444"/>
      <c r="U70" s="444"/>
      <c r="V70" s="444"/>
      <c r="W70" s="444"/>
      <c r="X70" s="444"/>
      <c r="Y70" s="444"/>
      <c r="Z70" s="444"/>
      <c r="AA70" s="444"/>
      <c r="AB70" s="444"/>
      <c r="AC70" s="445"/>
    </row>
    <row r="71" spans="2:29" ht="23.1" customHeight="1" thickBot="1">
      <c r="B71" s="123"/>
      <c r="C71" s="1134"/>
      <c r="D71" s="1134"/>
      <c r="E71" s="1134"/>
      <c r="F71" s="1134"/>
      <c r="G71" s="57"/>
      <c r="H71" s="57"/>
      <c r="I71" s="57"/>
      <c r="J71" s="57"/>
      <c r="K71" s="57"/>
      <c r="L71" s="57"/>
      <c r="M71" s="124"/>
      <c r="N71" s="125"/>
      <c r="P71" s="446"/>
      <c r="Q71" s="447"/>
      <c r="R71" s="447"/>
      <c r="S71" s="447"/>
      <c r="T71" s="447"/>
      <c r="U71" s="447"/>
      <c r="V71" s="447"/>
      <c r="W71" s="447"/>
      <c r="X71" s="447"/>
      <c r="Y71" s="447"/>
      <c r="Z71" s="447"/>
      <c r="AA71" s="447"/>
      <c r="AB71" s="447"/>
      <c r="AC71" s="448"/>
    </row>
    <row r="72" spans="2:29" ht="23.1" customHeight="1">
      <c r="C72" s="106"/>
      <c r="D72" s="106"/>
      <c r="E72" s="107"/>
      <c r="F72" s="107"/>
      <c r="G72" s="107"/>
      <c r="H72" s="107"/>
      <c r="I72" s="107"/>
      <c r="J72" s="107"/>
      <c r="K72" s="107"/>
      <c r="L72" s="107"/>
      <c r="M72" s="107"/>
    </row>
    <row r="73" spans="2:29" ht="13.2">
      <c r="C73" s="126" t="s">
        <v>77</v>
      </c>
      <c r="D73" s="106"/>
      <c r="E73" s="107"/>
      <c r="F73" s="107"/>
      <c r="G73" s="107"/>
      <c r="H73" s="107"/>
      <c r="I73" s="107"/>
      <c r="J73" s="107"/>
      <c r="K73" s="107"/>
      <c r="L73" s="107"/>
      <c r="M73" s="97" t="s">
        <v>52</v>
      </c>
    </row>
    <row r="74" spans="2:29" ht="13.2">
      <c r="C74" s="127" t="s">
        <v>78</v>
      </c>
      <c r="D74" s="106"/>
      <c r="E74" s="107"/>
      <c r="F74" s="107"/>
      <c r="G74" s="107"/>
      <c r="H74" s="107"/>
      <c r="I74" s="107"/>
      <c r="J74" s="107"/>
      <c r="K74" s="107"/>
      <c r="L74" s="107"/>
      <c r="M74" s="107"/>
    </row>
    <row r="75" spans="2:29" ht="13.2">
      <c r="C75" s="127" t="s">
        <v>79</v>
      </c>
      <c r="D75" s="106"/>
      <c r="E75" s="107"/>
      <c r="F75" s="107"/>
      <c r="G75" s="107"/>
      <c r="H75" s="107"/>
      <c r="I75" s="107"/>
      <c r="J75" s="107"/>
      <c r="K75" s="107"/>
      <c r="L75" s="107"/>
      <c r="M75" s="107"/>
    </row>
    <row r="76" spans="2:29" ht="13.2">
      <c r="C76" s="127" t="s">
        <v>80</v>
      </c>
      <c r="D76" s="106"/>
      <c r="E76" s="107"/>
      <c r="F76" s="107"/>
      <c r="G76" s="107"/>
      <c r="H76" s="107"/>
      <c r="I76" s="107"/>
      <c r="J76" s="107"/>
      <c r="K76" s="107"/>
      <c r="L76" s="107"/>
      <c r="M76" s="107"/>
    </row>
    <row r="77" spans="2:29" ht="13.2">
      <c r="C77" s="127" t="s">
        <v>81</v>
      </c>
      <c r="D77" s="106"/>
      <c r="E77" s="107"/>
      <c r="F77" s="107"/>
      <c r="G77" s="107"/>
      <c r="H77" s="107"/>
      <c r="I77" s="107"/>
      <c r="J77" s="107"/>
      <c r="K77" s="107"/>
      <c r="L77" s="107"/>
      <c r="M77" s="107"/>
    </row>
    <row r="78" spans="2:29" ht="23.1" customHeight="1">
      <c r="C78" s="106"/>
      <c r="D78" s="106"/>
      <c r="E78" s="107"/>
      <c r="F78" s="107"/>
      <c r="G78" s="107"/>
      <c r="H78" s="107"/>
      <c r="I78" s="107"/>
      <c r="J78" s="107"/>
      <c r="K78" s="107"/>
      <c r="L78" s="107"/>
      <c r="M78" s="107"/>
    </row>
    <row r="79" spans="2:29" ht="23.1" customHeight="1">
      <c r="C79" s="106"/>
      <c r="D79" s="106"/>
      <c r="E79" s="107"/>
      <c r="F79" s="107"/>
      <c r="G79" s="107"/>
      <c r="H79" s="107"/>
      <c r="I79" s="107"/>
      <c r="J79" s="107"/>
      <c r="K79" s="107"/>
      <c r="L79" s="107"/>
      <c r="M79" s="107"/>
    </row>
    <row r="80" spans="2:29" ht="23.1" customHeight="1">
      <c r="C80" s="106"/>
      <c r="D80" s="106"/>
      <c r="E80" s="107"/>
      <c r="F80" s="107"/>
      <c r="G80" s="107"/>
      <c r="H80" s="107"/>
      <c r="I80" s="107"/>
      <c r="J80" s="107"/>
      <c r="K80" s="107"/>
      <c r="L80" s="107"/>
      <c r="M80" s="107"/>
    </row>
    <row r="81" spans="3:13" ht="23.1" customHeight="1">
      <c r="C81" s="106"/>
      <c r="D81" s="106"/>
      <c r="E81" s="107"/>
      <c r="F81" s="107"/>
      <c r="G81" s="107"/>
      <c r="H81" s="107"/>
      <c r="I81" s="107"/>
      <c r="J81" s="107"/>
      <c r="K81" s="107"/>
      <c r="L81" s="107"/>
      <c r="M81" s="107"/>
    </row>
    <row r="82" spans="3:13" ht="23.1" customHeight="1">
      <c r="F82" s="107"/>
      <c r="G82" s="107"/>
      <c r="H82" s="107"/>
      <c r="I82" s="107"/>
      <c r="J82" s="107"/>
      <c r="K82" s="107"/>
      <c r="L82" s="107"/>
      <c r="M82" s="107"/>
    </row>
  </sheetData>
  <sheetProtection password="E059" sheet="1" objects="1" scenarios="1" insertRows="0"/>
  <mergeCells count="39">
    <mergeCell ref="C55:D55"/>
    <mergeCell ref="C56:D56"/>
    <mergeCell ref="C57:D57"/>
    <mergeCell ref="C47:D47"/>
    <mergeCell ref="C48:D48"/>
    <mergeCell ref="C51:D51"/>
    <mergeCell ref="C52:D52"/>
    <mergeCell ref="C53:D53"/>
    <mergeCell ref="C43:D43"/>
    <mergeCell ref="C44:D44"/>
    <mergeCell ref="C45:D45"/>
    <mergeCell ref="C46:D46"/>
    <mergeCell ref="C54:D54"/>
    <mergeCell ref="C30:D30"/>
    <mergeCell ref="C31:D31"/>
    <mergeCell ref="C32:D32"/>
    <mergeCell ref="C33:D33"/>
    <mergeCell ref="C42:D42"/>
    <mergeCell ref="M6:M7"/>
    <mergeCell ref="D9:M9"/>
    <mergeCell ref="C12:D12"/>
    <mergeCell ref="M15:M16"/>
    <mergeCell ref="C29:D29"/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19:D19"/>
    <mergeCell ref="C20:D20"/>
    <mergeCell ref="C21:D21"/>
    <mergeCell ref="C22:D22"/>
    <mergeCell ref="C23:D23"/>
    <mergeCell ref="C27:D27"/>
    <mergeCell ref="C28:D28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138"/>
  <sheetViews>
    <sheetView zoomScale="40" zoomScaleNormal="40" zoomScalePageLayoutView="70" workbookViewId="0">
      <selection activeCell="AD67" sqref="AD67"/>
    </sheetView>
  </sheetViews>
  <sheetFormatPr baseColWidth="10" defaultColWidth="10.90625" defaultRowHeight="23.1" customHeight="1"/>
  <cols>
    <col min="1" max="2" width="3.08984375" style="99" customWidth="1"/>
    <col min="3" max="3" width="13.54296875" style="99" customWidth="1"/>
    <col min="4" max="4" width="15.90625" style="99" customWidth="1"/>
    <col min="5" max="5" width="27.90625" style="100" customWidth="1"/>
    <col min="6" max="9" width="15.08984375" style="100" customWidth="1"/>
    <col min="10" max="12" width="9.90625" style="100" customWidth="1"/>
    <col min="13" max="13" width="7.81640625" style="99" customWidth="1"/>
    <col min="14" max="16384" width="10.90625" style="99"/>
  </cols>
  <sheetData>
    <row r="2" spans="2:28" ht="23.1" customHeight="1">
      <c r="D2" s="221" t="s">
        <v>379</v>
      </c>
    </row>
    <row r="3" spans="2:28" ht="23.1" customHeight="1">
      <c r="D3" s="221" t="s">
        <v>380</v>
      </c>
    </row>
    <row r="4" spans="2:28" ht="23.1" customHeight="1" thickBot="1"/>
    <row r="5" spans="2:28" ht="9" customHeight="1"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4"/>
      <c r="O5" s="427"/>
      <c r="P5" s="428"/>
      <c r="Q5" s="428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9"/>
    </row>
    <row r="6" spans="2:28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07"/>
      <c r="K6" s="107"/>
      <c r="L6" s="1111">
        <f>ejercicio</f>
        <v>2018</v>
      </c>
      <c r="M6" s="108"/>
      <c r="O6" s="430"/>
      <c r="P6" s="431" t="s">
        <v>707</v>
      </c>
      <c r="Q6" s="432"/>
      <c r="R6" s="432"/>
      <c r="S6" s="432"/>
      <c r="T6" s="432"/>
      <c r="U6" s="432"/>
      <c r="V6" s="432"/>
      <c r="W6" s="432"/>
      <c r="X6" s="432"/>
      <c r="Y6" s="432"/>
      <c r="Z6" s="432"/>
      <c r="AA6" s="432"/>
      <c r="AB6" s="433"/>
    </row>
    <row r="7" spans="2:28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07"/>
      <c r="K7" s="107"/>
      <c r="L7" s="1111"/>
      <c r="M7" s="108"/>
      <c r="O7" s="430"/>
      <c r="P7" s="432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3"/>
    </row>
    <row r="8" spans="2:28" ht="30" customHeight="1">
      <c r="B8" s="105"/>
      <c r="C8" s="109"/>
      <c r="D8" s="106"/>
      <c r="E8" s="107"/>
      <c r="F8" s="107"/>
      <c r="G8" s="107"/>
      <c r="H8" s="107"/>
      <c r="I8" s="107"/>
      <c r="J8" s="107"/>
      <c r="K8" s="107"/>
      <c r="L8" s="110"/>
      <c r="M8" s="108"/>
      <c r="O8" s="430"/>
      <c r="P8" s="432"/>
      <c r="Q8" s="432"/>
      <c r="R8" s="432"/>
      <c r="S8" s="432"/>
      <c r="T8" s="432"/>
      <c r="U8" s="432"/>
      <c r="V8" s="432"/>
      <c r="W8" s="432"/>
      <c r="X8" s="432"/>
      <c r="Y8" s="432"/>
      <c r="Z8" s="432"/>
      <c r="AA8" s="432"/>
      <c r="AB8" s="433"/>
    </row>
    <row r="9" spans="2:28" s="194" customFormat="1" ht="30" customHeight="1">
      <c r="B9" s="192"/>
      <c r="C9" s="56" t="s">
        <v>2</v>
      </c>
      <c r="D9" s="1135" t="str">
        <f>Entidad</f>
        <v>SPET, Turismo de Tenerife, S.A.</v>
      </c>
      <c r="E9" s="1135"/>
      <c r="F9" s="1135"/>
      <c r="G9" s="1135"/>
      <c r="H9" s="1135"/>
      <c r="I9" s="1135"/>
      <c r="J9" s="1135"/>
      <c r="K9" s="1135"/>
      <c r="L9" s="1135"/>
      <c r="M9" s="193"/>
      <c r="O9" s="430"/>
      <c r="P9" s="432"/>
      <c r="Q9" s="432"/>
      <c r="R9" s="432"/>
      <c r="S9" s="432"/>
      <c r="T9" s="432"/>
      <c r="U9" s="432"/>
      <c r="V9" s="432"/>
      <c r="W9" s="432"/>
      <c r="X9" s="432"/>
      <c r="Y9" s="432"/>
      <c r="Z9" s="432"/>
      <c r="AA9" s="432"/>
      <c r="AB9" s="433"/>
    </row>
    <row r="10" spans="2:28" ht="7.35" customHeight="1">
      <c r="B10" s="105"/>
      <c r="C10" s="106"/>
      <c r="D10" s="106"/>
      <c r="E10" s="107"/>
      <c r="F10" s="107"/>
      <c r="G10" s="107"/>
      <c r="H10" s="107"/>
      <c r="I10" s="107"/>
      <c r="J10" s="107"/>
      <c r="K10" s="107"/>
      <c r="L10" s="107"/>
      <c r="M10" s="108"/>
      <c r="O10" s="430"/>
      <c r="P10" s="432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3"/>
    </row>
    <row r="11" spans="2:28" s="117" customFormat="1" ht="30" customHeight="1">
      <c r="B11" s="113"/>
      <c r="C11" s="114" t="s">
        <v>854</v>
      </c>
      <c r="D11" s="114"/>
      <c r="E11" s="115"/>
      <c r="F11" s="115"/>
      <c r="G11" s="115"/>
      <c r="H11" s="115"/>
      <c r="I11" s="115"/>
      <c r="J11" s="115"/>
      <c r="K11" s="115"/>
      <c r="L11" s="115"/>
      <c r="M11" s="116"/>
      <c r="O11" s="430"/>
      <c r="P11" s="432"/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432"/>
      <c r="AB11" s="433"/>
    </row>
    <row r="12" spans="2:28" s="117" customFormat="1" ht="30" customHeight="1">
      <c r="B12" s="113"/>
      <c r="C12" s="1177"/>
      <c r="D12" s="1177"/>
      <c r="E12" s="98"/>
      <c r="F12" s="98"/>
      <c r="G12" s="98"/>
      <c r="H12" s="98"/>
      <c r="I12" s="98"/>
      <c r="J12" s="98"/>
      <c r="K12" s="98"/>
      <c r="L12" s="98"/>
      <c r="M12" s="116"/>
      <c r="O12" s="430"/>
      <c r="P12" s="432"/>
      <c r="Q12" s="432"/>
      <c r="R12" s="432"/>
      <c r="S12" s="432"/>
      <c r="T12" s="432"/>
      <c r="U12" s="432"/>
      <c r="V12" s="432"/>
      <c r="W12" s="432"/>
      <c r="X12" s="432"/>
      <c r="Y12" s="432"/>
      <c r="Z12" s="432"/>
      <c r="AA12" s="432"/>
      <c r="AB12" s="433"/>
    </row>
    <row r="13" spans="2:28" s="117" customFormat="1" ht="30" customHeight="1">
      <c r="B13" s="113"/>
      <c r="C13" s="68" t="s">
        <v>444</v>
      </c>
      <c r="D13" s="22"/>
      <c r="E13" s="98"/>
      <c r="F13" s="98"/>
      <c r="G13" s="98"/>
      <c r="H13" s="98"/>
      <c r="I13" s="98"/>
      <c r="J13" s="98"/>
      <c r="K13" s="98"/>
      <c r="L13" s="98"/>
      <c r="M13" s="116"/>
      <c r="O13" s="430"/>
      <c r="P13" s="432"/>
      <c r="Q13" s="432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3"/>
    </row>
    <row r="14" spans="2:28" s="117" customFormat="1" ht="30" customHeight="1">
      <c r="B14" s="113"/>
      <c r="C14" s="22" t="s">
        <v>445</v>
      </c>
      <c r="D14" s="22"/>
      <c r="E14" s="98"/>
      <c r="F14" s="98"/>
      <c r="G14" s="98"/>
      <c r="H14" s="98"/>
      <c r="I14" s="98"/>
      <c r="J14" s="98"/>
      <c r="K14" s="98"/>
      <c r="L14" s="98"/>
      <c r="M14" s="116"/>
      <c r="O14" s="430"/>
      <c r="P14" s="432"/>
      <c r="Q14" s="432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3"/>
    </row>
    <row r="15" spans="2:28" s="1017" customFormat="1" ht="36" customHeight="1">
      <c r="B15" s="1018"/>
      <c r="C15" s="1193" t="s">
        <v>852</v>
      </c>
      <c r="D15" s="1194"/>
      <c r="E15" s="1019"/>
      <c r="F15" s="1197" t="s">
        <v>858</v>
      </c>
      <c r="G15" s="1198"/>
      <c r="H15" s="1197" t="s">
        <v>857</v>
      </c>
      <c r="I15" s="1198"/>
      <c r="J15" s="1020"/>
      <c r="K15" s="1020"/>
      <c r="L15" s="1020"/>
      <c r="M15" s="1021"/>
      <c r="O15" s="1022"/>
      <c r="P15" s="1023"/>
      <c r="Q15" s="1023"/>
      <c r="R15" s="1023"/>
      <c r="S15" s="1023"/>
      <c r="T15" s="1023"/>
      <c r="U15" s="1023"/>
      <c r="V15" s="1023"/>
      <c r="W15" s="1023"/>
      <c r="X15" s="1023"/>
      <c r="Y15" s="1023"/>
      <c r="Z15" s="1023"/>
      <c r="AA15" s="1023"/>
      <c r="AB15" s="1024"/>
    </row>
    <row r="16" spans="2:28" s="1025" customFormat="1" ht="23.1" customHeight="1">
      <c r="B16" s="1026"/>
      <c r="C16" s="1195" t="s">
        <v>853</v>
      </c>
      <c r="D16" s="1196"/>
      <c r="E16" s="1027" t="s">
        <v>446</v>
      </c>
      <c r="F16" s="1020">
        <f>ejercicio-1</f>
        <v>2017</v>
      </c>
      <c r="G16" s="1020">
        <f>ejercicio</f>
        <v>2018</v>
      </c>
      <c r="H16" s="1020">
        <f>ejercicio-1</f>
        <v>2017</v>
      </c>
      <c r="I16" s="1020">
        <f>ejercicio</f>
        <v>2018</v>
      </c>
      <c r="J16" s="1020" t="s">
        <v>448</v>
      </c>
      <c r="K16" s="1020" t="s">
        <v>450</v>
      </c>
      <c r="L16" s="1020" t="s">
        <v>449</v>
      </c>
      <c r="M16" s="1028"/>
      <c r="O16" s="1022"/>
      <c r="P16" s="1023"/>
      <c r="Q16" s="1023"/>
      <c r="R16" s="1023"/>
      <c r="S16" s="1023"/>
      <c r="T16" s="1023"/>
      <c r="U16" s="1023"/>
      <c r="V16" s="1023"/>
      <c r="W16" s="1023"/>
      <c r="X16" s="1023"/>
      <c r="Y16" s="1023"/>
      <c r="Z16" s="1023"/>
      <c r="AA16" s="1023"/>
      <c r="AB16" s="1024"/>
    </row>
    <row r="17" spans="1:28" s="194" customFormat="1" ht="8.1" customHeight="1">
      <c r="B17" s="192"/>
      <c r="C17" s="69"/>
      <c r="D17" s="69"/>
      <c r="E17" s="191"/>
      <c r="F17" s="191"/>
      <c r="G17" s="191"/>
      <c r="H17" s="191"/>
      <c r="I17" s="191"/>
      <c r="J17" s="191"/>
      <c r="K17" s="191"/>
      <c r="L17" s="191"/>
      <c r="M17" s="193"/>
      <c r="O17" s="430"/>
      <c r="P17" s="432"/>
      <c r="Q17" s="432"/>
      <c r="R17" s="432"/>
      <c r="S17" s="432"/>
      <c r="T17" s="432"/>
      <c r="U17" s="432"/>
      <c r="V17" s="432"/>
      <c r="W17" s="432"/>
      <c r="X17" s="432"/>
      <c r="Y17" s="432"/>
      <c r="Z17" s="432"/>
      <c r="AA17" s="432"/>
      <c r="AB17" s="433"/>
    </row>
    <row r="18" spans="1:28" s="122" customFormat="1" ht="23.1" customHeight="1">
      <c r="A18" s="194"/>
      <c r="B18" s="192"/>
      <c r="C18" s="1190" t="s">
        <v>729</v>
      </c>
      <c r="D18" s="1191"/>
      <c r="E18" s="1192"/>
      <c r="F18" s="531">
        <v>140225.14000000001</v>
      </c>
      <c r="G18" s="530">
        <v>135856.74000000002</v>
      </c>
      <c r="H18" s="872">
        <v>140225.14000000001</v>
      </c>
      <c r="I18" s="872">
        <v>135856.74</v>
      </c>
      <c r="J18" s="872"/>
      <c r="K18" s="872"/>
      <c r="L18" s="872"/>
      <c r="M18" s="120"/>
      <c r="O18" s="430"/>
      <c r="P18" s="432"/>
      <c r="Q18" s="432"/>
      <c r="R18" s="432"/>
      <c r="S18" s="432"/>
      <c r="T18" s="432"/>
      <c r="U18" s="432"/>
      <c r="V18" s="432"/>
      <c r="W18" s="432"/>
      <c r="X18" s="432"/>
      <c r="Y18" s="432"/>
      <c r="Z18" s="432"/>
      <c r="AA18" s="432"/>
      <c r="AB18" s="433"/>
    </row>
    <row r="19" spans="1:28" s="122" customFormat="1" ht="9" customHeight="1">
      <c r="A19" s="194"/>
      <c r="B19" s="192"/>
      <c r="C19" s="32"/>
      <c r="D19" s="32"/>
      <c r="E19" s="532"/>
      <c r="F19" s="532"/>
      <c r="G19" s="532"/>
      <c r="H19" s="532"/>
      <c r="I19" s="532"/>
      <c r="J19" s="956"/>
      <c r="K19" s="956"/>
      <c r="L19" s="956"/>
      <c r="M19" s="120"/>
      <c r="O19" s="430"/>
      <c r="P19" s="432"/>
      <c r="Q19" s="432"/>
      <c r="R19" s="432"/>
      <c r="S19" s="432"/>
      <c r="T19" s="432"/>
      <c r="U19" s="432"/>
      <c r="V19" s="432"/>
      <c r="W19" s="432"/>
      <c r="X19" s="432"/>
      <c r="Y19" s="432"/>
      <c r="Z19" s="432"/>
      <c r="AA19" s="432"/>
      <c r="AB19" s="433"/>
    </row>
    <row r="20" spans="1:28" s="122" customFormat="1" ht="23.1" customHeight="1">
      <c r="A20" s="194"/>
      <c r="B20" s="192"/>
      <c r="C20" s="750"/>
      <c r="D20" s="591"/>
      <c r="E20" s="596"/>
      <c r="F20" s="502"/>
      <c r="G20" s="533"/>
      <c r="H20" s="1012"/>
      <c r="I20" s="1012"/>
      <c r="J20" s="957"/>
      <c r="K20" s="957"/>
      <c r="L20" s="958"/>
      <c r="M20" s="120"/>
      <c r="O20" s="430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3"/>
    </row>
    <row r="21" spans="1:28" s="122" customFormat="1" ht="23.1" customHeight="1">
      <c r="B21" s="119"/>
      <c r="C21" s="592"/>
      <c r="D21" s="593"/>
      <c r="E21" s="586"/>
      <c r="F21" s="513"/>
      <c r="G21" s="535"/>
      <c r="H21" s="1013"/>
      <c r="I21" s="1013"/>
      <c r="J21" s="959"/>
      <c r="K21" s="959"/>
      <c r="L21" s="960"/>
      <c r="M21" s="120"/>
      <c r="O21" s="430"/>
      <c r="P21" s="432"/>
      <c r="Q21" s="432"/>
      <c r="R21" s="432"/>
      <c r="S21" s="432"/>
      <c r="T21" s="432"/>
      <c r="U21" s="432"/>
      <c r="V21" s="432"/>
      <c r="W21" s="432"/>
      <c r="X21" s="432"/>
      <c r="Y21" s="432"/>
      <c r="Z21" s="432"/>
      <c r="AA21" s="432"/>
      <c r="AB21" s="433"/>
    </row>
    <row r="22" spans="1:28" s="122" customFormat="1" ht="23.1" customHeight="1">
      <c r="B22" s="119"/>
      <c r="C22" s="592"/>
      <c r="D22" s="593"/>
      <c r="E22" s="586"/>
      <c r="F22" s="513"/>
      <c r="G22" s="535"/>
      <c r="H22" s="1013"/>
      <c r="I22" s="1013"/>
      <c r="J22" s="959"/>
      <c r="K22" s="959"/>
      <c r="L22" s="960"/>
      <c r="M22" s="120"/>
      <c r="O22" s="430"/>
      <c r="P22" s="432"/>
      <c r="Q22" s="432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3"/>
    </row>
    <row r="23" spans="1:28" s="122" customFormat="1" ht="23.1" customHeight="1">
      <c r="B23" s="119"/>
      <c r="C23" s="592"/>
      <c r="D23" s="593"/>
      <c r="E23" s="586"/>
      <c r="F23" s="513"/>
      <c r="G23" s="535"/>
      <c r="H23" s="1013"/>
      <c r="I23" s="1013"/>
      <c r="J23" s="959"/>
      <c r="K23" s="959"/>
      <c r="L23" s="960"/>
      <c r="M23" s="120"/>
      <c r="O23" s="430"/>
      <c r="P23" s="432"/>
      <c r="Q23" s="432"/>
      <c r="R23" s="432"/>
      <c r="S23" s="432"/>
      <c r="T23" s="432"/>
      <c r="U23" s="432"/>
      <c r="V23" s="432"/>
      <c r="W23" s="432"/>
      <c r="X23" s="432"/>
      <c r="Y23" s="432"/>
      <c r="Z23" s="432"/>
      <c r="AA23" s="432"/>
      <c r="AB23" s="433"/>
    </row>
    <row r="24" spans="1:28" ht="23.1" customHeight="1">
      <c r="B24" s="119"/>
      <c r="C24" s="592"/>
      <c r="D24" s="593"/>
      <c r="E24" s="587"/>
      <c r="F24" s="506"/>
      <c r="G24" s="536"/>
      <c r="H24" s="1014"/>
      <c r="I24" s="1014"/>
      <c r="J24" s="961"/>
      <c r="K24" s="961"/>
      <c r="L24" s="962"/>
      <c r="M24" s="108"/>
      <c r="O24" s="430"/>
      <c r="P24" s="432"/>
      <c r="Q24" s="432"/>
      <c r="R24" s="432"/>
      <c r="S24" s="432"/>
      <c r="T24" s="432"/>
      <c r="U24" s="432"/>
      <c r="V24" s="432"/>
      <c r="W24" s="432"/>
      <c r="X24" s="432"/>
      <c r="Y24" s="432"/>
      <c r="Z24" s="432"/>
      <c r="AA24" s="432"/>
      <c r="AB24" s="433"/>
    </row>
    <row r="25" spans="1:28" ht="23.1" customHeight="1">
      <c r="B25" s="119"/>
      <c r="C25" s="592"/>
      <c r="D25" s="593"/>
      <c r="E25" s="587"/>
      <c r="F25" s="506"/>
      <c r="G25" s="536"/>
      <c r="H25" s="1014"/>
      <c r="I25" s="1014"/>
      <c r="J25" s="961"/>
      <c r="K25" s="961"/>
      <c r="L25" s="962"/>
      <c r="M25" s="108"/>
      <c r="O25" s="430"/>
      <c r="P25" s="432"/>
      <c r="Q25" s="432"/>
      <c r="R25" s="432"/>
      <c r="S25" s="432"/>
      <c r="T25" s="432"/>
      <c r="U25" s="432"/>
      <c r="V25" s="432"/>
      <c r="W25" s="432"/>
      <c r="X25" s="432"/>
      <c r="Y25" s="432"/>
      <c r="Z25" s="432"/>
      <c r="AA25" s="432"/>
      <c r="AB25" s="433"/>
    </row>
    <row r="26" spans="1:28" ht="23.1" customHeight="1">
      <c r="B26" s="119"/>
      <c r="C26" s="592"/>
      <c r="D26" s="593"/>
      <c r="E26" s="587"/>
      <c r="F26" s="506"/>
      <c r="G26" s="536"/>
      <c r="H26" s="1014"/>
      <c r="I26" s="1014"/>
      <c r="J26" s="961"/>
      <c r="K26" s="961"/>
      <c r="L26" s="962"/>
      <c r="M26" s="108"/>
      <c r="O26" s="430"/>
      <c r="P26" s="432"/>
      <c r="Q26" s="432"/>
      <c r="R26" s="432"/>
      <c r="S26" s="432"/>
      <c r="T26" s="432"/>
      <c r="U26" s="432"/>
      <c r="V26" s="432"/>
      <c r="W26" s="432"/>
      <c r="X26" s="432"/>
      <c r="Y26" s="432"/>
      <c r="Z26" s="432"/>
      <c r="AA26" s="432"/>
      <c r="AB26" s="433"/>
    </row>
    <row r="27" spans="1:28" ht="23.1" customHeight="1">
      <c r="B27" s="119"/>
      <c r="C27" s="592"/>
      <c r="D27" s="593"/>
      <c r="E27" s="588"/>
      <c r="F27" s="515"/>
      <c r="G27" s="537"/>
      <c r="H27" s="1015"/>
      <c r="I27" s="1015"/>
      <c r="J27" s="963"/>
      <c r="K27" s="963"/>
      <c r="L27" s="964"/>
      <c r="M27" s="108"/>
      <c r="O27" s="430"/>
      <c r="P27" s="432"/>
      <c r="Q27" s="432"/>
      <c r="R27" s="432"/>
      <c r="S27" s="432"/>
      <c r="T27" s="432"/>
      <c r="U27" s="432"/>
      <c r="V27" s="432"/>
      <c r="W27" s="432"/>
      <c r="X27" s="432"/>
      <c r="Y27" s="432"/>
      <c r="Z27" s="432"/>
      <c r="AA27" s="432"/>
      <c r="AB27" s="433"/>
    </row>
    <row r="28" spans="1:28" ht="23.1" customHeight="1">
      <c r="B28" s="119"/>
      <c r="C28" s="592"/>
      <c r="D28" s="593"/>
      <c r="E28" s="588"/>
      <c r="F28" s="515"/>
      <c r="G28" s="537"/>
      <c r="H28" s="1015"/>
      <c r="I28" s="1015"/>
      <c r="J28" s="963"/>
      <c r="K28" s="963"/>
      <c r="L28" s="964"/>
      <c r="M28" s="108"/>
      <c r="O28" s="430"/>
      <c r="P28" s="432"/>
      <c r="Q28" s="432"/>
      <c r="R28" s="432"/>
      <c r="S28" s="432"/>
      <c r="T28" s="432"/>
      <c r="U28" s="432"/>
      <c r="V28" s="432"/>
      <c r="W28" s="432"/>
      <c r="X28" s="432"/>
      <c r="Y28" s="432"/>
      <c r="Z28" s="432"/>
      <c r="AA28" s="432"/>
      <c r="AB28" s="433"/>
    </row>
    <row r="29" spans="1:28" ht="23.1" customHeight="1">
      <c r="B29" s="119"/>
      <c r="C29" s="594"/>
      <c r="D29" s="595"/>
      <c r="E29" s="589"/>
      <c r="F29" s="510"/>
      <c r="G29" s="538"/>
      <c r="H29" s="1016"/>
      <c r="I29" s="1016"/>
      <c r="J29" s="965"/>
      <c r="K29" s="965"/>
      <c r="L29" s="966"/>
      <c r="M29" s="108"/>
      <c r="O29" s="430"/>
      <c r="P29" s="432"/>
      <c r="Q29" s="432"/>
      <c r="R29" s="432"/>
      <c r="S29" s="432"/>
      <c r="T29" s="432"/>
      <c r="U29" s="432"/>
      <c r="V29" s="432"/>
      <c r="W29" s="432"/>
      <c r="X29" s="432"/>
      <c r="Y29" s="432"/>
      <c r="Z29" s="432"/>
      <c r="AA29" s="432"/>
      <c r="AB29" s="433"/>
    </row>
    <row r="30" spans="1:28" ht="23.1" customHeight="1" thickBot="1">
      <c r="B30" s="119"/>
      <c r="C30" s="166" t="s">
        <v>451</v>
      </c>
      <c r="D30" s="167"/>
      <c r="E30" s="179"/>
      <c r="F30" s="179">
        <f>SUM(F20:F29)</f>
        <v>0</v>
      </c>
      <c r="G30" s="179">
        <f>SUM(G20:G29)</f>
        <v>0</v>
      </c>
      <c r="H30" s="179">
        <f>SUM(H20:H29)</f>
        <v>0</v>
      </c>
      <c r="I30" s="179">
        <f>SUM(I20:I29)</f>
        <v>0</v>
      </c>
      <c r="J30" s="967"/>
      <c r="K30" s="968"/>
      <c r="L30" s="967"/>
      <c r="M30" s="108"/>
      <c r="O30" s="430"/>
      <c r="P30" s="432"/>
      <c r="Q30" s="432"/>
      <c r="R30" s="432"/>
      <c r="S30" s="432"/>
      <c r="T30" s="432"/>
      <c r="U30" s="432"/>
      <c r="V30" s="432"/>
      <c r="W30" s="432"/>
      <c r="X30" s="432"/>
      <c r="Y30" s="432"/>
      <c r="Z30" s="432"/>
      <c r="AA30" s="432"/>
      <c r="AB30" s="433"/>
    </row>
    <row r="31" spans="1:28" ht="8.1" customHeight="1">
      <c r="B31" s="105"/>
      <c r="C31" s="1180"/>
      <c r="D31" s="1180"/>
      <c r="E31" s="1180"/>
      <c r="F31" s="1180"/>
      <c r="G31" s="1180"/>
      <c r="H31" s="1180"/>
      <c r="I31" s="1180"/>
      <c r="J31" s="1180"/>
      <c r="K31" s="1180"/>
      <c r="L31" s="1180"/>
      <c r="M31" s="108"/>
      <c r="O31" s="430"/>
      <c r="P31" s="432"/>
      <c r="Q31" s="432"/>
      <c r="R31" s="432"/>
      <c r="S31" s="432"/>
      <c r="T31" s="432"/>
      <c r="U31" s="432"/>
      <c r="V31" s="432"/>
      <c r="W31" s="432"/>
      <c r="X31" s="432"/>
      <c r="Y31" s="432"/>
      <c r="Z31" s="432"/>
      <c r="AA31" s="432"/>
      <c r="AB31" s="433"/>
    </row>
    <row r="32" spans="1:28" ht="23.1" customHeight="1">
      <c r="B32" s="119"/>
      <c r="C32" s="1181" t="s">
        <v>452</v>
      </c>
      <c r="D32" s="1182"/>
      <c r="E32" s="1183"/>
      <c r="F32" s="543"/>
      <c r="G32" s="533"/>
      <c r="H32" s="872"/>
      <c r="I32" s="872"/>
      <c r="J32" s="157"/>
      <c r="K32" s="157"/>
      <c r="L32" s="157"/>
      <c r="M32" s="120"/>
      <c r="O32" s="430"/>
      <c r="P32" s="432"/>
      <c r="Q32" s="432"/>
      <c r="R32" s="432"/>
      <c r="S32" s="432"/>
      <c r="T32" s="432"/>
      <c r="U32" s="432"/>
      <c r="V32" s="432"/>
      <c r="W32" s="432"/>
      <c r="X32" s="432"/>
      <c r="Y32" s="432"/>
      <c r="Z32" s="432"/>
      <c r="AA32" s="432"/>
      <c r="AB32" s="433"/>
    </row>
    <row r="33" spans="2:28" ht="23.1" customHeight="1">
      <c r="B33" s="119"/>
      <c r="C33" s="1184" t="s">
        <v>453</v>
      </c>
      <c r="D33" s="1185"/>
      <c r="E33" s="1186"/>
      <c r="F33" s="544">
        <v>-5824.53</v>
      </c>
      <c r="G33" s="536">
        <v>-5824.53</v>
      </c>
      <c r="H33" s="872"/>
      <c r="I33" s="872"/>
      <c r="J33" s="157"/>
      <c r="K33" s="157"/>
      <c r="L33" s="157"/>
      <c r="M33" s="108"/>
      <c r="O33" s="430"/>
      <c r="P33" s="432"/>
      <c r="Q33" s="432"/>
      <c r="R33" s="432"/>
      <c r="S33" s="432"/>
      <c r="T33" s="432"/>
      <c r="U33" s="432"/>
      <c r="V33" s="432"/>
      <c r="W33" s="432"/>
      <c r="X33" s="432"/>
      <c r="Y33" s="432"/>
      <c r="Z33" s="432"/>
      <c r="AA33" s="432"/>
      <c r="AB33" s="433"/>
    </row>
    <row r="34" spans="2:28" ht="23.1" customHeight="1">
      <c r="B34" s="119"/>
      <c r="C34" s="162" t="s">
        <v>454</v>
      </c>
      <c r="D34" s="163"/>
      <c r="E34" s="180"/>
      <c r="F34" s="544">
        <v>1456.13</v>
      </c>
      <c r="G34" s="538">
        <v>1456.13</v>
      </c>
      <c r="H34" s="872"/>
      <c r="I34" s="872"/>
      <c r="J34" s="157"/>
      <c r="K34" s="157"/>
      <c r="L34" s="157"/>
      <c r="M34" s="108"/>
      <c r="O34" s="430"/>
      <c r="P34" s="432"/>
      <c r="Q34" s="432"/>
      <c r="R34" s="432"/>
      <c r="S34" s="432"/>
      <c r="T34" s="432"/>
      <c r="U34" s="432"/>
      <c r="V34" s="432"/>
      <c r="W34" s="432"/>
      <c r="X34" s="432"/>
      <c r="Y34" s="432"/>
      <c r="Z34" s="432"/>
      <c r="AA34" s="432"/>
      <c r="AB34" s="433"/>
    </row>
    <row r="35" spans="2:28" ht="23.1" customHeight="1" thickBot="1">
      <c r="B35" s="119"/>
      <c r="C35" s="166" t="s">
        <v>455</v>
      </c>
      <c r="D35" s="167"/>
      <c r="E35" s="179"/>
      <c r="F35" s="179">
        <f>F18+F30+SUM(F32:F34)</f>
        <v>135856.74000000002</v>
      </c>
      <c r="G35" s="179">
        <f>G18+G30+SUM(G32:G34)</f>
        <v>131488.34000000003</v>
      </c>
      <c r="H35" s="222"/>
      <c r="I35" s="222"/>
      <c r="J35" s="157"/>
      <c r="K35" s="157"/>
      <c r="L35" s="157"/>
      <c r="M35" s="108"/>
      <c r="O35" s="430"/>
      <c r="P35" s="432"/>
      <c r="Q35" s="432"/>
      <c r="R35" s="432"/>
      <c r="S35" s="432"/>
      <c r="T35" s="432"/>
      <c r="U35" s="432"/>
      <c r="V35" s="432"/>
      <c r="W35" s="432"/>
      <c r="X35" s="432"/>
      <c r="Y35" s="432"/>
      <c r="Z35" s="432"/>
      <c r="AA35" s="432"/>
      <c r="AB35" s="433"/>
    </row>
    <row r="36" spans="2:28" ht="23.1" customHeight="1">
      <c r="B36" s="119"/>
      <c r="C36" s="156"/>
      <c r="D36" s="156"/>
      <c r="E36" s="157"/>
      <c r="F36" s="157"/>
      <c r="G36" s="157"/>
      <c r="H36" s="157"/>
      <c r="I36" s="157"/>
      <c r="J36" s="157"/>
      <c r="K36" s="157"/>
      <c r="L36" s="157"/>
      <c r="M36" s="108"/>
      <c r="O36" s="430"/>
      <c r="P36" s="432"/>
      <c r="Q36" s="432"/>
      <c r="R36" s="432"/>
      <c r="S36" s="432"/>
      <c r="T36" s="432"/>
      <c r="U36" s="432"/>
      <c r="V36" s="432"/>
      <c r="W36" s="432"/>
      <c r="X36" s="432"/>
      <c r="Y36" s="432"/>
      <c r="Z36" s="432"/>
      <c r="AA36" s="432"/>
      <c r="AB36" s="433"/>
    </row>
    <row r="37" spans="2:28" ht="23.1" customHeight="1">
      <c r="B37" s="119"/>
      <c r="C37" s="22" t="s">
        <v>732</v>
      </c>
      <c r="D37" s="156"/>
      <c r="E37" s="157"/>
      <c r="F37" s="157"/>
      <c r="G37" s="157"/>
      <c r="H37" s="157"/>
      <c r="I37" s="157"/>
      <c r="J37" s="157"/>
      <c r="K37" s="157"/>
      <c r="L37" s="157"/>
      <c r="M37" s="108"/>
      <c r="O37" s="430"/>
      <c r="P37" s="432"/>
      <c r="Q37" s="432"/>
      <c r="R37" s="432"/>
      <c r="S37" s="432"/>
      <c r="T37" s="432"/>
      <c r="U37" s="432"/>
      <c r="V37" s="432"/>
      <c r="W37" s="432"/>
      <c r="X37" s="432"/>
      <c r="Y37" s="432"/>
      <c r="Z37" s="432"/>
      <c r="AA37" s="432"/>
      <c r="AB37" s="433"/>
    </row>
    <row r="38" spans="2:28" ht="36" customHeight="1">
      <c r="B38" s="119"/>
      <c r="C38" s="1193" t="s">
        <v>852</v>
      </c>
      <c r="D38" s="1194"/>
      <c r="E38" s="1019"/>
      <c r="F38" s="1197" t="s">
        <v>861</v>
      </c>
      <c r="G38" s="1198"/>
      <c r="H38" s="1197" t="s">
        <v>862</v>
      </c>
      <c r="I38" s="1198"/>
      <c r="J38" s="1020"/>
      <c r="K38" s="1020"/>
      <c r="L38" s="1020"/>
      <c r="M38" s="108"/>
      <c r="O38" s="430"/>
      <c r="P38" s="432"/>
      <c r="Q38" s="432"/>
      <c r="R38" s="432"/>
      <c r="S38" s="432"/>
      <c r="T38" s="432"/>
      <c r="U38" s="432"/>
      <c r="V38" s="432"/>
      <c r="W38" s="432"/>
      <c r="X38" s="432"/>
      <c r="Y38" s="432"/>
      <c r="Z38" s="432"/>
      <c r="AA38" s="432"/>
      <c r="AB38" s="433"/>
    </row>
    <row r="39" spans="2:28" ht="23.1" customHeight="1">
      <c r="B39" s="119"/>
      <c r="C39" s="1195" t="s">
        <v>853</v>
      </c>
      <c r="D39" s="1196"/>
      <c r="E39" s="1027" t="s">
        <v>446</v>
      </c>
      <c r="F39" s="1020">
        <f>ejercicio-1</f>
        <v>2017</v>
      </c>
      <c r="G39" s="1020">
        <f>ejercicio</f>
        <v>2018</v>
      </c>
      <c r="H39" s="1020">
        <f>ejercicio-1</f>
        <v>2017</v>
      </c>
      <c r="I39" s="1020">
        <f>ejercicio</f>
        <v>2018</v>
      </c>
      <c r="J39" s="1019" t="s">
        <v>448</v>
      </c>
      <c r="K39" s="1019" t="s">
        <v>450</v>
      </c>
      <c r="L39" s="1019" t="s">
        <v>449</v>
      </c>
      <c r="M39" s="108"/>
      <c r="O39" s="430"/>
      <c r="P39" s="432"/>
      <c r="Q39" s="432"/>
      <c r="R39" s="432"/>
      <c r="S39" s="432"/>
      <c r="T39" s="432"/>
      <c r="U39" s="432"/>
      <c r="V39" s="432"/>
      <c r="W39" s="432"/>
      <c r="X39" s="432"/>
      <c r="Y39" s="432"/>
      <c r="Z39" s="432"/>
      <c r="AA39" s="432"/>
      <c r="AB39" s="433"/>
    </row>
    <row r="40" spans="2:28" ht="23.1" customHeight="1">
      <c r="B40" s="119"/>
      <c r="C40" s="590" t="s">
        <v>924</v>
      </c>
      <c r="D40" s="591"/>
      <c r="E40" s="596" t="s">
        <v>77</v>
      </c>
      <c r="F40" s="502">
        <v>200000</v>
      </c>
      <c r="G40" s="533">
        <v>200000</v>
      </c>
      <c r="H40" s="1066"/>
      <c r="I40" s="1082">
        <v>200000</v>
      </c>
      <c r="J40" s="1084" t="s">
        <v>961</v>
      </c>
      <c r="K40" s="1085">
        <v>4391</v>
      </c>
      <c r="L40" s="1085">
        <v>44933</v>
      </c>
      <c r="M40" s="108"/>
      <c r="O40" s="430"/>
      <c r="P40" s="432"/>
      <c r="Q40" s="432"/>
      <c r="R40" s="432"/>
      <c r="S40" s="432"/>
      <c r="T40" s="432"/>
      <c r="U40" s="432"/>
      <c r="V40" s="432"/>
      <c r="W40" s="432"/>
      <c r="X40" s="432"/>
      <c r="Y40" s="432"/>
      <c r="Z40" s="432"/>
      <c r="AA40" s="432"/>
      <c r="AB40" s="433"/>
    </row>
    <row r="41" spans="2:28" ht="23.1" customHeight="1">
      <c r="B41" s="119"/>
      <c r="C41" s="592" t="s">
        <v>925</v>
      </c>
      <c r="D41" s="593"/>
      <c r="E41" s="586" t="s">
        <v>77</v>
      </c>
      <c r="F41" s="513">
        <v>0</v>
      </c>
      <c r="G41" s="535">
        <v>0</v>
      </c>
      <c r="H41" s="1013"/>
      <c r="I41" s="1083"/>
      <c r="J41" s="1086"/>
      <c r="K41" s="1086"/>
      <c r="L41" s="1087"/>
      <c r="M41" s="108"/>
      <c r="O41" s="430"/>
      <c r="P41" s="432"/>
      <c r="Q41" s="432"/>
      <c r="R41" s="432"/>
      <c r="S41" s="432"/>
      <c r="T41" s="432"/>
      <c r="U41" s="432"/>
      <c r="V41" s="432"/>
      <c r="W41" s="432"/>
      <c r="X41" s="432"/>
      <c r="Y41" s="432"/>
      <c r="Z41" s="432"/>
      <c r="AA41" s="432"/>
      <c r="AB41" s="433"/>
    </row>
    <row r="42" spans="2:28" ht="23.1" customHeight="1">
      <c r="B42" s="119"/>
      <c r="C42" s="592" t="s">
        <v>926</v>
      </c>
      <c r="D42" s="593"/>
      <c r="E42" s="586" t="s">
        <v>77</v>
      </c>
      <c r="F42" s="513">
        <v>3797390.48</v>
      </c>
      <c r="G42" s="535">
        <f>3797390.48+500000</f>
        <v>4297390.4800000004</v>
      </c>
      <c r="H42" s="1064"/>
      <c r="I42" s="535">
        <f>3797390.48+500000</f>
        <v>4297390.4800000004</v>
      </c>
      <c r="J42" s="1088" t="s">
        <v>962</v>
      </c>
      <c r="K42" s="1089">
        <v>4322</v>
      </c>
      <c r="L42" s="1089">
        <v>44933</v>
      </c>
      <c r="M42" s="108"/>
      <c r="O42" s="430"/>
      <c r="P42" s="432"/>
      <c r="Q42" s="432"/>
      <c r="R42" s="432"/>
      <c r="S42" s="432"/>
      <c r="T42" s="432"/>
      <c r="U42" s="432"/>
      <c r="V42" s="432"/>
      <c r="W42" s="432"/>
      <c r="X42" s="432"/>
      <c r="Y42" s="432"/>
      <c r="Z42" s="432"/>
      <c r="AA42" s="432"/>
      <c r="AB42" s="433"/>
    </row>
    <row r="43" spans="2:28" ht="23.1" customHeight="1">
      <c r="B43" s="119"/>
      <c r="C43" s="592" t="s">
        <v>927</v>
      </c>
      <c r="D43" s="593"/>
      <c r="E43" s="586" t="s">
        <v>77</v>
      </c>
      <c r="F43" s="513">
        <v>3515000</v>
      </c>
      <c r="G43" s="535">
        <v>3515000</v>
      </c>
      <c r="H43" s="1064"/>
      <c r="I43" s="1083">
        <v>3515000</v>
      </c>
      <c r="J43" s="1090" t="s">
        <v>962</v>
      </c>
      <c r="K43" s="1091">
        <v>4322</v>
      </c>
      <c r="L43" s="1091">
        <v>44933</v>
      </c>
      <c r="M43" s="108"/>
      <c r="O43" s="430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3"/>
    </row>
    <row r="44" spans="2:28" ht="23.1" customHeight="1">
      <c r="B44" s="119"/>
      <c r="C44" s="592" t="s">
        <v>928</v>
      </c>
      <c r="D44" s="593"/>
      <c r="E44" s="586" t="s">
        <v>77</v>
      </c>
      <c r="F44" s="513">
        <v>0</v>
      </c>
      <c r="G44" s="535">
        <v>0</v>
      </c>
      <c r="H44" s="1013"/>
      <c r="I44" s="1083"/>
      <c r="J44" s="1086"/>
      <c r="K44" s="1086"/>
      <c r="L44" s="1087"/>
      <c r="M44" s="108"/>
      <c r="O44" s="430"/>
      <c r="P44" s="432"/>
      <c r="Q44" s="432"/>
      <c r="R44" s="432"/>
      <c r="S44" s="432"/>
      <c r="T44" s="432"/>
      <c r="U44" s="432"/>
      <c r="V44" s="432"/>
      <c r="W44" s="432"/>
      <c r="X44" s="432"/>
      <c r="Y44" s="432"/>
      <c r="Z44" s="432"/>
      <c r="AA44" s="432"/>
      <c r="AB44" s="433"/>
    </row>
    <row r="45" spans="2:28" ht="23.1" customHeight="1">
      <c r="B45" s="119"/>
      <c r="C45" s="592" t="s">
        <v>929</v>
      </c>
      <c r="D45" s="593"/>
      <c r="E45" s="586" t="s">
        <v>77</v>
      </c>
      <c r="F45" s="513">
        <v>171387.3</v>
      </c>
      <c r="G45" s="535">
        <v>171387.3</v>
      </c>
      <c r="H45" s="1064"/>
      <c r="I45" s="1083">
        <v>171387.3</v>
      </c>
      <c r="J45" s="1090" t="s">
        <v>962</v>
      </c>
      <c r="K45" s="1091">
        <v>4322</v>
      </c>
      <c r="L45" s="1091">
        <v>44933</v>
      </c>
      <c r="M45" s="108"/>
      <c r="O45" s="430"/>
      <c r="P45" s="432"/>
      <c r="Q45" s="432"/>
      <c r="R45" s="432"/>
      <c r="S45" s="432"/>
      <c r="T45" s="432"/>
      <c r="U45" s="432"/>
      <c r="V45" s="432"/>
      <c r="W45" s="432"/>
      <c r="X45" s="432"/>
      <c r="Y45" s="432"/>
      <c r="Z45" s="432"/>
      <c r="AA45" s="432"/>
      <c r="AB45" s="433"/>
    </row>
    <row r="46" spans="2:28" ht="23.1" customHeight="1">
      <c r="B46" s="119"/>
      <c r="C46" s="592" t="s">
        <v>930</v>
      </c>
      <c r="D46" s="593"/>
      <c r="E46" s="586" t="s">
        <v>77</v>
      </c>
      <c r="F46" s="513">
        <v>98000</v>
      </c>
      <c r="G46" s="535">
        <v>98000</v>
      </c>
      <c r="H46" s="1064"/>
      <c r="I46" s="1083">
        <v>98000</v>
      </c>
      <c r="J46" s="1090" t="s">
        <v>962</v>
      </c>
      <c r="K46" s="1091">
        <v>4322</v>
      </c>
      <c r="L46" s="1091">
        <v>44933</v>
      </c>
      <c r="M46" s="108"/>
      <c r="O46" s="430"/>
      <c r="P46" s="432"/>
      <c r="Q46" s="432"/>
      <c r="R46" s="432"/>
      <c r="S46" s="432"/>
      <c r="T46" s="432"/>
      <c r="U46" s="432"/>
      <c r="V46" s="432"/>
      <c r="W46" s="432"/>
      <c r="X46" s="432"/>
      <c r="Y46" s="432"/>
      <c r="Z46" s="432"/>
      <c r="AA46" s="432"/>
      <c r="AB46" s="433"/>
    </row>
    <row r="47" spans="2:28" ht="23.1" customHeight="1">
      <c r="B47" s="119"/>
      <c r="C47" s="592" t="s">
        <v>931</v>
      </c>
      <c r="D47" s="593"/>
      <c r="E47" s="586" t="s">
        <v>77</v>
      </c>
      <c r="F47" s="513">
        <v>0</v>
      </c>
      <c r="G47" s="535">
        <v>0</v>
      </c>
      <c r="H47" s="1013"/>
      <c r="I47" s="1083"/>
      <c r="J47" s="1086"/>
      <c r="K47" s="1086"/>
      <c r="L47" s="1087"/>
      <c r="M47" s="108"/>
      <c r="O47" s="430"/>
      <c r="P47" s="432"/>
      <c r="Q47" s="432"/>
      <c r="R47" s="432"/>
      <c r="S47" s="432"/>
      <c r="T47" s="432"/>
      <c r="U47" s="432"/>
      <c r="V47" s="432"/>
      <c r="W47" s="432"/>
      <c r="X47" s="432"/>
      <c r="Y47" s="432"/>
      <c r="Z47" s="432"/>
      <c r="AA47" s="432"/>
      <c r="AB47" s="433"/>
    </row>
    <row r="48" spans="2:28" ht="23.1" customHeight="1">
      <c r="B48" s="119"/>
      <c r="C48" s="592" t="s">
        <v>932</v>
      </c>
      <c r="D48" s="593"/>
      <c r="E48" s="586" t="s">
        <v>77</v>
      </c>
      <c r="F48" s="513">
        <v>400000</v>
      </c>
      <c r="G48" s="535">
        <v>400000</v>
      </c>
      <c r="H48" s="1064"/>
      <c r="I48" s="1083">
        <v>400000</v>
      </c>
      <c r="J48" s="1090" t="s">
        <v>962</v>
      </c>
      <c r="K48" s="1091">
        <v>4322</v>
      </c>
      <c r="L48" s="1091">
        <v>44933</v>
      </c>
      <c r="M48" s="108"/>
      <c r="O48" s="430"/>
      <c r="P48" s="432"/>
      <c r="Q48" s="432"/>
      <c r="R48" s="432"/>
      <c r="S48" s="432"/>
      <c r="T48" s="432"/>
      <c r="U48" s="432"/>
      <c r="V48" s="432"/>
      <c r="W48" s="432"/>
      <c r="X48" s="432"/>
      <c r="Y48" s="432"/>
      <c r="Z48" s="432"/>
      <c r="AA48" s="432"/>
      <c r="AB48" s="433"/>
    </row>
    <row r="49" spans="2:28" ht="23.1" customHeight="1">
      <c r="B49" s="119"/>
      <c r="C49" s="592" t="s">
        <v>933</v>
      </c>
      <c r="D49" s="593"/>
      <c r="E49" s="586" t="s">
        <v>77</v>
      </c>
      <c r="F49" s="513">
        <v>105500</v>
      </c>
      <c r="G49" s="535">
        <v>165500</v>
      </c>
      <c r="H49" s="1064"/>
      <c r="I49" s="1083">
        <v>165500</v>
      </c>
      <c r="J49" s="1090" t="s">
        <v>962</v>
      </c>
      <c r="K49" s="1091">
        <v>4322</v>
      </c>
      <c r="L49" s="1091">
        <v>44933</v>
      </c>
      <c r="M49" s="108"/>
      <c r="O49" s="430"/>
      <c r="P49" s="432"/>
      <c r="Q49" s="432"/>
      <c r="R49" s="432"/>
      <c r="S49" s="432"/>
      <c r="T49" s="432"/>
      <c r="U49" s="432"/>
      <c r="V49" s="432"/>
      <c r="W49" s="432"/>
      <c r="X49" s="432"/>
      <c r="Y49" s="432"/>
      <c r="Z49" s="432"/>
      <c r="AA49" s="432"/>
      <c r="AB49" s="433"/>
    </row>
    <row r="50" spans="2:28" ht="23.1" customHeight="1">
      <c r="B50" s="119"/>
      <c r="C50" s="592" t="s">
        <v>934</v>
      </c>
      <c r="D50" s="593"/>
      <c r="E50" s="586" t="s">
        <v>77</v>
      </c>
      <c r="F50" s="513">
        <v>0</v>
      </c>
      <c r="G50" s="535">
        <v>0</v>
      </c>
      <c r="H50" s="1013"/>
      <c r="I50" s="1083"/>
      <c r="J50" s="1086"/>
      <c r="K50" s="1086"/>
      <c r="L50" s="1087"/>
      <c r="M50" s="108"/>
      <c r="O50" s="430"/>
      <c r="P50" s="432"/>
      <c r="Q50" s="432"/>
      <c r="R50" s="432"/>
      <c r="S50" s="432"/>
      <c r="T50" s="432"/>
      <c r="U50" s="432"/>
      <c r="V50" s="432"/>
      <c r="W50" s="432"/>
      <c r="X50" s="432"/>
      <c r="Y50" s="432"/>
      <c r="Z50" s="432"/>
      <c r="AA50" s="432"/>
      <c r="AB50" s="433"/>
    </row>
    <row r="51" spans="2:28" ht="23.1" customHeight="1">
      <c r="B51" s="119"/>
      <c r="C51" s="592" t="s">
        <v>935</v>
      </c>
      <c r="D51" s="593"/>
      <c r="E51" s="586" t="s">
        <v>77</v>
      </c>
      <c r="F51" s="513">
        <v>120000</v>
      </c>
      <c r="G51" s="535">
        <v>120000</v>
      </c>
      <c r="H51" s="1064"/>
      <c r="I51" s="1083">
        <v>120000</v>
      </c>
      <c r="J51" s="1092" t="s">
        <v>961</v>
      </c>
      <c r="K51" s="1093">
        <v>4391</v>
      </c>
      <c r="L51" s="1093">
        <v>44933</v>
      </c>
      <c r="M51" s="108"/>
      <c r="O51" s="430"/>
      <c r="P51" s="432"/>
      <c r="Q51" s="432"/>
      <c r="R51" s="432"/>
      <c r="S51" s="432"/>
      <c r="T51" s="432"/>
      <c r="U51" s="432"/>
      <c r="V51" s="432"/>
      <c r="W51" s="432"/>
      <c r="X51" s="432"/>
      <c r="Y51" s="432"/>
      <c r="Z51" s="432"/>
      <c r="AA51" s="432"/>
      <c r="AB51" s="433"/>
    </row>
    <row r="52" spans="2:28" ht="23.1" customHeight="1">
      <c r="B52" s="119"/>
      <c r="C52" s="592" t="s">
        <v>936</v>
      </c>
      <c r="D52" s="593"/>
      <c r="E52" s="586" t="s">
        <v>77</v>
      </c>
      <c r="F52" s="513">
        <v>2046724</v>
      </c>
      <c r="G52" s="535">
        <v>2046724</v>
      </c>
      <c r="H52" s="1064"/>
      <c r="I52" s="1083">
        <v>2046724</v>
      </c>
      <c r="J52" s="1090" t="s">
        <v>962</v>
      </c>
      <c r="K52" s="1091">
        <v>4322</v>
      </c>
      <c r="L52" s="1091">
        <v>44933</v>
      </c>
      <c r="M52" s="108"/>
      <c r="O52" s="430"/>
      <c r="P52" s="432"/>
      <c r="Q52" s="432"/>
      <c r="R52" s="432"/>
      <c r="S52" s="432"/>
      <c r="T52" s="432"/>
      <c r="U52" s="432"/>
      <c r="V52" s="432"/>
      <c r="W52" s="432"/>
      <c r="X52" s="432"/>
      <c r="Y52" s="432"/>
      <c r="Z52" s="432"/>
      <c r="AA52" s="432"/>
      <c r="AB52" s="433"/>
    </row>
    <row r="53" spans="2:28" ht="23.1" customHeight="1">
      <c r="B53" s="119"/>
      <c r="C53" s="1065" t="s">
        <v>948</v>
      </c>
      <c r="D53" s="593"/>
      <c r="E53" s="586" t="s">
        <v>77</v>
      </c>
      <c r="F53" s="513">
        <v>0</v>
      </c>
      <c r="G53" s="535">
        <v>176200</v>
      </c>
      <c r="H53" s="1064"/>
      <c r="I53" s="1083">
        <v>176200</v>
      </c>
      <c r="J53" s="1090" t="s">
        <v>962</v>
      </c>
      <c r="K53" s="1091">
        <v>4322</v>
      </c>
      <c r="L53" s="1091">
        <v>44933</v>
      </c>
      <c r="M53" s="108"/>
      <c r="O53" s="430"/>
      <c r="P53" s="432"/>
      <c r="Q53" s="432"/>
      <c r="R53" s="432"/>
      <c r="S53" s="432"/>
      <c r="T53" s="432"/>
      <c r="U53" s="432"/>
      <c r="V53" s="432"/>
      <c r="W53" s="432"/>
      <c r="X53" s="432"/>
      <c r="Y53" s="432"/>
      <c r="Z53" s="432"/>
      <c r="AA53" s="432"/>
      <c r="AB53" s="433"/>
    </row>
    <row r="54" spans="2:28" ht="23.1" customHeight="1">
      <c r="B54" s="119"/>
      <c r="C54" s="1065" t="s">
        <v>954</v>
      </c>
      <c r="D54" s="593"/>
      <c r="E54" s="586" t="s">
        <v>77</v>
      </c>
      <c r="F54" s="513">
        <v>0</v>
      </c>
      <c r="G54" s="535">
        <v>25000</v>
      </c>
      <c r="H54" s="1064"/>
      <c r="I54" s="1083">
        <v>25000</v>
      </c>
      <c r="J54" s="1094" t="s">
        <v>960</v>
      </c>
      <c r="K54" s="1095">
        <v>2412</v>
      </c>
      <c r="L54" s="1095">
        <v>44933</v>
      </c>
      <c r="M54" s="108"/>
      <c r="O54" s="430"/>
      <c r="P54" s="432"/>
      <c r="Q54" s="432"/>
      <c r="R54" s="432"/>
      <c r="S54" s="432"/>
      <c r="T54" s="432"/>
      <c r="U54" s="432"/>
      <c r="V54" s="432"/>
      <c r="W54" s="432"/>
      <c r="X54" s="432"/>
      <c r="Y54" s="432"/>
      <c r="Z54" s="432"/>
      <c r="AA54" s="432"/>
      <c r="AB54" s="433"/>
    </row>
    <row r="55" spans="2:28" ht="23.1" customHeight="1">
      <c r="B55" s="119"/>
      <c r="C55" s="1065" t="s">
        <v>937</v>
      </c>
      <c r="D55" s="593"/>
      <c r="E55" s="586" t="s">
        <v>946</v>
      </c>
      <c r="F55" s="513">
        <v>150000</v>
      </c>
      <c r="G55" s="535">
        <v>150000</v>
      </c>
      <c r="H55" s="1064"/>
      <c r="I55" s="1013"/>
      <c r="J55" s="959"/>
      <c r="K55" s="959"/>
      <c r="L55" s="960"/>
      <c r="M55" s="108"/>
      <c r="O55" s="430"/>
      <c r="P55" s="432"/>
      <c r="Q55" s="432"/>
      <c r="R55" s="432"/>
      <c r="S55" s="432"/>
      <c r="T55" s="432"/>
      <c r="U55" s="432"/>
      <c r="V55" s="432"/>
      <c r="W55" s="432"/>
      <c r="X55" s="432"/>
      <c r="Y55" s="432"/>
      <c r="Z55" s="432"/>
      <c r="AA55" s="432"/>
      <c r="AB55" s="433"/>
    </row>
    <row r="56" spans="2:28" ht="23.1" customHeight="1">
      <c r="B56" s="119"/>
      <c r="C56" s="592" t="s">
        <v>938</v>
      </c>
      <c r="D56" s="593"/>
      <c r="E56" s="586" t="s">
        <v>946</v>
      </c>
      <c r="F56" s="513">
        <v>150000</v>
      </c>
      <c r="G56" s="535">
        <v>150000</v>
      </c>
      <c r="H56" s="1013"/>
      <c r="I56" s="1013"/>
      <c r="J56" s="959"/>
      <c r="K56" s="959"/>
      <c r="L56" s="960"/>
      <c r="M56" s="108"/>
      <c r="O56" s="430"/>
      <c r="P56" s="432"/>
      <c r="Q56" s="432"/>
      <c r="R56" s="432"/>
      <c r="S56" s="432"/>
      <c r="T56" s="432"/>
      <c r="U56" s="432"/>
      <c r="V56" s="432"/>
      <c r="W56" s="432"/>
      <c r="X56" s="432"/>
      <c r="Y56" s="432"/>
      <c r="Z56" s="432"/>
      <c r="AA56" s="432"/>
      <c r="AB56" s="433"/>
    </row>
    <row r="57" spans="2:28" ht="23.1" customHeight="1">
      <c r="B57" s="119"/>
      <c r="C57" s="592" t="s">
        <v>939</v>
      </c>
      <c r="D57" s="593"/>
      <c r="E57" s="586" t="s">
        <v>946</v>
      </c>
      <c r="F57" s="513">
        <v>6000</v>
      </c>
      <c r="G57" s="1096">
        <v>6000</v>
      </c>
      <c r="H57" s="1097"/>
      <c r="I57" s="1013"/>
      <c r="J57" s="959"/>
      <c r="K57" s="959"/>
      <c r="L57" s="960"/>
      <c r="M57" s="108"/>
      <c r="O57" s="430"/>
      <c r="P57" s="432"/>
      <c r="Q57" s="432"/>
      <c r="R57" s="432"/>
      <c r="S57" s="432"/>
      <c r="T57" s="432"/>
      <c r="U57" s="432"/>
      <c r="V57" s="432"/>
      <c r="W57" s="432"/>
      <c r="X57" s="432"/>
      <c r="Y57" s="432"/>
      <c r="Z57" s="432"/>
      <c r="AA57" s="432"/>
      <c r="AB57" s="433"/>
    </row>
    <row r="58" spans="2:28" ht="23.1" customHeight="1">
      <c r="B58" s="119"/>
      <c r="C58" s="592" t="s">
        <v>940</v>
      </c>
      <c r="D58" s="593"/>
      <c r="E58" s="586" t="s">
        <v>946</v>
      </c>
      <c r="F58" s="513">
        <v>40000</v>
      </c>
      <c r="G58" s="535">
        <v>40000</v>
      </c>
      <c r="H58" s="1013"/>
      <c r="I58" s="1013"/>
      <c r="J58" s="959"/>
      <c r="K58" s="959"/>
      <c r="L58" s="960"/>
      <c r="M58" s="108"/>
      <c r="O58" s="430"/>
      <c r="P58" s="432"/>
      <c r="Q58" s="432"/>
      <c r="R58" s="432"/>
      <c r="S58" s="432"/>
      <c r="T58" s="432"/>
      <c r="U58" s="432"/>
      <c r="V58" s="432"/>
      <c r="W58" s="432"/>
      <c r="X58" s="432"/>
      <c r="Y58" s="432"/>
      <c r="Z58" s="432"/>
      <c r="AA58" s="432"/>
      <c r="AB58" s="433"/>
    </row>
    <row r="59" spans="2:28" ht="23.1" customHeight="1">
      <c r="B59" s="119"/>
      <c r="C59" s="592" t="s">
        <v>941</v>
      </c>
      <c r="D59" s="593"/>
      <c r="E59" s="586" t="s">
        <v>946</v>
      </c>
      <c r="F59" s="513">
        <v>6000</v>
      </c>
      <c r="G59" s="535">
        <v>6000</v>
      </c>
      <c r="H59" s="1013"/>
      <c r="I59" s="1013"/>
      <c r="J59" s="959"/>
      <c r="K59" s="959"/>
      <c r="L59" s="960"/>
      <c r="M59" s="108"/>
      <c r="O59" s="430"/>
      <c r="P59" s="432"/>
      <c r="Q59" s="432"/>
      <c r="R59" s="432"/>
      <c r="S59" s="432"/>
      <c r="T59" s="432"/>
      <c r="U59" s="432"/>
      <c r="V59" s="432"/>
      <c r="W59" s="432"/>
      <c r="X59" s="432"/>
      <c r="Y59" s="432"/>
      <c r="Z59" s="432"/>
      <c r="AA59" s="432"/>
      <c r="AB59" s="433"/>
    </row>
    <row r="60" spans="2:28" ht="23.1" customHeight="1">
      <c r="B60" s="119"/>
      <c r="C60" s="592" t="s">
        <v>942</v>
      </c>
      <c r="D60" s="593"/>
      <c r="E60" s="587" t="s">
        <v>946</v>
      </c>
      <c r="F60" s="506">
        <v>23351</v>
      </c>
      <c r="G60" s="536">
        <v>23351</v>
      </c>
      <c r="H60" s="1014"/>
      <c r="I60" s="1014"/>
      <c r="J60" s="961"/>
      <c r="K60" s="961"/>
      <c r="L60" s="962"/>
      <c r="M60" s="108"/>
      <c r="O60" s="430"/>
      <c r="P60" s="432"/>
      <c r="Q60" s="432"/>
      <c r="R60" s="432"/>
      <c r="S60" s="432"/>
      <c r="T60" s="432"/>
      <c r="U60" s="432"/>
      <c r="V60" s="432"/>
      <c r="W60" s="432"/>
      <c r="X60" s="432"/>
      <c r="Y60" s="432"/>
      <c r="Z60" s="432"/>
      <c r="AA60" s="432"/>
      <c r="AB60" s="433"/>
    </row>
    <row r="61" spans="2:28" ht="23.1" customHeight="1">
      <c r="B61" s="119"/>
      <c r="C61" s="592" t="s">
        <v>943</v>
      </c>
      <c r="D61" s="593"/>
      <c r="E61" s="587" t="s">
        <v>946</v>
      </c>
      <c r="F61" s="506">
        <v>3000</v>
      </c>
      <c r="G61" s="536">
        <v>3000</v>
      </c>
      <c r="H61" s="1014"/>
      <c r="I61" s="1014"/>
      <c r="J61" s="961"/>
      <c r="K61" s="961"/>
      <c r="L61" s="962"/>
      <c r="M61" s="108"/>
      <c r="O61" s="430"/>
      <c r="P61" s="432"/>
      <c r="Q61" s="432"/>
      <c r="R61" s="432"/>
      <c r="S61" s="432"/>
      <c r="T61" s="432"/>
      <c r="U61" s="432"/>
      <c r="V61" s="432"/>
      <c r="W61" s="432"/>
      <c r="X61" s="432"/>
      <c r="Y61" s="432"/>
      <c r="Z61" s="432"/>
      <c r="AA61" s="432"/>
      <c r="AB61" s="433"/>
    </row>
    <row r="62" spans="2:28" ht="23.1" customHeight="1">
      <c r="B62" s="119"/>
      <c r="C62" s="592" t="s">
        <v>944</v>
      </c>
      <c r="D62" s="593"/>
      <c r="E62" s="587" t="s">
        <v>946</v>
      </c>
      <c r="F62" s="506">
        <v>18000</v>
      </c>
      <c r="G62" s="536">
        <v>18000</v>
      </c>
      <c r="H62" s="1014"/>
      <c r="I62" s="1014"/>
      <c r="J62" s="961"/>
      <c r="K62" s="961"/>
      <c r="L62" s="962"/>
      <c r="M62" s="108"/>
      <c r="O62" s="430"/>
      <c r="P62" s="432"/>
      <c r="Q62" s="432"/>
      <c r="R62" s="432"/>
      <c r="S62" s="432"/>
      <c r="T62" s="432"/>
      <c r="U62" s="432"/>
      <c r="V62" s="432"/>
      <c r="W62" s="432"/>
      <c r="X62" s="432"/>
      <c r="Y62" s="432"/>
      <c r="Z62" s="432"/>
      <c r="AA62" s="432"/>
      <c r="AB62" s="433"/>
    </row>
    <row r="63" spans="2:28" ht="23.1" customHeight="1">
      <c r="B63" s="119"/>
      <c r="C63" s="592" t="s">
        <v>945</v>
      </c>
      <c r="D63" s="593"/>
      <c r="E63" s="588" t="s">
        <v>946</v>
      </c>
      <c r="F63" s="515">
        <v>36000</v>
      </c>
      <c r="G63" s="537">
        <v>18000</v>
      </c>
      <c r="H63" s="1015"/>
      <c r="I63" s="1015"/>
      <c r="J63" s="963"/>
      <c r="K63" s="963"/>
      <c r="L63" s="964"/>
      <c r="M63" s="108"/>
      <c r="O63" s="430"/>
      <c r="P63" s="432"/>
      <c r="Q63" s="432"/>
      <c r="R63" s="432"/>
      <c r="S63" s="432"/>
      <c r="T63" s="432"/>
      <c r="U63" s="432"/>
      <c r="V63" s="432"/>
      <c r="W63" s="432"/>
      <c r="X63" s="432"/>
      <c r="Y63" s="432"/>
      <c r="Z63" s="432"/>
      <c r="AA63" s="432"/>
      <c r="AB63" s="433"/>
    </row>
    <row r="64" spans="2:28" ht="23.1" customHeight="1">
      <c r="B64" s="119"/>
      <c r="C64" s="1065" t="s">
        <v>951</v>
      </c>
      <c r="D64" s="593"/>
      <c r="E64" s="1067" t="s">
        <v>946</v>
      </c>
      <c r="F64" s="515">
        <v>0</v>
      </c>
      <c r="G64" s="537">
        <v>50000</v>
      </c>
      <c r="H64" s="1015"/>
      <c r="I64" s="1015"/>
      <c r="J64" s="963"/>
      <c r="K64" s="963"/>
      <c r="L64" s="964"/>
      <c r="M64" s="108"/>
      <c r="O64" s="430"/>
      <c r="P64" s="432"/>
      <c r="Q64" s="432"/>
      <c r="R64" s="432"/>
      <c r="S64" s="432"/>
      <c r="T64" s="432"/>
      <c r="U64" s="432"/>
      <c r="V64" s="432"/>
      <c r="W64" s="432"/>
      <c r="X64" s="432"/>
      <c r="Y64" s="432"/>
      <c r="Z64" s="432"/>
      <c r="AA64" s="432"/>
      <c r="AB64" s="433"/>
    </row>
    <row r="65" spans="2:28" ht="23.1" customHeight="1">
      <c r="B65" s="119"/>
      <c r="C65" s="1065" t="s">
        <v>949</v>
      </c>
      <c r="D65" s="593"/>
      <c r="E65" s="1067" t="s">
        <v>950</v>
      </c>
      <c r="F65" s="515">
        <v>0</v>
      </c>
      <c r="G65" s="537">
        <v>77441.539999999994</v>
      </c>
      <c r="H65" s="1015"/>
      <c r="I65" s="1015"/>
      <c r="J65" s="963"/>
      <c r="K65" s="963"/>
      <c r="L65" s="964"/>
      <c r="M65" s="108"/>
      <c r="O65" s="430"/>
      <c r="P65" s="432"/>
      <c r="Q65" s="432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3"/>
    </row>
    <row r="66" spans="2:28" ht="29.1" customHeight="1">
      <c r="B66" s="119"/>
      <c r="C66" s="1065" t="s">
        <v>952</v>
      </c>
      <c r="D66" s="593"/>
      <c r="E66" s="1067" t="s">
        <v>950</v>
      </c>
      <c r="F66" s="515">
        <v>0</v>
      </c>
      <c r="G66" s="537">
        <v>43840.18</v>
      </c>
      <c r="H66" s="1015"/>
      <c r="I66" s="1015"/>
      <c r="J66" s="963"/>
      <c r="K66" s="963"/>
      <c r="L66" s="964"/>
      <c r="M66" s="108"/>
      <c r="O66" s="430"/>
      <c r="P66" s="432"/>
      <c r="Q66" s="432"/>
      <c r="R66" s="432"/>
      <c r="S66" s="432"/>
      <c r="T66" s="432"/>
      <c r="U66" s="432"/>
      <c r="V66" s="432"/>
      <c r="W66" s="432"/>
      <c r="X66" s="432"/>
      <c r="Y66" s="432"/>
      <c r="Z66" s="432"/>
      <c r="AA66" s="432"/>
      <c r="AB66" s="433"/>
    </row>
    <row r="67" spans="2:28" ht="23.1" customHeight="1">
      <c r="B67" s="119"/>
      <c r="C67" s="1068" t="s">
        <v>953</v>
      </c>
      <c r="D67" s="595"/>
      <c r="E67" s="1069" t="s">
        <v>950</v>
      </c>
      <c r="F67" s="510">
        <v>0</v>
      </c>
      <c r="G67" s="538">
        <v>50451.75</v>
      </c>
      <c r="H67" s="1016"/>
      <c r="I67" s="1016"/>
      <c r="J67" s="965"/>
      <c r="K67" s="965"/>
      <c r="L67" s="966"/>
      <c r="M67" s="108"/>
      <c r="O67" s="430"/>
      <c r="P67" s="432"/>
      <c r="Q67" s="432"/>
      <c r="R67" s="432"/>
      <c r="S67" s="432"/>
      <c r="T67" s="432"/>
      <c r="U67" s="432"/>
      <c r="V67" s="432"/>
      <c r="W67" s="432"/>
      <c r="X67" s="432"/>
      <c r="Y67" s="432"/>
      <c r="Z67" s="432"/>
      <c r="AA67" s="432"/>
      <c r="AB67" s="433"/>
    </row>
    <row r="68" spans="2:28" ht="23.1" customHeight="1" thickBot="1">
      <c r="B68" s="119"/>
      <c r="C68" s="1187" t="s">
        <v>451</v>
      </c>
      <c r="D68" s="1188"/>
      <c r="E68" s="1189"/>
      <c r="F68" s="179">
        <f>SUM(F40:F67)</f>
        <v>10886352.780000001</v>
      </c>
      <c r="G68" s="179">
        <f>SUM(G40:G67)</f>
        <v>11851286.25</v>
      </c>
      <c r="H68" s="179">
        <f>SUM(H40:H67)</f>
        <v>0</v>
      </c>
      <c r="I68" s="179">
        <f>SUM(I40:I67)</f>
        <v>11215201.780000001</v>
      </c>
      <c r="J68" s="220"/>
      <c r="K68" s="157"/>
      <c r="L68" s="157"/>
      <c r="M68" s="108"/>
      <c r="O68" s="430"/>
      <c r="P68" s="432"/>
      <c r="Q68" s="432"/>
      <c r="R68" s="432"/>
      <c r="S68" s="432"/>
      <c r="T68" s="432"/>
      <c r="U68" s="432"/>
      <c r="V68" s="432"/>
      <c r="W68" s="432"/>
      <c r="X68" s="432"/>
      <c r="Y68" s="432"/>
      <c r="Z68" s="432"/>
      <c r="AA68" s="432"/>
      <c r="AB68" s="433"/>
    </row>
    <row r="69" spans="2:28" ht="23.1" customHeight="1">
      <c r="B69" s="119"/>
      <c r="C69" s="221"/>
      <c r="D69" s="221"/>
      <c r="E69" s="222"/>
      <c r="F69" s="223"/>
      <c r="G69" s="223"/>
      <c r="H69" s="223"/>
      <c r="I69" s="223"/>
      <c r="J69" s="222"/>
      <c r="K69" s="222"/>
      <c r="L69" s="224"/>
      <c r="M69" s="108"/>
      <c r="O69" s="430"/>
      <c r="P69" s="432"/>
      <c r="Q69" s="432"/>
      <c r="R69" s="432"/>
      <c r="S69" s="432"/>
      <c r="T69" s="432"/>
      <c r="U69" s="432"/>
      <c r="V69" s="432"/>
      <c r="W69" s="432"/>
      <c r="X69" s="432"/>
      <c r="Y69" s="432"/>
      <c r="Z69" s="432"/>
      <c r="AA69" s="432"/>
      <c r="AB69" s="433"/>
    </row>
    <row r="70" spans="2:28" s="117" customFormat="1" ht="30" customHeight="1">
      <c r="B70" s="113"/>
      <c r="C70" s="68" t="s">
        <v>733</v>
      </c>
      <c r="D70" s="22"/>
      <c r="E70" s="98"/>
      <c r="F70" s="98"/>
      <c r="G70" s="98"/>
      <c r="H70" s="98"/>
      <c r="I70" s="98"/>
      <c r="J70" s="98"/>
      <c r="K70" s="98"/>
      <c r="L70" s="98"/>
      <c r="M70" s="116"/>
      <c r="O70" s="430"/>
      <c r="P70" s="432"/>
      <c r="Q70" s="432"/>
      <c r="R70" s="432"/>
      <c r="S70" s="432"/>
      <c r="T70" s="432"/>
      <c r="U70" s="432"/>
      <c r="V70" s="432"/>
      <c r="W70" s="432"/>
      <c r="X70" s="432"/>
      <c r="Y70" s="432"/>
      <c r="Z70" s="432"/>
      <c r="AA70" s="432"/>
      <c r="AB70" s="433"/>
    </row>
    <row r="71" spans="2:28" s="117" customFormat="1" ht="30" customHeight="1">
      <c r="B71" s="113"/>
      <c r="C71" s="1193" t="s">
        <v>852</v>
      </c>
      <c r="D71" s="1194"/>
      <c r="E71" s="1019"/>
      <c r="F71" s="1197" t="s">
        <v>863</v>
      </c>
      <c r="G71" s="1198"/>
      <c r="H71" s="1197" t="s">
        <v>864</v>
      </c>
      <c r="I71" s="1198"/>
      <c r="J71" s="1020"/>
      <c r="K71" s="1020"/>
      <c r="L71" s="1020"/>
      <c r="M71" s="116"/>
      <c r="O71" s="430"/>
      <c r="P71" s="432"/>
      <c r="Q71" s="432"/>
      <c r="R71" s="432"/>
      <c r="S71" s="432"/>
      <c r="T71" s="432"/>
      <c r="U71" s="432"/>
      <c r="V71" s="432"/>
      <c r="W71" s="432"/>
      <c r="X71" s="432"/>
      <c r="Y71" s="432"/>
      <c r="Z71" s="432"/>
      <c r="AA71" s="432"/>
      <c r="AB71" s="433"/>
    </row>
    <row r="72" spans="2:28" ht="23.1" customHeight="1">
      <c r="B72" s="119"/>
      <c r="C72" s="1195" t="s">
        <v>853</v>
      </c>
      <c r="D72" s="1196"/>
      <c r="E72" s="1027" t="s">
        <v>446</v>
      </c>
      <c r="F72" s="1020">
        <f>ejercicio-1</f>
        <v>2017</v>
      </c>
      <c r="G72" s="1020">
        <f>ejercicio</f>
        <v>2018</v>
      </c>
      <c r="H72" s="1020">
        <f>ejercicio-1</f>
        <v>2017</v>
      </c>
      <c r="I72" s="1020">
        <f>ejercicio</f>
        <v>2018</v>
      </c>
      <c r="J72" s="1020" t="s">
        <v>448</v>
      </c>
      <c r="K72" s="1020" t="s">
        <v>450</v>
      </c>
      <c r="L72" s="1020" t="s">
        <v>449</v>
      </c>
      <c r="M72" s="108"/>
      <c r="O72" s="430"/>
      <c r="P72" s="432"/>
      <c r="Q72" s="432"/>
      <c r="R72" s="432"/>
      <c r="S72" s="432"/>
      <c r="T72" s="432"/>
      <c r="U72" s="432"/>
      <c r="V72" s="432"/>
      <c r="W72" s="432"/>
      <c r="X72" s="432"/>
      <c r="Y72" s="432"/>
      <c r="Z72" s="432"/>
      <c r="AA72" s="432"/>
      <c r="AB72" s="433"/>
    </row>
    <row r="73" spans="2:28" ht="23.1" customHeight="1">
      <c r="B73" s="119"/>
      <c r="C73" s="1063" t="s">
        <v>923</v>
      </c>
      <c r="D73" s="591"/>
      <c r="E73" s="1062" t="s">
        <v>77</v>
      </c>
      <c r="F73" s="502">
        <v>2056196.01</v>
      </c>
      <c r="G73" s="533">
        <v>2211511.52</v>
      </c>
      <c r="H73" s="502">
        <v>2056196.01</v>
      </c>
      <c r="I73" s="533">
        <v>2211511.52</v>
      </c>
      <c r="J73" s="1081" t="s">
        <v>962</v>
      </c>
      <c r="K73" s="1081" t="s">
        <v>963</v>
      </c>
      <c r="L73" s="1081" t="s">
        <v>964</v>
      </c>
      <c r="M73" s="108"/>
      <c r="O73" s="430"/>
      <c r="P73" s="432"/>
      <c r="Q73" s="432"/>
      <c r="R73" s="432"/>
      <c r="S73" s="432"/>
      <c r="T73" s="432"/>
      <c r="U73" s="432"/>
      <c r="V73" s="432"/>
      <c r="W73" s="432"/>
      <c r="X73" s="432"/>
      <c r="Y73" s="432"/>
      <c r="Z73" s="432"/>
      <c r="AA73" s="432"/>
      <c r="AB73" s="433"/>
    </row>
    <row r="74" spans="2:28" ht="23.1" customHeight="1">
      <c r="B74" s="119"/>
      <c r="C74" s="592"/>
      <c r="D74" s="593"/>
      <c r="E74" s="586"/>
      <c r="F74" s="513"/>
      <c r="G74" s="535"/>
      <c r="H74" s="1013"/>
      <c r="I74" s="1013"/>
      <c r="J74" s="959"/>
      <c r="K74" s="959"/>
      <c r="L74" s="960"/>
      <c r="M74" s="108"/>
      <c r="O74" s="430"/>
      <c r="P74" s="432"/>
      <c r="Q74" s="432"/>
      <c r="R74" s="432"/>
      <c r="S74" s="432"/>
      <c r="T74" s="432"/>
      <c r="U74" s="432"/>
      <c r="V74" s="432"/>
      <c r="W74" s="432"/>
      <c r="X74" s="432"/>
      <c r="Y74" s="432"/>
      <c r="Z74" s="432"/>
      <c r="AA74" s="432"/>
      <c r="AB74" s="433"/>
    </row>
    <row r="75" spans="2:28" ht="23.1" customHeight="1">
      <c r="B75" s="119"/>
      <c r="C75" s="592"/>
      <c r="D75" s="593"/>
      <c r="E75" s="586"/>
      <c r="F75" s="513"/>
      <c r="G75" s="535"/>
      <c r="H75" s="1013"/>
      <c r="I75" s="1013"/>
      <c r="J75" s="959"/>
      <c r="K75" s="959"/>
      <c r="L75" s="960"/>
      <c r="M75" s="108"/>
      <c r="O75" s="430"/>
      <c r="P75" s="432"/>
      <c r="Q75" s="432"/>
      <c r="R75" s="432"/>
      <c r="S75" s="432"/>
      <c r="T75" s="432"/>
      <c r="U75" s="432"/>
      <c r="V75" s="432"/>
      <c r="W75" s="432"/>
      <c r="X75" s="432"/>
      <c r="Y75" s="432"/>
      <c r="Z75" s="432"/>
      <c r="AA75" s="432"/>
      <c r="AB75" s="433"/>
    </row>
    <row r="76" spans="2:28" ht="23.1" customHeight="1">
      <c r="B76" s="119"/>
      <c r="C76" s="592"/>
      <c r="D76" s="593"/>
      <c r="E76" s="586"/>
      <c r="F76" s="513"/>
      <c r="G76" s="535"/>
      <c r="H76" s="1013"/>
      <c r="I76" s="1013"/>
      <c r="J76" s="959"/>
      <c r="K76" s="959"/>
      <c r="L76" s="960"/>
      <c r="M76" s="108"/>
      <c r="O76" s="430"/>
      <c r="P76" s="432"/>
      <c r="Q76" s="432"/>
      <c r="R76" s="432"/>
      <c r="S76" s="432"/>
      <c r="T76" s="432"/>
      <c r="U76" s="432"/>
      <c r="V76" s="432"/>
      <c r="W76" s="432"/>
      <c r="X76" s="432"/>
      <c r="Y76" s="432"/>
      <c r="Z76" s="432"/>
      <c r="AA76" s="432"/>
      <c r="AB76" s="433"/>
    </row>
    <row r="77" spans="2:28" ht="23.1" customHeight="1">
      <c r="B77" s="119"/>
      <c r="C77" s="592"/>
      <c r="D77" s="593"/>
      <c r="E77" s="587"/>
      <c r="F77" s="506"/>
      <c r="G77" s="536"/>
      <c r="H77" s="1014"/>
      <c r="I77" s="1014"/>
      <c r="J77" s="961"/>
      <c r="K77" s="961"/>
      <c r="L77" s="962"/>
      <c r="M77" s="108"/>
      <c r="O77" s="430"/>
      <c r="P77" s="432"/>
      <c r="Q77" s="432"/>
      <c r="R77" s="432"/>
      <c r="S77" s="432"/>
      <c r="T77" s="432"/>
      <c r="U77" s="432"/>
      <c r="V77" s="432"/>
      <c r="W77" s="432"/>
      <c r="X77" s="432"/>
      <c r="Y77" s="432"/>
      <c r="Z77" s="432"/>
      <c r="AA77" s="432"/>
      <c r="AB77" s="433"/>
    </row>
    <row r="78" spans="2:28" ht="23.1" customHeight="1">
      <c r="B78" s="119"/>
      <c r="C78" s="592"/>
      <c r="D78" s="593"/>
      <c r="E78" s="587"/>
      <c r="F78" s="506"/>
      <c r="G78" s="536"/>
      <c r="H78" s="1014"/>
      <c r="I78" s="1014"/>
      <c r="J78" s="961"/>
      <c r="K78" s="961"/>
      <c r="L78" s="962"/>
      <c r="M78" s="108"/>
      <c r="O78" s="430"/>
      <c r="P78" s="432"/>
      <c r="Q78" s="432"/>
      <c r="R78" s="432"/>
      <c r="S78" s="432"/>
      <c r="T78" s="432"/>
      <c r="U78" s="432"/>
      <c r="V78" s="432"/>
      <c r="W78" s="432"/>
      <c r="X78" s="432"/>
      <c r="Y78" s="432"/>
      <c r="Z78" s="432"/>
      <c r="AA78" s="432"/>
      <c r="AB78" s="433"/>
    </row>
    <row r="79" spans="2:28" ht="23.1" customHeight="1">
      <c r="B79" s="119"/>
      <c r="C79" s="592"/>
      <c r="D79" s="593"/>
      <c r="E79" s="587"/>
      <c r="F79" s="506"/>
      <c r="G79" s="536"/>
      <c r="H79" s="1014"/>
      <c r="I79" s="1014"/>
      <c r="J79" s="961"/>
      <c r="K79" s="961"/>
      <c r="L79" s="962"/>
      <c r="M79" s="108"/>
      <c r="O79" s="430"/>
      <c r="P79" s="432"/>
      <c r="Q79" s="432"/>
      <c r="R79" s="432"/>
      <c r="S79" s="432"/>
      <c r="T79" s="432"/>
      <c r="U79" s="432"/>
      <c r="V79" s="432"/>
      <c r="W79" s="432"/>
      <c r="X79" s="432"/>
      <c r="Y79" s="432"/>
      <c r="Z79" s="432"/>
      <c r="AA79" s="432"/>
      <c r="AB79" s="433"/>
    </row>
    <row r="80" spans="2:28" ht="23.1" customHeight="1">
      <c r="B80" s="119"/>
      <c r="C80" s="592"/>
      <c r="D80" s="593"/>
      <c r="E80" s="588"/>
      <c r="F80" s="515"/>
      <c r="G80" s="537"/>
      <c r="H80" s="1015"/>
      <c r="I80" s="1015"/>
      <c r="J80" s="963"/>
      <c r="K80" s="963"/>
      <c r="L80" s="964"/>
      <c r="M80" s="108"/>
      <c r="O80" s="430"/>
      <c r="P80" s="432"/>
      <c r="Q80" s="432"/>
      <c r="R80" s="432"/>
      <c r="S80" s="432"/>
      <c r="T80" s="432"/>
      <c r="U80" s="432"/>
      <c r="V80" s="432"/>
      <c r="W80" s="432"/>
      <c r="X80" s="432"/>
      <c r="Y80" s="432"/>
      <c r="Z80" s="432"/>
      <c r="AA80" s="432"/>
      <c r="AB80" s="433"/>
    </row>
    <row r="81" spans="2:28" ht="23.1" customHeight="1">
      <c r="B81" s="119"/>
      <c r="C81" s="592"/>
      <c r="D81" s="593"/>
      <c r="E81" s="588"/>
      <c r="F81" s="515"/>
      <c r="G81" s="537"/>
      <c r="H81" s="1015"/>
      <c r="I81" s="1015"/>
      <c r="J81" s="963"/>
      <c r="K81" s="963"/>
      <c r="L81" s="964"/>
      <c r="M81" s="108"/>
      <c r="O81" s="430"/>
      <c r="P81" s="432"/>
      <c r="Q81" s="432"/>
      <c r="R81" s="432"/>
      <c r="S81" s="432"/>
      <c r="T81" s="432"/>
      <c r="U81" s="432"/>
      <c r="V81" s="432"/>
      <c r="W81" s="432"/>
      <c r="X81" s="432"/>
      <c r="Y81" s="432"/>
      <c r="Z81" s="432"/>
      <c r="AA81" s="432"/>
      <c r="AB81" s="433"/>
    </row>
    <row r="82" spans="2:28" ht="23.1" customHeight="1">
      <c r="B82" s="119"/>
      <c r="C82" s="594"/>
      <c r="D82" s="595"/>
      <c r="E82" s="589"/>
      <c r="F82" s="510"/>
      <c r="G82" s="538"/>
      <c r="H82" s="1016"/>
      <c r="I82" s="1016"/>
      <c r="J82" s="965"/>
      <c r="K82" s="965"/>
      <c r="L82" s="966"/>
      <c r="M82" s="108"/>
      <c r="O82" s="430"/>
      <c r="P82" s="432"/>
      <c r="Q82" s="432"/>
      <c r="R82" s="432"/>
      <c r="S82" s="432"/>
      <c r="T82" s="432"/>
      <c r="U82" s="432"/>
      <c r="V82" s="432"/>
      <c r="W82" s="432"/>
      <c r="X82" s="432"/>
      <c r="Y82" s="432"/>
      <c r="Z82" s="432"/>
      <c r="AA82" s="432"/>
      <c r="AB82" s="433"/>
    </row>
    <row r="83" spans="2:28" ht="23.1" customHeight="1" thickBot="1">
      <c r="B83" s="119"/>
      <c r="C83" s="1187" t="s">
        <v>451</v>
      </c>
      <c r="D83" s="1188"/>
      <c r="E83" s="1189"/>
      <c r="F83" s="179">
        <f>SUM(F73:F82)</f>
        <v>2056196.01</v>
      </c>
      <c r="G83" s="179">
        <f>SUM(G73:G82)</f>
        <v>2211511.52</v>
      </c>
      <c r="H83" s="179">
        <f t="shared" ref="H83:I83" si="0">SUM(H73:H82)</f>
        <v>2056196.01</v>
      </c>
      <c r="I83" s="179">
        <f t="shared" si="0"/>
        <v>2211511.52</v>
      </c>
      <c r="J83" s="220"/>
      <c r="K83" s="157"/>
      <c r="L83" s="157"/>
      <c r="M83" s="108"/>
      <c r="O83" s="430"/>
      <c r="P83" s="432"/>
      <c r="Q83" s="432"/>
      <c r="R83" s="432"/>
      <c r="S83" s="432"/>
      <c r="T83" s="432"/>
      <c r="U83" s="432"/>
      <c r="V83" s="432"/>
      <c r="W83" s="432"/>
      <c r="X83" s="432"/>
      <c r="Y83" s="432"/>
      <c r="Z83" s="432"/>
      <c r="AA83" s="432"/>
      <c r="AB83" s="433"/>
    </row>
    <row r="84" spans="2:28" ht="23.1" customHeight="1">
      <c r="B84" s="119"/>
      <c r="C84" s="221"/>
      <c r="D84" s="221"/>
      <c r="E84" s="222"/>
      <c r="F84" s="223"/>
      <c r="G84" s="223"/>
      <c r="H84" s="223"/>
      <c r="I84" s="223"/>
      <c r="J84" s="222"/>
      <c r="K84" s="222"/>
      <c r="L84" s="224"/>
      <c r="M84" s="108"/>
      <c r="O84" s="430"/>
      <c r="P84" s="432"/>
      <c r="Q84" s="432"/>
      <c r="R84" s="432"/>
      <c r="S84" s="432"/>
      <c r="T84" s="432"/>
      <c r="U84" s="432"/>
      <c r="V84" s="432"/>
      <c r="W84" s="432"/>
      <c r="X84" s="432"/>
      <c r="Y84" s="432"/>
      <c r="Z84" s="432"/>
      <c r="AA84" s="432"/>
      <c r="AB84" s="433"/>
    </row>
    <row r="85" spans="2:28" s="117" customFormat="1" ht="30" customHeight="1">
      <c r="B85" s="113"/>
      <c r="C85" s="68" t="s">
        <v>877</v>
      </c>
      <c r="D85" s="22"/>
      <c r="E85" s="98"/>
      <c r="F85" s="98"/>
      <c r="G85" s="98"/>
      <c r="H85" s="98"/>
      <c r="I85" s="98"/>
      <c r="J85" s="98"/>
      <c r="K85" s="98"/>
      <c r="L85" s="98"/>
      <c r="M85" s="116"/>
      <c r="O85" s="430"/>
      <c r="P85" s="432"/>
      <c r="Q85" s="432"/>
      <c r="R85" s="432"/>
      <c r="S85" s="432"/>
      <c r="T85" s="432"/>
      <c r="U85" s="432"/>
      <c r="V85" s="432"/>
      <c r="W85" s="432"/>
      <c r="X85" s="432"/>
      <c r="Y85" s="432"/>
      <c r="Z85" s="432"/>
      <c r="AA85" s="432"/>
      <c r="AB85" s="433"/>
    </row>
    <row r="86" spans="2:28" ht="23.1" customHeight="1">
      <c r="B86" s="119"/>
      <c r="C86" s="1166" t="s">
        <v>852</v>
      </c>
      <c r="D86" s="1168"/>
      <c r="E86" s="1020" t="s">
        <v>446</v>
      </c>
      <c r="F86" s="1020">
        <f>ejercicio-1</f>
        <v>2017</v>
      </c>
      <c r="G86" s="1020">
        <f>ejercicio</f>
        <v>2018</v>
      </c>
      <c r="H86" s="1020" t="s">
        <v>448</v>
      </c>
      <c r="I86" s="1020" t="s">
        <v>450</v>
      </c>
      <c r="J86" s="1020" t="s">
        <v>449</v>
      </c>
      <c r="K86" s="99"/>
      <c r="L86" s="99"/>
      <c r="M86" s="108"/>
      <c r="O86" s="430"/>
      <c r="P86" s="432"/>
      <c r="Q86" s="432"/>
      <c r="R86" s="432"/>
      <c r="S86" s="432"/>
      <c r="T86" s="432"/>
      <c r="U86" s="432"/>
      <c r="V86" s="432"/>
      <c r="W86" s="432"/>
      <c r="X86" s="432"/>
      <c r="Y86" s="432"/>
      <c r="Z86" s="432"/>
      <c r="AA86" s="432"/>
      <c r="AB86" s="433"/>
    </row>
    <row r="87" spans="2:28" ht="23.1" customHeight="1">
      <c r="B87" s="119"/>
      <c r="C87" s="590"/>
      <c r="D87" s="591"/>
      <c r="E87" s="596"/>
      <c r="F87" s="502"/>
      <c r="G87" s="533"/>
      <c r="H87" s="957"/>
      <c r="I87" s="957"/>
      <c r="J87" s="958"/>
      <c r="K87" s="99"/>
      <c r="L87" s="99"/>
      <c r="M87" s="108"/>
      <c r="O87" s="430"/>
      <c r="P87" s="432"/>
      <c r="Q87" s="432"/>
      <c r="R87" s="432"/>
      <c r="S87" s="432"/>
      <c r="T87" s="432"/>
      <c r="U87" s="432"/>
      <c r="V87" s="432"/>
      <c r="W87" s="432"/>
      <c r="X87" s="432"/>
      <c r="Y87" s="432"/>
      <c r="Z87" s="432"/>
      <c r="AA87" s="432"/>
      <c r="AB87" s="433"/>
    </row>
    <row r="88" spans="2:28" ht="23.1" customHeight="1">
      <c r="B88" s="119"/>
      <c r="C88" s="592"/>
      <c r="D88" s="593"/>
      <c r="E88" s="586"/>
      <c r="F88" s="513"/>
      <c r="G88" s="535"/>
      <c r="H88" s="959"/>
      <c r="I88" s="959"/>
      <c r="J88" s="960"/>
      <c r="K88" s="99"/>
      <c r="L88" s="99"/>
      <c r="M88" s="108"/>
      <c r="O88" s="430"/>
      <c r="P88" s="432"/>
      <c r="Q88" s="432"/>
      <c r="R88" s="432"/>
      <c r="S88" s="432"/>
      <c r="T88" s="432"/>
      <c r="U88" s="432"/>
      <c r="V88" s="432"/>
      <c r="W88" s="432"/>
      <c r="X88" s="432"/>
      <c r="Y88" s="432"/>
      <c r="Z88" s="432"/>
      <c r="AA88" s="432"/>
      <c r="AB88" s="433"/>
    </row>
    <row r="89" spans="2:28" ht="23.1" customHeight="1">
      <c r="B89" s="119"/>
      <c r="C89" s="592"/>
      <c r="D89" s="593"/>
      <c r="E89" s="586"/>
      <c r="F89" s="513"/>
      <c r="G89" s="535"/>
      <c r="H89" s="959"/>
      <c r="I89" s="959"/>
      <c r="J89" s="960"/>
      <c r="K89" s="99"/>
      <c r="L89" s="99"/>
      <c r="M89" s="108"/>
      <c r="O89" s="430"/>
      <c r="P89" s="432"/>
      <c r="Q89" s="432"/>
      <c r="R89" s="432"/>
      <c r="S89" s="432"/>
      <c r="T89" s="432"/>
      <c r="U89" s="432"/>
      <c r="V89" s="432"/>
      <c r="W89" s="432"/>
      <c r="X89" s="432"/>
      <c r="Y89" s="432"/>
      <c r="Z89" s="432"/>
      <c r="AA89" s="432"/>
      <c r="AB89" s="433"/>
    </row>
    <row r="90" spans="2:28" ht="23.1" customHeight="1">
      <c r="B90" s="119"/>
      <c r="C90" s="592"/>
      <c r="D90" s="593"/>
      <c r="E90" s="586"/>
      <c r="F90" s="513"/>
      <c r="G90" s="535"/>
      <c r="H90" s="959"/>
      <c r="I90" s="959"/>
      <c r="J90" s="960"/>
      <c r="K90" s="99"/>
      <c r="L90" s="99"/>
      <c r="M90" s="108"/>
      <c r="O90" s="430"/>
      <c r="P90" s="432"/>
      <c r="Q90" s="432"/>
      <c r="R90" s="432"/>
      <c r="S90" s="432"/>
      <c r="T90" s="432"/>
      <c r="U90" s="432"/>
      <c r="V90" s="432"/>
      <c r="W90" s="432"/>
      <c r="X90" s="432"/>
      <c r="Y90" s="432"/>
      <c r="Z90" s="432"/>
      <c r="AA90" s="432"/>
      <c r="AB90" s="433"/>
    </row>
    <row r="91" spans="2:28" ht="23.1" customHeight="1">
      <c r="B91" s="119"/>
      <c r="C91" s="592"/>
      <c r="D91" s="593"/>
      <c r="E91" s="587"/>
      <c r="F91" s="506"/>
      <c r="G91" s="536"/>
      <c r="H91" s="961"/>
      <c r="I91" s="961"/>
      <c r="J91" s="962"/>
      <c r="K91" s="99"/>
      <c r="L91" s="99"/>
      <c r="M91" s="108"/>
      <c r="O91" s="430"/>
      <c r="P91" s="432"/>
      <c r="Q91" s="432"/>
      <c r="R91" s="432"/>
      <c r="S91" s="432"/>
      <c r="T91" s="432"/>
      <c r="U91" s="432"/>
      <c r="V91" s="432"/>
      <c r="W91" s="432"/>
      <c r="X91" s="432"/>
      <c r="Y91" s="432"/>
      <c r="Z91" s="432"/>
      <c r="AA91" s="432"/>
      <c r="AB91" s="433"/>
    </row>
    <row r="92" spans="2:28" ht="23.1" customHeight="1">
      <c r="B92" s="119"/>
      <c r="C92" s="592"/>
      <c r="D92" s="593"/>
      <c r="E92" s="587"/>
      <c r="F92" s="506"/>
      <c r="G92" s="536"/>
      <c r="H92" s="961"/>
      <c r="I92" s="961"/>
      <c r="J92" s="962"/>
      <c r="K92" s="99"/>
      <c r="L92" s="99"/>
      <c r="M92" s="108"/>
      <c r="O92" s="430"/>
      <c r="P92" s="432"/>
      <c r="Q92" s="432"/>
      <c r="R92" s="432"/>
      <c r="S92" s="432"/>
      <c r="T92" s="432"/>
      <c r="U92" s="432"/>
      <c r="V92" s="432"/>
      <c r="W92" s="432"/>
      <c r="X92" s="432"/>
      <c r="Y92" s="432"/>
      <c r="Z92" s="432"/>
      <c r="AA92" s="432"/>
      <c r="AB92" s="433"/>
    </row>
    <row r="93" spans="2:28" ht="23.1" customHeight="1">
      <c r="B93" s="119"/>
      <c r="C93" s="592"/>
      <c r="D93" s="593"/>
      <c r="E93" s="587"/>
      <c r="F93" s="506"/>
      <c r="G93" s="536"/>
      <c r="H93" s="961"/>
      <c r="I93" s="961"/>
      <c r="J93" s="962"/>
      <c r="K93" s="99"/>
      <c r="L93" s="99"/>
      <c r="M93" s="108"/>
      <c r="O93" s="430"/>
      <c r="P93" s="432"/>
      <c r="Q93" s="432"/>
      <c r="R93" s="432"/>
      <c r="S93" s="432"/>
      <c r="T93" s="432"/>
      <c r="U93" s="432"/>
      <c r="V93" s="432"/>
      <c r="W93" s="432"/>
      <c r="X93" s="432"/>
      <c r="Y93" s="432"/>
      <c r="Z93" s="432"/>
      <c r="AA93" s="432"/>
      <c r="AB93" s="433"/>
    </row>
    <row r="94" spans="2:28" ht="23.1" customHeight="1">
      <c r="B94" s="119"/>
      <c r="C94" s="592"/>
      <c r="D94" s="593"/>
      <c r="E94" s="588"/>
      <c r="F94" s="515"/>
      <c r="G94" s="537"/>
      <c r="H94" s="963"/>
      <c r="I94" s="963"/>
      <c r="J94" s="964"/>
      <c r="K94" s="99"/>
      <c r="L94" s="99"/>
      <c r="M94" s="108"/>
      <c r="O94" s="430"/>
      <c r="P94" s="432"/>
      <c r="Q94" s="432"/>
      <c r="R94" s="432"/>
      <c r="S94" s="432"/>
      <c r="T94" s="432"/>
      <c r="U94" s="432"/>
      <c r="V94" s="432"/>
      <c r="W94" s="432"/>
      <c r="X94" s="432"/>
      <c r="Y94" s="432"/>
      <c r="Z94" s="432"/>
      <c r="AA94" s="432"/>
      <c r="AB94" s="433"/>
    </row>
    <row r="95" spans="2:28" ht="23.1" customHeight="1">
      <c r="B95" s="119"/>
      <c r="C95" s="592"/>
      <c r="D95" s="593"/>
      <c r="E95" s="588"/>
      <c r="F95" s="515"/>
      <c r="G95" s="537"/>
      <c r="H95" s="963"/>
      <c r="I95" s="963"/>
      <c r="J95" s="964"/>
      <c r="K95" s="99"/>
      <c r="L95" s="99"/>
      <c r="M95" s="108"/>
      <c r="O95" s="430"/>
      <c r="P95" s="432"/>
      <c r="Q95" s="432"/>
      <c r="R95" s="432"/>
      <c r="S95" s="432"/>
      <c r="T95" s="432"/>
      <c r="U95" s="432"/>
      <c r="V95" s="432"/>
      <c r="W95" s="432"/>
      <c r="X95" s="432"/>
      <c r="Y95" s="432"/>
      <c r="Z95" s="432"/>
      <c r="AA95" s="432"/>
      <c r="AB95" s="433"/>
    </row>
    <row r="96" spans="2:28" ht="23.1" customHeight="1">
      <c r="B96" s="119"/>
      <c r="C96" s="594"/>
      <c r="D96" s="595"/>
      <c r="E96" s="589"/>
      <c r="F96" s="510"/>
      <c r="G96" s="538"/>
      <c r="H96" s="965"/>
      <c r="I96" s="965"/>
      <c r="J96" s="966"/>
      <c r="K96" s="99"/>
      <c r="L96" s="99"/>
      <c r="M96" s="108"/>
      <c r="O96" s="430"/>
      <c r="P96" s="432"/>
      <c r="Q96" s="432"/>
      <c r="R96" s="432"/>
      <c r="S96" s="432"/>
      <c r="T96" s="432"/>
      <c r="U96" s="432"/>
      <c r="V96" s="432"/>
      <c r="W96" s="432"/>
      <c r="X96" s="432"/>
      <c r="Y96" s="432"/>
      <c r="Z96" s="432"/>
      <c r="AA96" s="432"/>
      <c r="AB96" s="433"/>
    </row>
    <row r="97" spans="2:28" ht="23.1" customHeight="1" thickBot="1">
      <c r="B97" s="119"/>
      <c r="C97" s="1187" t="s">
        <v>878</v>
      </c>
      <c r="D97" s="1188"/>
      <c r="E97" s="1189"/>
      <c r="F97" s="179">
        <f>SUM(F87:F96)</f>
        <v>0</v>
      </c>
      <c r="G97" s="179">
        <f>SUM(G87:G96)</f>
        <v>0</v>
      </c>
      <c r="H97" s="98"/>
      <c r="I97" s="98"/>
      <c r="J97" s="174"/>
      <c r="K97" s="157"/>
      <c r="L97" s="157"/>
      <c r="M97" s="108"/>
      <c r="O97" s="430"/>
      <c r="P97" s="432"/>
      <c r="Q97" s="432"/>
      <c r="R97" s="432"/>
      <c r="S97" s="432"/>
      <c r="T97" s="432"/>
      <c r="U97" s="432"/>
      <c r="V97" s="432"/>
      <c r="W97" s="432"/>
      <c r="X97" s="432"/>
      <c r="Y97" s="432"/>
      <c r="Z97" s="432"/>
      <c r="AA97" s="432"/>
      <c r="AB97" s="433"/>
    </row>
    <row r="98" spans="2:28" ht="23.1" customHeight="1">
      <c r="B98" s="119"/>
      <c r="C98" s="221"/>
      <c r="D98" s="221"/>
      <c r="E98" s="222"/>
      <c r="F98" s="223"/>
      <c r="G98" s="223"/>
      <c r="H98" s="98"/>
      <c r="I98" s="98"/>
      <c r="J98" s="174"/>
      <c r="K98" s="222"/>
      <c r="L98" s="224"/>
      <c r="M98" s="108"/>
      <c r="O98" s="430"/>
      <c r="P98" s="432"/>
      <c r="Q98" s="432"/>
      <c r="R98" s="432"/>
      <c r="S98" s="432"/>
      <c r="T98" s="432"/>
      <c r="U98" s="432"/>
      <c r="V98" s="432"/>
      <c r="W98" s="432"/>
      <c r="X98" s="432"/>
      <c r="Y98" s="432"/>
      <c r="Z98" s="432"/>
      <c r="AA98" s="432"/>
      <c r="AB98" s="433"/>
    </row>
    <row r="99" spans="2:28" ht="23.1" customHeight="1">
      <c r="B99" s="119"/>
      <c r="C99" s="175" t="s">
        <v>855</v>
      </c>
      <c r="D99" s="173"/>
      <c r="E99" s="174"/>
      <c r="F99" s="174"/>
      <c r="G99" s="174"/>
      <c r="H99" s="98"/>
      <c r="I99" s="98"/>
      <c r="J99" s="174"/>
      <c r="K99" s="174"/>
      <c r="L99" s="98"/>
      <c r="M99" s="108"/>
      <c r="O99" s="430"/>
      <c r="P99" s="432"/>
      <c r="Q99" s="432"/>
      <c r="R99" s="432"/>
      <c r="S99" s="432"/>
      <c r="T99" s="432"/>
      <c r="U99" s="432"/>
      <c r="V99" s="432"/>
      <c r="W99" s="432"/>
      <c r="X99" s="432"/>
      <c r="Y99" s="432"/>
      <c r="Z99" s="432"/>
      <c r="AA99" s="432"/>
      <c r="AB99" s="433"/>
    </row>
    <row r="100" spans="2:28" ht="17.399999999999999">
      <c r="B100" s="119"/>
      <c r="C100" s="1005"/>
      <c r="D100" s="1005"/>
      <c r="E100" s="1006"/>
      <c r="F100" s="1006"/>
      <c r="G100" s="1006"/>
      <c r="H100" s="1006"/>
      <c r="I100" s="1006"/>
      <c r="J100" s="1006"/>
      <c r="K100" s="1006"/>
      <c r="L100" s="1007"/>
      <c r="M100" s="108"/>
      <c r="O100" s="430"/>
      <c r="P100" s="432"/>
      <c r="Q100" s="432"/>
      <c r="R100" s="432"/>
      <c r="S100" s="432"/>
      <c r="T100" s="432"/>
      <c r="U100" s="432"/>
      <c r="V100" s="432"/>
      <c r="W100" s="432"/>
      <c r="X100" s="432"/>
      <c r="Y100" s="432"/>
      <c r="Z100" s="432"/>
      <c r="AA100" s="432"/>
      <c r="AB100" s="433"/>
    </row>
    <row r="101" spans="2:28" ht="17.399999999999999">
      <c r="B101" s="119"/>
      <c r="C101" s="1008"/>
      <c r="D101" s="1008"/>
      <c r="E101" s="1009"/>
      <c r="F101" s="1009"/>
      <c r="G101" s="1009"/>
      <c r="H101" s="1009"/>
      <c r="I101" s="1009"/>
      <c r="J101" s="1009"/>
      <c r="K101" s="1009"/>
      <c r="L101" s="1010"/>
      <c r="M101" s="108"/>
      <c r="O101" s="430"/>
      <c r="P101" s="432"/>
      <c r="Q101" s="432"/>
      <c r="R101" s="432"/>
      <c r="S101" s="432"/>
      <c r="T101" s="432"/>
      <c r="U101" s="432"/>
      <c r="V101" s="432"/>
      <c r="W101" s="432"/>
      <c r="X101" s="432"/>
      <c r="Y101" s="432"/>
      <c r="Z101" s="432"/>
      <c r="AA101" s="432"/>
      <c r="AB101" s="433"/>
    </row>
    <row r="102" spans="2:28" ht="17.399999999999999">
      <c r="B102" s="119"/>
      <c r="C102" s="1008"/>
      <c r="D102" s="1008"/>
      <c r="E102" s="1009"/>
      <c r="F102" s="1009"/>
      <c r="G102" s="1009"/>
      <c r="H102" s="1009"/>
      <c r="I102" s="1009"/>
      <c r="J102" s="1009"/>
      <c r="K102" s="1009"/>
      <c r="L102" s="1010"/>
      <c r="M102" s="108"/>
      <c r="O102" s="430"/>
      <c r="P102" s="432"/>
      <c r="Q102" s="432"/>
      <c r="R102" s="432"/>
      <c r="S102" s="432"/>
      <c r="T102" s="432"/>
      <c r="U102" s="432"/>
      <c r="V102" s="432"/>
      <c r="W102" s="432"/>
      <c r="X102" s="432"/>
      <c r="Y102" s="432"/>
      <c r="Z102" s="432"/>
      <c r="AA102" s="432"/>
      <c r="AB102" s="433"/>
    </row>
    <row r="103" spans="2:28" ht="17.399999999999999">
      <c r="B103" s="119"/>
      <c r="C103" s="1008"/>
      <c r="D103" s="1008"/>
      <c r="E103" s="1009"/>
      <c r="F103" s="1009"/>
      <c r="G103" s="1009"/>
      <c r="H103" s="1009"/>
      <c r="I103" s="1009"/>
      <c r="J103" s="1009"/>
      <c r="K103" s="1009"/>
      <c r="L103" s="1010"/>
      <c r="M103" s="108"/>
      <c r="O103" s="430"/>
      <c r="P103" s="432"/>
      <c r="Q103" s="432"/>
      <c r="R103" s="432"/>
      <c r="S103" s="432"/>
      <c r="T103" s="432"/>
      <c r="U103" s="432"/>
      <c r="V103" s="432"/>
      <c r="W103" s="432"/>
      <c r="X103" s="432"/>
      <c r="Y103" s="432"/>
      <c r="Z103" s="432"/>
      <c r="AA103" s="432"/>
      <c r="AB103" s="433"/>
    </row>
    <row r="104" spans="2:28" ht="17.399999999999999">
      <c r="B104" s="119"/>
      <c r="C104" s="1008"/>
      <c r="D104" s="1008"/>
      <c r="E104" s="1009"/>
      <c r="F104" s="1009"/>
      <c r="G104" s="1009"/>
      <c r="H104" s="1009"/>
      <c r="I104" s="1009"/>
      <c r="J104" s="1009"/>
      <c r="K104" s="1009"/>
      <c r="L104" s="1010"/>
      <c r="M104" s="108"/>
      <c r="O104" s="430"/>
      <c r="P104" s="432"/>
      <c r="Q104" s="432"/>
      <c r="R104" s="432"/>
      <c r="S104" s="432"/>
      <c r="T104" s="432"/>
      <c r="U104" s="432"/>
      <c r="V104" s="432"/>
      <c r="W104" s="432"/>
      <c r="X104" s="432"/>
      <c r="Y104" s="432"/>
      <c r="Z104" s="432"/>
      <c r="AA104" s="432"/>
      <c r="AB104" s="433"/>
    </row>
    <row r="105" spans="2:28" ht="17.399999999999999">
      <c r="B105" s="119"/>
      <c r="C105" s="1008"/>
      <c r="D105" s="1008"/>
      <c r="E105" s="1009"/>
      <c r="F105" s="1009"/>
      <c r="G105" s="1009"/>
      <c r="H105" s="1009"/>
      <c r="I105" s="1009"/>
      <c r="J105" s="1009"/>
      <c r="K105" s="1009"/>
      <c r="L105" s="1010"/>
      <c r="M105" s="108"/>
      <c r="O105" s="430"/>
      <c r="P105" s="432"/>
      <c r="Q105" s="432"/>
      <c r="R105" s="432"/>
      <c r="S105" s="432"/>
      <c r="T105" s="432"/>
      <c r="U105" s="432"/>
      <c r="V105" s="432"/>
      <c r="W105" s="432"/>
      <c r="X105" s="432"/>
      <c r="Y105" s="432"/>
      <c r="Z105" s="432"/>
      <c r="AA105" s="432"/>
      <c r="AB105" s="433"/>
    </row>
    <row r="106" spans="2:28" ht="17.399999999999999">
      <c r="B106" s="119"/>
      <c r="C106" s="1008"/>
      <c r="D106" s="1008"/>
      <c r="E106" s="1009"/>
      <c r="F106" s="1009"/>
      <c r="G106" s="1009"/>
      <c r="H106" s="1009"/>
      <c r="I106" s="1009"/>
      <c r="J106" s="1009"/>
      <c r="K106" s="1009"/>
      <c r="L106" s="1010"/>
      <c r="M106" s="108"/>
      <c r="O106" s="430"/>
      <c r="P106" s="432"/>
      <c r="Q106" s="432"/>
      <c r="R106" s="432"/>
      <c r="S106" s="432"/>
      <c r="T106" s="432"/>
      <c r="U106" s="432"/>
      <c r="V106" s="432"/>
      <c r="W106" s="432"/>
      <c r="X106" s="432"/>
      <c r="Y106" s="432"/>
      <c r="Z106" s="432"/>
      <c r="AA106" s="432"/>
      <c r="AB106" s="433"/>
    </row>
    <row r="107" spans="2:28" ht="17.399999999999999">
      <c r="B107" s="119"/>
      <c r="C107" s="1008"/>
      <c r="D107" s="1008"/>
      <c r="E107" s="1009"/>
      <c r="F107" s="1009"/>
      <c r="G107" s="1009"/>
      <c r="H107" s="1009"/>
      <c r="I107" s="1009"/>
      <c r="J107" s="1009"/>
      <c r="K107" s="1009"/>
      <c r="L107" s="1010"/>
      <c r="M107" s="108"/>
      <c r="O107" s="430"/>
      <c r="P107" s="432"/>
      <c r="Q107" s="432"/>
      <c r="R107" s="432"/>
      <c r="S107" s="432"/>
      <c r="T107" s="432"/>
      <c r="U107" s="432"/>
      <c r="V107" s="432"/>
      <c r="W107" s="432"/>
      <c r="X107" s="432"/>
      <c r="Y107" s="432"/>
      <c r="Z107" s="432"/>
      <c r="AA107" s="432"/>
      <c r="AB107" s="433"/>
    </row>
    <row r="108" spans="2:28" ht="17.399999999999999">
      <c r="B108" s="119"/>
      <c r="C108" s="1008"/>
      <c r="D108" s="1008"/>
      <c r="E108" s="1009"/>
      <c r="F108" s="1009"/>
      <c r="G108" s="1009"/>
      <c r="H108" s="1009"/>
      <c r="I108" s="1009"/>
      <c r="J108" s="1009"/>
      <c r="K108" s="1009"/>
      <c r="L108" s="1010"/>
      <c r="M108" s="108"/>
      <c r="O108" s="430"/>
      <c r="P108" s="432"/>
      <c r="Q108" s="432"/>
      <c r="R108" s="432"/>
      <c r="S108" s="432"/>
      <c r="T108" s="432"/>
      <c r="U108" s="432"/>
      <c r="V108" s="432"/>
      <c r="W108" s="432"/>
      <c r="X108" s="432"/>
      <c r="Y108" s="432"/>
      <c r="Z108" s="432"/>
      <c r="AA108" s="432"/>
      <c r="AB108" s="433"/>
    </row>
    <row r="109" spans="2:28" ht="17.399999999999999">
      <c r="B109" s="119"/>
      <c r="C109" s="1008"/>
      <c r="D109" s="1008"/>
      <c r="E109" s="1009"/>
      <c r="F109" s="1009"/>
      <c r="G109" s="1009"/>
      <c r="H109" s="1009"/>
      <c r="I109" s="1009"/>
      <c r="J109" s="1009"/>
      <c r="K109" s="1009"/>
      <c r="L109" s="1010"/>
      <c r="M109" s="108"/>
      <c r="O109" s="430"/>
      <c r="P109" s="432"/>
      <c r="Q109" s="432"/>
      <c r="R109" s="432"/>
      <c r="S109" s="432"/>
      <c r="T109" s="432"/>
      <c r="U109" s="432"/>
      <c r="V109" s="432"/>
      <c r="W109" s="432"/>
      <c r="X109" s="432"/>
      <c r="Y109" s="432"/>
      <c r="Z109" s="432"/>
      <c r="AA109" s="432"/>
      <c r="AB109" s="433"/>
    </row>
    <row r="110" spans="2:28" ht="17.399999999999999">
      <c r="B110" s="119"/>
      <c r="C110" s="1032" t="s">
        <v>856</v>
      </c>
      <c r="D110" s="1029"/>
      <c r="E110" s="1030"/>
      <c r="F110" s="1030"/>
      <c r="G110" s="1030"/>
      <c r="H110" s="1030"/>
      <c r="I110" s="1030"/>
      <c r="J110" s="1030"/>
      <c r="K110" s="1030"/>
      <c r="L110" s="1031"/>
      <c r="M110" s="108"/>
      <c r="O110" s="430"/>
      <c r="P110" s="432"/>
      <c r="Q110" s="432"/>
      <c r="R110" s="432"/>
      <c r="S110" s="432"/>
      <c r="T110" s="432"/>
      <c r="U110" s="432"/>
      <c r="V110" s="432"/>
      <c r="W110" s="432"/>
      <c r="X110" s="432"/>
      <c r="Y110" s="432"/>
      <c r="Z110" s="432"/>
      <c r="AA110" s="432"/>
      <c r="AB110" s="433"/>
    </row>
    <row r="111" spans="2:28" ht="17.399999999999999">
      <c r="B111" s="119"/>
      <c r="C111" s="1033" t="s">
        <v>870</v>
      </c>
      <c r="D111" s="1029"/>
      <c r="E111" s="1030"/>
      <c r="F111" s="1030"/>
      <c r="G111" s="1030"/>
      <c r="H111" s="1030"/>
      <c r="I111" s="1030"/>
      <c r="J111" s="1030"/>
      <c r="K111" s="1030"/>
      <c r="L111" s="1031"/>
      <c r="M111" s="108"/>
      <c r="O111" s="430"/>
      <c r="P111" s="432"/>
      <c r="Q111" s="432"/>
      <c r="R111" s="432"/>
      <c r="S111" s="432"/>
      <c r="T111" s="432"/>
      <c r="U111" s="432"/>
      <c r="V111" s="432"/>
      <c r="W111" s="432"/>
      <c r="X111" s="432"/>
      <c r="Y111" s="432"/>
      <c r="Z111" s="432"/>
      <c r="AA111" s="432"/>
      <c r="AB111" s="433"/>
    </row>
    <row r="112" spans="2:28" ht="17.399999999999999">
      <c r="B112" s="119"/>
      <c r="C112" s="1033" t="s">
        <v>868</v>
      </c>
      <c r="D112" s="1029"/>
      <c r="E112" s="1030"/>
      <c r="F112" s="1034">
        <f>ejercicio-1</f>
        <v>2017</v>
      </c>
      <c r="G112" s="1030" t="s">
        <v>869</v>
      </c>
      <c r="H112" s="1030"/>
      <c r="I112" s="1030"/>
      <c r="J112" s="1034">
        <f>ejercicio</f>
        <v>2018</v>
      </c>
      <c r="K112" s="1030"/>
      <c r="L112" s="1031"/>
      <c r="M112" s="108"/>
      <c r="O112" s="430"/>
      <c r="P112" s="432"/>
      <c r="Q112" s="432"/>
      <c r="R112" s="432"/>
      <c r="S112" s="432"/>
      <c r="T112" s="432"/>
      <c r="U112" s="432"/>
      <c r="V112" s="432"/>
      <c r="W112" s="432"/>
      <c r="X112" s="432"/>
      <c r="Y112" s="432"/>
      <c r="Z112" s="432"/>
      <c r="AA112" s="432"/>
      <c r="AB112" s="433"/>
    </row>
    <row r="113" spans="2:28" ht="17.399999999999999">
      <c r="B113" s="119"/>
      <c r="C113" s="1033" t="s">
        <v>872</v>
      </c>
      <c r="D113" s="1029"/>
      <c r="E113" s="1030"/>
      <c r="F113" s="1030"/>
      <c r="G113" s="1030"/>
      <c r="H113" s="1030"/>
      <c r="I113" s="1030"/>
      <c r="J113" s="1030"/>
      <c r="K113" s="1030"/>
      <c r="L113" s="1031"/>
      <c r="M113" s="108"/>
      <c r="O113" s="430"/>
      <c r="P113" s="432"/>
      <c r="Q113" s="432"/>
      <c r="R113" s="432"/>
      <c r="S113" s="432"/>
      <c r="T113" s="432"/>
      <c r="U113" s="432"/>
      <c r="V113" s="432"/>
      <c r="W113" s="432"/>
      <c r="X113" s="432"/>
      <c r="Y113" s="432"/>
      <c r="Z113" s="432"/>
      <c r="AA113" s="432"/>
      <c r="AB113" s="433"/>
    </row>
    <row r="114" spans="2:28" ht="17.399999999999999">
      <c r="B114" s="119"/>
      <c r="C114" s="1029" t="s">
        <v>871</v>
      </c>
      <c r="D114" s="1029"/>
      <c r="E114" s="1030"/>
      <c r="F114" s="1030"/>
      <c r="G114" s="1030"/>
      <c r="H114" s="1030"/>
      <c r="I114" s="1030"/>
      <c r="J114" s="1030"/>
      <c r="K114" s="1030"/>
      <c r="L114" s="1031"/>
      <c r="M114" s="108"/>
      <c r="O114" s="430"/>
      <c r="P114" s="432"/>
      <c r="Q114" s="432"/>
      <c r="R114" s="432"/>
      <c r="S114" s="432"/>
      <c r="T114" s="432"/>
      <c r="U114" s="432"/>
      <c r="V114" s="432"/>
      <c r="W114" s="432"/>
      <c r="X114" s="432"/>
      <c r="Y114" s="432"/>
      <c r="Z114" s="432"/>
      <c r="AA114" s="432"/>
      <c r="AB114" s="433"/>
    </row>
    <row r="115" spans="2:28" ht="17.399999999999999">
      <c r="B115" s="119"/>
      <c r="C115" s="1033" t="s">
        <v>873</v>
      </c>
      <c r="D115" s="1029"/>
      <c r="E115" s="1030"/>
      <c r="F115" s="1030"/>
      <c r="G115" s="1030"/>
      <c r="H115" s="1030"/>
      <c r="I115" s="1030"/>
      <c r="J115" s="1030"/>
      <c r="K115" s="1030"/>
      <c r="L115" s="1031"/>
      <c r="M115" s="108"/>
      <c r="O115" s="430"/>
      <c r="P115" s="432"/>
      <c r="Q115" s="432"/>
      <c r="R115" s="432"/>
      <c r="S115" s="432"/>
      <c r="T115" s="432"/>
      <c r="U115" s="432"/>
      <c r="V115" s="432"/>
      <c r="W115" s="432"/>
      <c r="X115" s="432"/>
      <c r="Y115" s="432"/>
      <c r="Z115" s="432"/>
      <c r="AA115" s="432"/>
      <c r="AB115" s="433"/>
    </row>
    <row r="116" spans="2:28" ht="17.399999999999999">
      <c r="B116" s="119"/>
      <c r="C116" s="1029" t="s">
        <v>859</v>
      </c>
      <c r="D116" s="1029"/>
      <c r="E116" s="1030"/>
      <c r="F116" s="1030"/>
      <c r="G116" s="1030"/>
      <c r="H116" s="1030"/>
      <c r="I116" s="1030"/>
      <c r="J116" s="1030"/>
      <c r="K116" s="1030"/>
      <c r="L116" s="1031"/>
      <c r="M116" s="108"/>
      <c r="O116" s="430"/>
      <c r="P116" s="432"/>
      <c r="Q116" s="432"/>
      <c r="R116" s="432"/>
      <c r="S116" s="432"/>
      <c r="T116" s="432"/>
      <c r="U116" s="432"/>
      <c r="V116" s="432"/>
      <c r="W116" s="432"/>
      <c r="X116" s="432"/>
      <c r="Y116" s="432"/>
      <c r="Z116" s="432"/>
      <c r="AA116" s="432"/>
      <c r="AB116" s="433"/>
    </row>
    <row r="117" spans="2:28" ht="17.399999999999999">
      <c r="B117" s="119"/>
      <c r="C117" s="1029" t="s">
        <v>879</v>
      </c>
      <c r="D117" s="1029"/>
      <c r="E117" s="1030"/>
      <c r="F117" s="1030"/>
      <c r="G117" s="1030"/>
      <c r="H117" s="1030"/>
      <c r="I117" s="1030"/>
      <c r="J117" s="1030"/>
      <c r="K117" s="1030"/>
      <c r="L117" s="1031"/>
      <c r="M117" s="108"/>
      <c r="O117" s="430"/>
      <c r="P117" s="432"/>
      <c r="Q117" s="432"/>
      <c r="R117" s="432"/>
      <c r="S117" s="432"/>
      <c r="T117" s="432"/>
      <c r="U117" s="432"/>
      <c r="V117" s="432"/>
      <c r="W117" s="432"/>
      <c r="X117" s="432"/>
      <c r="Y117" s="432"/>
      <c r="Z117" s="432"/>
      <c r="AA117" s="432"/>
      <c r="AB117" s="433"/>
    </row>
    <row r="118" spans="2:28" ht="17.399999999999999">
      <c r="B118" s="119"/>
      <c r="C118" s="1029" t="s">
        <v>860</v>
      </c>
      <c r="D118" s="1029"/>
      <c r="E118" s="1030"/>
      <c r="F118" s="1030"/>
      <c r="G118" s="1030"/>
      <c r="H118" s="1030"/>
      <c r="I118" s="1030"/>
      <c r="J118" s="1030"/>
      <c r="K118" s="1030"/>
      <c r="L118" s="1031"/>
      <c r="M118" s="108"/>
      <c r="O118" s="430"/>
      <c r="P118" s="432"/>
      <c r="Q118" s="432"/>
      <c r="R118" s="432"/>
      <c r="S118" s="432"/>
      <c r="T118" s="432"/>
      <c r="U118" s="432"/>
      <c r="V118" s="432"/>
      <c r="W118" s="432"/>
      <c r="X118" s="432"/>
      <c r="Y118" s="432"/>
      <c r="Z118" s="432"/>
      <c r="AA118" s="432"/>
      <c r="AB118" s="433"/>
    </row>
    <row r="119" spans="2:28" ht="17.399999999999999">
      <c r="B119" s="119"/>
      <c r="C119" s="1033" t="s">
        <v>874</v>
      </c>
      <c r="D119" s="1029"/>
      <c r="E119" s="1030"/>
      <c r="F119" s="1030"/>
      <c r="G119" s="1030"/>
      <c r="H119" s="1030"/>
      <c r="I119" s="1030"/>
      <c r="J119" s="1030"/>
      <c r="K119" s="1030"/>
      <c r="L119" s="1031"/>
      <c r="M119" s="108"/>
      <c r="O119" s="430"/>
      <c r="P119" s="432"/>
      <c r="Q119" s="432"/>
      <c r="R119" s="432"/>
      <c r="S119" s="432"/>
      <c r="T119" s="432"/>
      <c r="U119" s="432"/>
      <c r="V119" s="432"/>
      <c r="W119" s="432"/>
      <c r="X119" s="432"/>
      <c r="Y119" s="432"/>
      <c r="Z119" s="432"/>
      <c r="AA119" s="432"/>
      <c r="AB119" s="433"/>
    </row>
    <row r="120" spans="2:28" ht="17.399999999999999">
      <c r="B120" s="119"/>
      <c r="C120" s="1033" t="s">
        <v>881</v>
      </c>
      <c r="D120" s="1029"/>
      <c r="E120" s="1030"/>
      <c r="F120" s="1030"/>
      <c r="G120" s="1030"/>
      <c r="H120" s="1030"/>
      <c r="I120" s="1030"/>
      <c r="J120" s="1030"/>
      <c r="K120" s="1030"/>
      <c r="L120" s="1031"/>
      <c r="M120" s="108"/>
      <c r="O120" s="430"/>
      <c r="P120" s="432"/>
      <c r="Q120" s="432"/>
      <c r="R120" s="432"/>
      <c r="S120" s="432"/>
      <c r="T120" s="432"/>
      <c r="U120" s="432"/>
      <c r="V120" s="432"/>
      <c r="W120" s="432"/>
      <c r="X120" s="432"/>
      <c r="Y120" s="432"/>
      <c r="Z120" s="432"/>
      <c r="AA120" s="432"/>
      <c r="AB120" s="433"/>
    </row>
    <row r="121" spans="2:28" ht="17.399999999999999">
      <c r="B121" s="119"/>
      <c r="C121" s="1029" t="s">
        <v>865</v>
      </c>
      <c r="D121" s="1029"/>
      <c r="E121" s="1030"/>
      <c r="F121" s="1030"/>
      <c r="G121" s="1030"/>
      <c r="H121" s="1030"/>
      <c r="I121" s="1030"/>
      <c r="J121" s="1030"/>
      <c r="K121" s="1030"/>
      <c r="L121" s="1031"/>
      <c r="M121" s="108"/>
      <c r="O121" s="430"/>
      <c r="P121" s="432"/>
      <c r="Q121" s="432"/>
      <c r="R121" s="432"/>
      <c r="S121" s="432"/>
      <c r="T121" s="432"/>
      <c r="U121" s="432"/>
      <c r="V121" s="432"/>
      <c r="W121" s="432"/>
      <c r="X121" s="432"/>
      <c r="Y121" s="432"/>
      <c r="Z121" s="432"/>
      <c r="AA121" s="432"/>
      <c r="AB121" s="433"/>
    </row>
    <row r="122" spans="2:28" ht="17.399999999999999">
      <c r="B122" s="119"/>
      <c r="C122" s="1033" t="s">
        <v>875</v>
      </c>
      <c r="D122" s="1029"/>
      <c r="E122" s="1030"/>
      <c r="F122" s="1030"/>
      <c r="G122" s="1030"/>
      <c r="H122" s="1030"/>
      <c r="I122" s="1030"/>
      <c r="J122" s="1030"/>
      <c r="K122" s="1030"/>
      <c r="L122" s="1031"/>
      <c r="M122" s="108"/>
      <c r="O122" s="430"/>
      <c r="P122" s="432"/>
      <c r="Q122" s="432"/>
      <c r="R122" s="432"/>
      <c r="S122" s="432"/>
      <c r="T122" s="432"/>
      <c r="U122" s="432"/>
      <c r="V122" s="432"/>
      <c r="W122" s="432"/>
      <c r="X122" s="432"/>
      <c r="Y122" s="432"/>
      <c r="Z122" s="432"/>
      <c r="AA122" s="432"/>
      <c r="AB122" s="433"/>
    </row>
    <row r="123" spans="2:28" s="1041" customFormat="1" ht="17.399999999999999">
      <c r="B123" s="1035"/>
      <c r="C123" s="1036" t="s">
        <v>880</v>
      </c>
      <c r="D123" s="1037"/>
      <c r="E123" s="1038"/>
      <c r="F123" s="1038"/>
      <c r="G123" s="1038"/>
      <c r="H123" s="1038"/>
      <c r="I123" s="1038"/>
      <c r="J123" s="1038"/>
      <c r="K123" s="1038"/>
      <c r="L123" s="1039"/>
      <c r="M123" s="1040"/>
      <c r="O123" s="430"/>
      <c r="P123" s="432"/>
      <c r="Q123" s="432"/>
      <c r="R123" s="432"/>
      <c r="S123" s="432"/>
      <c r="T123" s="432"/>
      <c r="U123" s="432"/>
      <c r="V123" s="432"/>
      <c r="W123" s="432"/>
      <c r="X123" s="432"/>
      <c r="Y123" s="432"/>
      <c r="Z123" s="432"/>
      <c r="AA123" s="432"/>
      <c r="AB123" s="433"/>
    </row>
    <row r="124" spans="2:28" ht="17.399999999999999">
      <c r="B124" s="119"/>
      <c r="C124" s="1029" t="s">
        <v>866</v>
      </c>
      <c r="D124" s="1029"/>
      <c r="E124" s="1030"/>
      <c r="F124" s="1030"/>
      <c r="G124" s="1030"/>
      <c r="H124" s="1030"/>
      <c r="I124" s="1030"/>
      <c r="J124" s="1030"/>
      <c r="K124" s="1030"/>
      <c r="L124" s="1031"/>
      <c r="M124" s="108"/>
      <c r="O124" s="430"/>
      <c r="P124" s="432"/>
      <c r="Q124" s="432"/>
      <c r="R124" s="432"/>
      <c r="S124" s="432"/>
      <c r="T124" s="432"/>
      <c r="U124" s="432"/>
      <c r="V124" s="432"/>
      <c r="W124" s="432"/>
      <c r="X124" s="432"/>
      <c r="Y124" s="432"/>
      <c r="Z124" s="432"/>
      <c r="AA124" s="432"/>
      <c r="AB124" s="433"/>
    </row>
    <row r="125" spans="2:28" ht="17.399999999999999">
      <c r="B125" s="119"/>
      <c r="C125" s="1033" t="s">
        <v>876</v>
      </c>
      <c r="D125" s="1029"/>
      <c r="E125" s="1030"/>
      <c r="F125" s="1030"/>
      <c r="G125" s="1030"/>
      <c r="H125" s="1030"/>
      <c r="I125" s="1030"/>
      <c r="J125" s="1030"/>
      <c r="K125" s="1030"/>
      <c r="L125" s="1031"/>
      <c r="M125" s="108"/>
      <c r="O125" s="430"/>
      <c r="P125" s="432"/>
      <c r="Q125" s="432"/>
      <c r="R125" s="432"/>
      <c r="S125" s="432"/>
      <c r="T125" s="432"/>
      <c r="U125" s="432"/>
      <c r="V125" s="432"/>
      <c r="W125" s="432"/>
      <c r="X125" s="432"/>
      <c r="Y125" s="432"/>
      <c r="Z125" s="432"/>
      <c r="AA125" s="432"/>
      <c r="AB125" s="433"/>
    </row>
    <row r="126" spans="2:28" ht="17.399999999999999">
      <c r="B126" s="119"/>
      <c r="C126" s="1029" t="s">
        <v>867</v>
      </c>
      <c r="D126" s="1029"/>
      <c r="E126" s="1030"/>
      <c r="F126" s="1030"/>
      <c r="G126" s="1030"/>
      <c r="H126" s="1030"/>
      <c r="I126" s="1030"/>
      <c r="J126" s="1030"/>
      <c r="K126" s="1030"/>
      <c r="L126" s="1031"/>
      <c r="M126" s="108"/>
      <c r="O126" s="430"/>
      <c r="P126" s="432"/>
      <c r="Q126" s="432"/>
      <c r="R126" s="432"/>
      <c r="S126" s="432"/>
      <c r="T126" s="432"/>
      <c r="U126" s="432"/>
      <c r="V126" s="432"/>
      <c r="W126" s="432"/>
      <c r="X126" s="432"/>
      <c r="Y126" s="432"/>
      <c r="Z126" s="432"/>
      <c r="AA126" s="432"/>
      <c r="AB126" s="433"/>
    </row>
    <row r="127" spans="2:28" ht="23.1" customHeight="1" thickBot="1">
      <c r="B127" s="123"/>
      <c r="C127" s="1134"/>
      <c r="D127" s="1134"/>
      <c r="E127" s="1134"/>
      <c r="F127" s="1134"/>
      <c r="G127" s="57"/>
      <c r="H127" s="1011"/>
      <c r="I127" s="1011"/>
      <c r="J127" s="57"/>
      <c r="K127" s="57"/>
      <c r="L127" s="124"/>
      <c r="M127" s="125"/>
      <c r="O127" s="446"/>
      <c r="P127" s="447"/>
      <c r="Q127" s="447"/>
      <c r="R127" s="447"/>
      <c r="S127" s="447"/>
      <c r="T127" s="447"/>
      <c r="U127" s="447"/>
      <c r="V127" s="447"/>
      <c r="W127" s="447"/>
      <c r="X127" s="447"/>
      <c r="Y127" s="447"/>
      <c r="Z127" s="447"/>
      <c r="AA127" s="447"/>
      <c r="AB127" s="448"/>
    </row>
    <row r="128" spans="2:28" ht="23.1" customHeight="1">
      <c r="C128" s="106"/>
      <c r="D128" s="106"/>
      <c r="E128" s="107"/>
      <c r="F128" s="107"/>
      <c r="G128" s="107"/>
      <c r="H128" s="107"/>
      <c r="I128" s="107"/>
      <c r="J128" s="107"/>
      <c r="K128" s="107"/>
      <c r="L128" s="107"/>
    </row>
    <row r="129" spans="3:12" ht="13.2">
      <c r="C129" s="126" t="s">
        <v>77</v>
      </c>
      <c r="D129" s="106"/>
      <c r="E129" s="107"/>
      <c r="F129" s="107"/>
      <c r="G129" s="107"/>
      <c r="H129" s="107"/>
      <c r="I129" s="107"/>
      <c r="J129" s="107"/>
      <c r="K129" s="107"/>
      <c r="L129" s="97" t="s">
        <v>54</v>
      </c>
    </row>
    <row r="130" spans="3:12" ht="13.2">
      <c r="C130" s="127" t="s">
        <v>78</v>
      </c>
      <c r="D130" s="106"/>
      <c r="E130" s="107"/>
      <c r="F130" s="107"/>
      <c r="G130" s="107"/>
      <c r="H130" s="107"/>
      <c r="I130" s="107"/>
      <c r="J130" s="107"/>
      <c r="K130" s="107"/>
      <c r="L130" s="107"/>
    </row>
    <row r="131" spans="3:12" ht="13.2">
      <c r="C131" s="127" t="s">
        <v>79</v>
      </c>
      <c r="D131" s="106"/>
      <c r="E131" s="107"/>
      <c r="F131" s="107"/>
      <c r="G131" s="107"/>
      <c r="H131" s="107"/>
      <c r="I131" s="107"/>
      <c r="J131" s="107"/>
      <c r="K131" s="107"/>
      <c r="L131" s="107"/>
    </row>
    <row r="132" spans="3:12" ht="13.2">
      <c r="C132" s="127" t="s">
        <v>80</v>
      </c>
      <c r="D132" s="106"/>
      <c r="E132" s="107"/>
      <c r="F132" s="107"/>
      <c r="G132" s="107"/>
      <c r="H132" s="107"/>
      <c r="I132" s="107"/>
      <c r="J132" s="107"/>
      <c r="K132" s="107"/>
      <c r="L132" s="107"/>
    </row>
    <row r="133" spans="3:12" ht="13.2">
      <c r="C133" s="127" t="s">
        <v>81</v>
      </c>
      <c r="D133" s="106"/>
      <c r="E133" s="107"/>
      <c r="F133" s="107"/>
      <c r="G133" s="107"/>
      <c r="H133" s="107"/>
      <c r="I133" s="107"/>
      <c r="J133" s="107"/>
      <c r="K133" s="107"/>
      <c r="L133" s="107"/>
    </row>
    <row r="134" spans="3:12" ht="23.1" customHeight="1">
      <c r="C134" s="106"/>
      <c r="D134" s="106"/>
      <c r="E134" s="107"/>
      <c r="F134" s="107"/>
      <c r="G134" s="107"/>
      <c r="H134" s="107"/>
      <c r="I134" s="107"/>
      <c r="J134" s="107"/>
      <c r="K134" s="107"/>
      <c r="L134" s="107"/>
    </row>
    <row r="135" spans="3:12" ht="23.1" customHeight="1">
      <c r="C135" s="106"/>
      <c r="D135" s="106"/>
      <c r="E135" s="107"/>
      <c r="F135" s="107"/>
      <c r="G135" s="107"/>
      <c r="H135" s="107"/>
      <c r="I135" s="107"/>
      <c r="J135" s="107"/>
      <c r="K135" s="107"/>
      <c r="L135" s="107"/>
    </row>
    <row r="136" spans="3:12" ht="23.1" customHeight="1">
      <c r="C136" s="106"/>
      <c r="D136" s="106"/>
      <c r="E136" s="107"/>
      <c r="F136" s="107"/>
      <c r="G136" s="107"/>
      <c r="H136" s="107"/>
      <c r="I136" s="107"/>
      <c r="J136" s="107"/>
      <c r="K136" s="107"/>
      <c r="L136" s="107"/>
    </row>
    <row r="137" spans="3:12" ht="23.1" customHeight="1">
      <c r="C137" s="106"/>
      <c r="D137" s="106"/>
      <c r="E137" s="107"/>
      <c r="F137" s="107"/>
      <c r="G137" s="107"/>
      <c r="H137" s="107"/>
      <c r="I137" s="107"/>
      <c r="J137" s="107"/>
      <c r="K137" s="107"/>
      <c r="L137" s="107"/>
    </row>
    <row r="138" spans="3:12" ht="23.1" customHeight="1">
      <c r="F138" s="107"/>
      <c r="G138" s="107"/>
      <c r="H138" s="107"/>
      <c r="I138" s="107"/>
      <c r="J138" s="107"/>
      <c r="K138" s="107"/>
      <c r="L138" s="107"/>
    </row>
  </sheetData>
  <sheetProtection password="E059" sheet="1" objects="1" scenarios="1" insertRows="0"/>
  <mergeCells count="24">
    <mergeCell ref="C72:D72"/>
    <mergeCell ref="C86:D86"/>
    <mergeCell ref="F38:G38"/>
    <mergeCell ref="H38:I38"/>
    <mergeCell ref="C39:D39"/>
    <mergeCell ref="C71:D71"/>
    <mergeCell ref="F71:G71"/>
    <mergeCell ref="H71:I71"/>
    <mergeCell ref="L6:L7"/>
    <mergeCell ref="D9:L9"/>
    <mergeCell ref="C12:D12"/>
    <mergeCell ref="C31:L31"/>
    <mergeCell ref="C127:F127"/>
    <mergeCell ref="C32:E32"/>
    <mergeCell ref="C33:E33"/>
    <mergeCell ref="C68:E68"/>
    <mergeCell ref="C83:E83"/>
    <mergeCell ref="C97:E97"/>
    <mergeCell ref="C18:E18"/>
    <mergeCell ref="C15:D15"/>
    <mergeCell ref="C16:D16"/>
    <mergeCell ref="F15:G15"/>
    <mergeCell ref="H15:I15"/>
    <mergeCell ref="C38:D38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26" orientation="portrait" horizontalDpi="4294967292" verticalDpi="4294967292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I95"/>
  <sheetViews>
    <sheetView zoomScale="40" zoomScaleNormal="40" zoomScalePageLayoutView="70" workbookViewId="0">
      <selection activeCell="AC65" sqref="AC65"/>
    </sheetView>
  </sheetViews>
  <sheetFormatPr baseColWidth="10" defaultColWidth="10.90625" defaultRowHeight="23.1" customHeight="1"/>
  <cols>
    <col min="1" max="2" width="3.08984375" style="99" customWidth="1"/>
    <col min="3" max="3" width="13.54296875" style="99" customWidth="1"/>
    <col min="4" max="4" width="26.54296875" style="99" customWidth="1"/>
    <col min="5" max="6" width="13.453125" style="100" customWidth="1"/>
    <col min="7" max="7" width="20" style="100" customWidth="1"/>
    <col min="8" max="8" width="13.453125" style="100" customWidth="1"/>
    <col min="9" max="9" width="11.08984375" style="100" customWidth="1"/>
    <col min="10" max="10" width="16" style="100" customWidth="1"/>
    <col min="11" max="19" width="15.90625" style="100" customWidth="1"/>
    <col min="20" max="20" width="3.08984375" style="99" customWidth="1"/>
    <col min="21" max="16384" width="10.90625" style="99"/>
  </cols>
  <sheetData>
    <row r="2" spans="2:35" ht="23.1" customHeight="1">
      <c r="D2" s="221" t="s">
        <v>379</v>
      </c>
    </row>
    <row r="3" spans="2:35" ht="23.1" customHeight="1">
      <c r="D3" s="221" t="s">
        <v>380</v>
      </c>
    </row>
    <row r="4" spans="2:35" ht="23.1" customHeight="1" thickBot="1"/>
    <row r="5" spans="2:35" ht="9" customHeight="1"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4"/>
      <c r="V5" s="427"/>
      <c r="W5" s="428"/>
      <c r="X5" s="428"/>
      <c r="Y5" s="428"/>
      <c r="Z5" s="428"/>
      <c r="AA5" s="428"/>
      <c r="AB5" s="428"/>
      <c r="AC5" s="428"/>
      <c r="AD5" s="428"/>
      <c r="AE5" s="428"/>
      <c r="AF5" s="428"/>
      <c r="AG5" s="428"/>
      <c r="AH5" s="428"/>
      <c r="AI5" s="429"/>
    </row>
    <row r="6" spans="2:35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111">
        <f>ejercicio</f>
        <v>2018</v>
      </c>
      <c r="T6" s="108"/>
      <c r="V6" s="430"/>
      <c r="W6" s="431" t="s">
        <v>707</v>
      </c>
      <c r="X6" s="432"/>
      <c r="Y6" s="432"/>
      <c r="Z6" s="432"/>
      <c r="AA6" s="432"/>
      <c r="AB6" s="432"/>
      <c r="AC6" s="432"/>
      <c r="AD6" s="432"/>
      <c r="AE6" s="432"/>
      <c r="AF6" s="432"/>
      <c r="AG6" s="432"/>
      <c r="AH6" s="432"/>
      <c r="AI6" s="433"/>
    </row>
    <row r="7" spans="2:35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111"/>
      <c r="T7" s="108"/>
      <c r="V7" s="430"/>
      <c r="W7" s="432"/>
      <c r="X7" s="432"/>
      <c r="Y7" s="432"/>
      <c r="Z7" s="432"/>
      <c r="AA7" s="432"/>
      <c r="AB7" s="432"/>
      <c r="AC7" s="432"/>
      <c r="AD7" s="432"/>
      <c r="AE7" s="432"/>
      <c r="AF7" s="432"/>
      <c r="AG7" s="432"/>
      <c r="AH7" s="432"/>
      <c r="AI7" s="433"/>
    </row>
    <row r="8" spans="2:35" ht="30" customHeight="1">
      <c r="B8" s="105"/>
      <c r="C8" s="109"/>
      <c r="D8" s="106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8"/>
      <c r="V8" s="430"/>
      <c r="W8" s="432"/>
      <c r="X8" s="432"/>
      <c r="Y8" s="432"/>
      <c r="Z8" s="432"/>
      <c r="AA8" s="432"/>
      <c r="AB8" s="432"/>
      <c r="AC8" s="432"/>
      <c r="AD8" s="432"/>
      <c r="AE8" s="432"/>
      <c r="AF8" s="432"/>
      <c r="AG8" s="432"/>
      <c r="AH8" s="432"/>
      <c r="AI8" s="433"/>
    </row>
    <row r="9" spans="2:35" s="194" customFormat="1" ht="30" customHeight="1">
      <c r="B9" s="192"/>
      <c r="C9" s="56" t="s">
        <v>2</v>
      </c>
      <c r="D9" s="1135" t="str">
        <f>Entidad</f>
        <v>SPET, Turismo de Tenerife, S.A.</v>
      </c>
      <c r="E9" s="1135"/>
      <c r="F9" s="1135"/>
      <c r="G9" s="1135"/>
      <c r="H9" s="1135"/>
      <c r="I9" s="1135"/>
      <c r="J9" s="1135"/>
      <c r="K9" s="1135"/>
      <c r="L9" s="1135"/>
      <c r="M9" s="1135"/>
      <c r="N9" s="1135"/>
      <c r="O9" s="1135"/>
      <c r="P9" s="1135"/>
      <c r="Q9" s="1135"/>
      <c r="R9" s="1135"/>
      <c r="S9" s="1135"/>
      <c r="T9" s="193"/>
      <c r="V9" s="430"/>
      <c r="W9" s="432"/>
      <c r="X9" s="432"/>
      <c r="Y9" s="432"/>
      <c r="Z9" s="432"/>
      <c r="AA9" s="432"/>
      <c r="AB9" s="432"/>
      <c r="AC9" s="432"/>
      <c r="AD9" s="432"/>
      <c r="AE9" s="432"/>
      <c r="AF9" s="432"/>
      <c r="AG9" s="432"/>
      <c r="AH9" s="432"/>
      <c r="AI9" s="433"/>
    </row>
    <row r="10" spans="2:35" ht="7.35" customHeight="1">
      <c r="B10" s="105"/>
      <c r="C10" s="106"/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8"/>
      <c r="V10" s="430"/>
      <c r="W10" s="432"/>
      <c r="X10" s="432"/>
      <c r="Y10" s="432"/>
      <c r="Z10" s="432"/>
      <c r="AA10" s="432"/>
      <c r="AB10" s="432"/>
      <c r="AC10" s="432"/>
      <c r="AD10" s="432"/>
      <c r="AE10" s="432"/>
      <c r="AF10" s="432"/>
      <c r="AG10" s="432"/>
      <c r="AH10" s="432"/>
      <c r="AI10" s="433"/>
    </row>
    <row r="11" spans="2:35" s="117" customFormat="1" ht="30" customHeight="1">
      <c r="B11" s="113"/>
      <c r="C11" s="114" t="s">
        <v>739</v>
      </c>
      <c r="D11" s="114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6"/>
      <c r="V11" s="430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33"/>
    </row>
    <row r="12" spans="2:35" s="117" customFormat="1" ht="30" customHeight="1">
      <c r="B12" s="113"/>
      <c r="C12" s="1177"/>
      <c r="D12" s="1177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116"/>
      <c r="V12" s="430"/>
      <c r="W12" s="432"/>
      <c r="X12" s="432"/>
      <c r="Y12" s="432"/>
      <c r="Z12" s="432"/>
      <c r="AA12" s="432"/>
      <c r="AB12" s="432"/>
      <c r="AC12" s="432"/>
      <c r="AD12" s="432"/>
      <c r="AE12" s="432"/>
      <c r="AF12" s="432"/>
      <c r="AG12" s="432"/>
      <c r="AH12" s="432"/>
      <c r="AI12" s="433"/>
    </row>
    <row r="13" spans="2:35" ht="29.1" customHeight="1">
      <c r="B13" s="119"/>
      <c r="C13" s="68" t="s">
        <v>813</v>
      </c>
      <c r="D13" s="159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108"/>
      <c r="V13" s="430"/>
      <c r="W13" s="432"/>
      <c r="X13" s="432"/>
      <c r="Y13" s="432"/>
      <c r="Z13" s="432"/>
      <c r="AA13" s="432"/>
      <c r="AB13" s="432"/>
      <c r="AC13" s="432"/>
      <c r="AD13" s="432"/>
      <c r="AE13" s="432"/>
      <c r="AF13" s="432"/>
      <c r="AG13" s="432"/>
      <c r="AH13" s="432"/>
      <c r="AI13" s="433"/>
    </row>
    <row r="14" spans="2:35" ht="9" customHeight="1">
      <c r="B14" s="119"/>
      <c r="C14" s="159"/>
      <c r="D14" s="159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108"/>
      <c r="V14" s="430"/>
      <c r="W14" s="432"/>
      <c r="X14" s="432"/>
      <c r="Y14" s="432"/>
      <c r="Z14" s="432"/>
      <c r="AA14" s="432"/>
      <c r="AB14" s="432"/>
      <c r="AC14" s="432"/>
      <c r="AD14" s="432"/>
      <c r="AE14" s="432"/>
      <c r="AF14" s="432"/>
      <c r="AG14" s="432"/>
      <c r="AH14" s="432"/>
      <c r="AI14" s="433"/>
    </row>
    <row r="15" spans="2:35" s="247" customFormat="1" ht="42" customHeight="1">
      <c r="B15" s="248"/>
      <c r="C15" s="202" t="s">
        <v>478</v>
      </c>
      <c r="D15" s="249" t="s">
        <v>480</v>
      </c>
      <c r="E15" s="202" t="s">
        <v>693</v>
      </c>
      <c r="F15" s="202" t="s">
        <v>693</v>
      </c>
      <c r="G15" s="202" t="s">
        <v>482</v>
      </c>
      <c r="H15" s="202" t="s">
        <v>487</v>
      </c>
      <c r="I15" s="202" t="s">
        <v>489</v>
      </c>
      <c r="J15" s="202" t="s">
        <v>757</v>
      </c>
      <c r="K15" s="202" t="s">
        <v>484</v>
      </c>
      <c r="L15" s="202" t="s">
        <v>695</v>
      </c>
      <c r="M15" s="548" t="s">
        <v>708</v>
      </c>
      <c r="N15" s="202" t="s">
        <v>697</v>
      </c>
      <c r="O15" s="202" t="s">
        <v>696</v>
      </c>
      <c r="P15" s="898" t="s">
        <v>758</v>
      </c>
      <c r="Q15" s="202" t="s">
        <v>695</v>
      </c>
      <c r="R15" s="98"/>
      <c r="S15" s="98"/>
      <c r="T15" s="250"/>
      <c r="V15" s="430"/>
      <c r="W15" s="432"/>
      <c r="X15" s="432"/>
      <c r="Y15" s="432"/>
      <c r="Z15" s="432"/>
      <c r="AA15" s="432"/>
      <c r="AB15" s="432"/>
      <c r="AC15" s="432"/>
      <c r="AD15" s="432"/>
      <c r="AE15" s="432"/>
      <c r="AF15" s="432"/>
      <c r="AG15" s="432"/>
      <c r="AH15" s="432"/>
      <c r="AI15" s="433"/>
    </row>
    <row r="16" spans="2:35" s="247" customFormat="1" ht="24" customHeight="1">
      <c r="B16" s="248"/>
      <c r="C16" s="253" t="s">
        <v>479</v>
      </c>
      <c r="D16" s="254" t="s">
        <v>479</v>
      </c>
      <c r="E16" s="253" t="s">
        <v>481</v>
      </c>
      <c r="F16" s="253" t="s">
        <v>694</v>
      </c>
      <c r="G16" s="253" t="s">
        <v>483</v>
      </c>
      <c r="H16" s="253" t="s">
        <v>488</v>
      </c>
      <c r="I16" s="253" t="s">
        <v>735</v>
      </c>
      <c r="J16" s="253" t="s">
        <v>807</v>
      </c>
      <c r="K16" s="253" t="s">
        <v>485</v>
      </c>
      <c r="L16" s="253">
        <f>ejercicio-1</f>
        <v>2017</v>
      </c>
      <c r="M16" s="253">
        <f>ejercicio</f>
        <v>2018</v>
      </c>
      <c r="N16" s="253">
        <f>ejercicio</f>
        <v>2018</v>
      </c>
      <c r="O16" s="253">
        <f>ejercicio</f>
        <v>2018</v>
      </c>
      <c r="P16" s="253">
        <f>ejercicio</f>
        <v>2018</v>
      </c>
      <c r="Q16" s="253">
        <f>ejercicio</f>
        <v>2018</v>
      </c>
      <c r="R16" s="98"/>
      <c r="S16" s="98"/>
      <c r="T16" s="250"/>
      <c r="V16" s="430"/>
      <c r="W16" s="432"/>
      <c r="X16" s="432"/>
      <c r="Y16" s="432"/>
      <c r="Z16" s="432"/>
      <c r="AA16" s="432"/>
      <c r="AB16" s="432"/>
      <c r="AC16" s="432"/>
      <c r="AD16" s="432"/>
      <c r="AE16" s="432"/>
      <c r="AF16" s="432"/>
      <c r="AG16" s="432"/>
      <c r="AH16" s="432"/>
      <c r="AI16" s="433"/>
    </row>
    <row r="17" spans="2:35" ht="23.1" customHeight="1">
      <c r="B17" s="119"/>
      <c r="C17" s="1104">
        <v>1</v>
      </c>
      <c r="D17" s="1103" t="s">
        <v>965</v>
      </c>
      <c r="E17" s="1108">
        <v>39275</v>
      </c>
      <c r="F17" s="1108">
        <v>43647</v>
      </c>
      <c r="G17" s="1104" t="s">
        <v>966</v>
      </c>
      <c r="H17" s="1105" t="s">
        <v>967</v>
      </c>
      <c r="I17" s="1105" t="s">
        <v>968</v>
      </c>
      <c r="J17" s="1105" t="s">
        <v>968</v>
      </c>
      <c r="K17" s="1106">
        <v>300000</v>
      </c>
      <c r="L17" s="1106">
        <v>23768.3</v>
      </c>
      <c r="M17" s="1107"/>
      <c r="N17" s="1107">
        <v>23768.3</v>
      </c>
      <c r="O17" s="907"/>
      <c r="P17" s="758"/>
      <c r="Q17" s="615">
        <f>L17+M17-N17</f>
        <v>0</v>
      </c>
      <c r="R17" s="98"/>
      <c r="S17" s="98"/>
      <c r="T17" s="108"/>
      <c r="V17" s="430"/>
      <c r="W17" s="432"/>
      <c r="X17" s="432"/>
      <c r="Y17" s="432"/>
      <c r="Z17" s="432"/>
      <c r="AA17" s="432"/>
      <c r="AB17" s="432"/>
      <c r="AC17" s="432"/>
      <c r="AD17" s="432"/>
      <c r="AE17" s="432"/>
      <c r="AF17" s="432"/>
      <c r="AG17" s="432"/>
      <c r="AH17" s="432"/>
      <c r="AI17" s="433"/>
    </row>
    <row r="18" spans="2:35" ht="23.1" customHeight="1">
      <c r="B18" s="119"/>
      <c r="C18" s="545"/>
      <c r="D18" s="539"/>
      <c r="E18" s="609"/>
      <c r="F18" s="609"/>
      <c r="G18" s="545"/>
      <c r="H18" s="609"/>
      <c r="I18" s="609"/>
      <c r="J18" s="609"/>
      <c r="K18" s="619"/>
      <c r="L18" s="619"/>
      <c r="M18" s="619"/>
      <c r="N18" s="619"/>
      <c r="O18" s="619"/>
      <c r="P18" s="758"/>
      <c r="Q18" s="616">
        <f t="shared" ref="Q18:Q41" si="0">L18+M18-N18</f>
        <v>0</v>
      </c>
      <c r="R18" s="98"/>
      <c r="S18" s="98"/>
      <c r="T18" s="108"/>
      <c r="V18" s="430"/>
      <c r="W18" s="432"/>
      <c r="X18" s="432"/>
      <c r="Y18" s="432"/>
      <c r="Z18" s="432"/>
      <c r="AA18" s="432"/>
      <c r="AB18" s="432"/>
      <c r="AC18" s="432"/>
      <c r="AD18" s="432"/>
      <c r="AE18" s="432"/>
      <c r="AF18" s="432"/>
      <c r="AG18" s="432"/>
      <c r="AH18" s="432"/>
      <c r="AI18" s="433"/>
    </row>
    <row r="19" spans="2:35" ht="23.1" customHeight="1">
      <c r="B19" s="119"/>
      <c r="C19" s="545"/>
      <c r="D19" s="539"/>
      <c r="E19" s="609" t="s">
        <v>682</v>
      </c>
      <c r="F19" s="609"/>
      <c r="G19" s="545"/>
      <c r="H19" s="609"/>
      <c r="I19" s="609"/>
      <c r="J19" s="609"/>
      <c r="K19" s="619"/>
      <c r="L19" s="619"/>
      <c r="M19" s="619"/>
      <c r="N19" s="619"/>
      <c r="O19" s="619"/>
      <c r="P19" s="758"/>
      <c r="Q19" s="616">
        <f t="shared" si="0"/>
        <v>0</v>
      </c>
      <c r="R19" s="98"/>
      <c r="S19" s="98"/>
      <c r="T19" s="108"/>
      <c r="V19" s="430"/>
      <c r="W19" s="432"/>
      <c r="X19" s="432"/>
      <c r="Y19" s="432"/>
      <c r="Z19" s="432"/>
      <c r="AA19" s="432"/>
      <c r="AB19" s="432"/>
      <c r="AC19" s="432"/>
      <c r="AD19" s="432"/>
      <c r="AE19" s="432"/>
      <c r="AF19" s="432"/>
      <c r="AG19" s="432"/>
      <c r="AH19" s="432"/>
      <c r="AI19" s="433"/>
    </row>
    <row r="20" spans="2:35" ht="23.1" customHeight="1">
      <c r="B20" s="119"/>
      <c r="C20" s="545"/>
      <c r="D20" s="539"/>
      <c r="E20" s="609"/>
      <c r="F20" s="609"/>
      <c r="G20" s="545"/>
      <c r="H20" s="609"/>
      <c r="I20" s="609"/>
      <c r="J20" s="609"/>
      <c r="K20" s="619"/>
      <c r="L20" s="619"/>
      <c r="M20" s="619"/>
      <c r="N20" s="619"/>
      <c r="O20" s="619"/>
      <c r="P20" s="758"/>
      <c r="Q20" s="616">
        <f t="shared" si="0"/>
        <v>0</v>
      </c>
      <c r="R20" s="98"/>
      <c r="S20" s="98"/>
      <c r="T20" s="108"/>
      <c r="V20" s="430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3"/>
    </row>
    <row r="21" spans="2:35" ht="23.1" customHeight="1">
      <c r="B21" s="119"/>
      <c r="C21" s="545"/>
      <c r="D21" s="539"/>
      <c r="E21" s="609"/>
      <c r="F21" s="609"/>
      <c r="G21" s="545"/>
      <c r="H21" s="609"/>
      <c r="I21" s="609"/>
      <c r="J21" s="609"/>
      <c r="K21" s="619"/>
      <c r="L21" s="619"/>
      <c r="M21" s="619"/>
      <c r="N21" s="619"/>
      <c r="O21" s="619"/>
      <c r="P21" s="758"/>
      <c r="Q21" s="616">
        <f t="shared" si="0"/>
        <v>0</v>
      </c>
      <c r="R21" s="98"/>
      <c r="S21" s="98"/>
      <c r="T21" s="108"/>
      <c r="V21" s="430"/>
      <c r="W21" s="432"/>
      <c r="X21" s="432"/>
      <c r="Y21" s="432"/>
      <c r="Z21" s="432"/>
      <c r="AA21" s="432"/>
      <c r="AB21" s="432"/>
      <c r="AC21" s="432"/>
      <c r="AD21" s="432"/>
      <c r="AE21" s="432"/>
      <c r="AF21" s="432"/>
      <c r="AG21" s="432"/>
      <c r="AH21" s="432"/>
      <c r="AI21" s="433"/>
    </row>
    <row r="22" spans="2:35" ht="23.1" customHeight="1">
      <c r="B22" s="119"/>
      <c r="C22" s="545"/>
      <c r="D22" s="539"/>
      <c r="E22" s="609"/>
      <c r="F22" s="609"/>
      <c r="G22" s="545"/>
      <c r="H22" s="609"/>
      <c r="I22" s="609"/>
      <c r="J22" s="609"/>
      <c r="K22" s="619"/>
      <c r="L22" s="619"/>
      <c r="M22" s="619"/>
      <c r="N22" s="619"/>
      <c r="O22" s="619"/>
      <c r="P22" s="758"/>
      <c r="Q22" s="616">
        <f t="shared" si="0"/>
        <v>0</v>
      </c>
      <c r="R22" s="98"/>
      <c r="S22" s="98"/>
      <c r="T22" s="108"/>
      <c r="V22" s="430"/>
      <c r="W22" s="432"/>
      <c r="X22" s="432"/>
      <c r="Y22" s="432"/>
      <c r="Z22" s="432"/>
      <c r="AA22" s="432"/>
      <c r="AB22" s="432"/>
      <c r="AC22" s="432"/>
      <c r="AD22" s="432"/>
      <c r="AE22" s="432"/>
      <c r="AF22" s="432"/>
      <c r="AG22" s="432"/>
      <c r="AH22" s="432"/>
      <c r="AI22" s="433"/>
    </row>
    <row r="23" spans="2:35" ht="23.1" customHeight="1">
      <c r="B23" s="119"/>
      <c r="C23" s="545"/>
      <c r="D23" s="539"/>
      <c r="E23" s="609"/>
      <c r="F23" s="609"/>
      <c r="G23" s="545"/>
      <c r="H23" s="609"/>
      <c r="I23" s="609"/>
      <c r="J23" s="609"/>
      <c r="K23" s="619"/>
      <c r="L23" s="619"/>
      <c r="M23" s="619"/>
      <c r="N23" s="619"/>
      <c r="O23" s="619"/>
      <c r="P23" s="758"/>
      <c r="Q23" s="616">
        <f t="shared" si="0"/>
        <v>0</v>
      </c>
      <c r="R23" s="98"/>
      <c r="S23" s="98"/>
      <c r="T23" s="108"/>
      <c r="V23" s="430"/>
      <c r="W23" s="432"/>
      <c r="X23" s="432"/>
      <c r="Y23" s="432"/>
      <c r="Z23" s="432"/>
      <c r="AA23" s="432"/>
      <c r="AB23" s="432"/>
      <c r="AC23" s="432"/>
      <c r="AD23" s="432"/>
      <c r="AE23" s="432"/>
      <c r="AF23" s="432"/>
      <c r="AG23" s="432"/>
      <c r="AH23" s="432"/>
      <c r="AI23" s="433"/>
    </row>
    <row r="24" spans="2:35" ht="23.1" customHeight="1">
      <c r="B24" s="119"/>
      <c r="C24" s="545"/>
      <c r="D24" s="539"/>
      <c r="E24" s="609"/>
      <c r="F24" s="609"/>
      <c r="G24" s="545"/>
      <c r="H24" s="609"/>
      <c r="I24" s="609"/>
      <c r="J24" s="609"/>
      <c r="K24" s="619"/>
      <c r="L24" s="619"/>
      <c r="M24" s="619"/>
      <c r="N24" s="619"/>
      <c r="O24" s="619"/>
      <c r="P24" s="758"/>
      <c r="Q24" s="616">
        <f t="shared" si="0"/>
        <v>0</v>
      </c>
      <c r="R24" s="98"/>
      <c r="S24" s="98"/>
      <c r="T24" s="108"/>
      <c r="V24" s="430"/>
      <c r="W24" s="432"/>
      <c r="X24" s="432"/>
      <c r="Y24" s="432"/>
      <c r="Z24" s="432"/>
      <c r="AA24" s="432"/>
      <c r="AB24" s="432"/>
      <c r="AC24" s="432"/>
      <c r="AD24" s="432"/>
      <c r="AE24" s="432"/>
      <c r="AF24" s="432"/>
      <c r="AG24" s="432"/>
      <c r="AH24" s="432"/>
      <c r="AI24" s="433"/>
    </row>
    <row r="25" spans="2:35" ht="23.1" customHeight="1">
      <c r="B25" s="119"/>
      <c r="C25" s="545"/>
      <c r="D25" s="539"/>
      <c r="E25" s="609"/>
      <c r="F25" s="609"/>
      <c r="G25" s="545"/>
      <c r="H25" s="609"/>
      <c r="I25" s="609"/>
      <c r="J25" s="609"/>
      <c r="K25" s="619"/>
      <c r="L25" s="619"/>
      <c r="M25" s="619"/>
      <c r="N25" s="619"/>
      <c r="O25" s="619"/>
      <c r="P25" s="758"/>
      <c r="Q25" s="616">
        <f t="shared" si="0"/>
        <v>0</v>
      </c>
      <c r="R25" s="98"/>
      <c r="S25" s="98"/>
      <c r="T25" s="108"/>
      <c r="V25" s="430"/>
      <c r="W25" s="432"/>
      <c r="X25" s="432"/>
      <c r="Y25" s="432"/>
      <c r="Z25" s="432"/>
      <c r="AA25" s="432"/>
      <c r="AB25" s="432"/>
      <c r="AC25" s="432"/>
      <c r="AD25" s="432"/>
      <c r="AE25" s="432"/>
      <c r="AF25" s="432"/>
      <c r="AG25" s="432"/>
      <c r="AH25" s="432"/>
      <c r="AI25" s="433"/>
    </row>
    <row r="26" spans="2:35" ht="23.1" customHeight="1">
      <c r="B26" s="119"/>
      <c r="C26" s="545"/>
      <c r="D26" s="539"/>
      <c r="E26" s="609"/>
      <c r="F26" s="609"/>
      <c r="G26" s="545"/>
      <c r="H26" s="609"/>
      <c r="I26" s="609"/>
      <c r="J26" s="609"/>
      <c r="K26" s="619"/>
      <c r="L26" s="619"/>
      <c r="M26" s="619"/>
      <c r="N26" s="619"/>
      <c r="O26" s="619"/>
      <c r="P26" s="758"/>
      <c r="Q26" s="616">
        <f t="shared" si="0"/>
        <v>0</v>
      </c>
      <c r="R26" s="98"/>
      <c r="S26" s="98"/>
      <c r="T26" s="108"/>
      <c r="V26" s="430"/>
      <c r="W26" s="432"/>
      <c r="X26" s="432"/>
      <c r="Y26" s="432"/>
      <c r="Z26" s="432"/>
      <c r="AA26" s="432"/>
      <c r="AB26" s="432"/>
      <c r="AC26" s="432"/>
      <c r="AD26" s="432"/>
      <c r="AE26" s="432"/>
      <c r="AF26" s="432"/>
      <c r="AG26" s="432"/>
      <c r="AH26" s="432"/>
      <c r="AI26" s="433"/>
    </row>
    <row r="27" spans="2:35" ht="23.1" customHeight="1">
      <c r="B27" s="119"/>
      <c r="C27" s="545"/>
      <c r="D27" s="539"/>
      <c r="E27" s="609"/>
      <c r="F27" s="609"/>
      <c r="G27" s="545"/>
      <c r="H27" s="609"/>
      <c r="I27" s="609"/>
      <c r="J27" s="609"/>
      <c r="K27" s="619"/>
      <c r="L27" s="619"/>
      <c r="M27" s="619"/>
      <c r="N27" s="619"/>
      <c r="O27" s="619"/>
      <c r="P27" s="758"/>
      <c r="Q27" s="616">
        <f t="shared" si="0"/>
        <v>0</v>
      </c>
      <c r="R27" s="98"/>
      <c r="S27" s="98"/>
      <c r="T27" s="108"/>
      <c r="V27" s="430"/>
      <c r="W27" s="432"/>
      <c r="X27" s="432"/>
      <c r="Y27" s="432"/>
      <c r="Z27" s="432"/>
      <c r="AA27" s="432"/>
      <c r="AB27" s="432"/>
      <c r="AC27" s="432"/>
      <c r="AD27" s="432"/>
      <c r="AE27" s="432"/>
      <c r="AF27" s="432"/>
      <c r="AG27" s="432"/>
      <c r="AH27" s="432"/>
      <c r="AI27" s="433"/>
    </row>
    <row r="28" spans="2:35" ht="23.1" customHeight="1">
      <c r="B28" s="119"/>
      <c r="C28" s="545"/>
      <c r="D28" s="539"/>
      <c r="E28" s="609"/>
      <c r="F28" s="609"/>
      <c r="G28" s="545"/>
      <c r="H28" s="609"/>
      <c r="I28" s="609"/>
      <c r="J28" s="609"/>
      <c r="K28" s="619"/>
      <c r="L28" s="619"/>
      <c r="M28" s="619"/>
      <c r="N28" s="619"/>
      <c r="O28" s="619"/>
      <c r="P28" s="758"/>
      <c r="Q28" s="616">
        <f t="shared" si="0"/>
        <v>0</v>
      </c>
      <c r="R28" s="98"/>
      <c r="S28" s="98"/>
      <c r="T28" s="108"/>
      <c r="V28" s="430"/>
      <c r="W28" s="432"/>
      <c r="X28" s="432"/>
      <c r="Y28" s="432"/>
      <c r="Z28" s="432"/>
      <c r="AA28" s="432"/>
      <c r="AB28" s="432"/>
      <c r="AC28" s="432"/>
      <c r="AD28" s="432"/>
      <c r="AE28" s="432"/>
      <c r="AF28" s="432"/>
      <c r="AG28" s="432"/>
      <c r="AH28" s="432"/>
      <c r="AI28" s="433"/>
    </row>
    <row r="29" spans="2:35" ht="23.1" customHeight="1">
      <c r="B29" s="119"/>
      <c r="C29" s="545"/>
      <c r="D29" s="539"/>
      <c r="E29" s="609"/>
      <c r="F29" s="609"/>
      <c r="G29" s="545"/>
      <c r="H29" s="609"/>
      <c r="I29" s="609"/>
      <c r="J29" s="609"/>
      <c r="K29" s="619"/>
      <c r="L29" s="619"/>
      <c r="M29" s="619"/>
      <c r="N29" s="619"/>
      <c r="O29" s="619"/>
      <c r="P29" s="758"/>
      <c r="Q29" s="616">
        <f t="shared" si="0"/>
        <v>0</v>
      </c>
      <c r="R29" s="98"/>
      <c r="S29" s="98"/>
      <c r="T29" s="108"/>
      <c r="V29" s="430"/>
      <c r="W29" s="432"/>
      <c r="X29" s="432"/>
      <c r="Y29" s="432"/>
      <c r="Z29" s="432"/>
      <c r="AA29" s="432"/>
      <c r="AB29" s="432"/>
      <c r="AC29" s="432"/>
      <c r="AD29" s="432"/>
      <c r="AE29" s="432"/>
      <c r="AF29" s="432"/>
      <c r="AG29" s="432"/>
      <c r="AH29" s="432"/>
      <c r="AI29" s="433"/>
    </row>
    <row r="30" spans="2:35" ht="23.1" customHeight="1">
      <c r="B30" s="119"/>
      <c r="C30" s="545"/>
      <c r="D30" s="539"/>
      <c r="E30" s="609"/>
      <c r="F30" s="609"/>
      <c r="G30" s="545"/>
      <c r="H30" s="609"/>
      <c r="I30" s="609"/>
      <c r="J30" s="609"/>
      <c r="K30" s="619"/>
      <c r="L30" s="619"/>
      <c r="M30" s="619"/>
      <c r="N30" s="619"/>
      <c r="O30" s="619"/>
      <c r="P30" s="758"/>
      <c r="Q30" s="616">
        <f t="shared" si="0"/>
        <v>0</v>
      </c>
      <c r="R30" s="98"/>
      <c r="S30" s="98"/>
      <c r="T30" s="108"/>
      <c r="V30" s="430"/>
      <c r="W30" s="432"/>
      <c r="X30" s="432"/>
      <c r="Y30" s="432"/>
      <c r="Z30" s="432"/>
      <c r="AA30" s="432"/>
      <c r="AB30" s="432"/>
      <c r="AC30" s="432"/>
      <c r="AD30" s="432"/>
      <c r="AE30" s="432"/>
      <c r="AF30" s="432"/>
      <c r="AG30" s="432"/>
      <c r="AH30" s="432"/>
      <c r="AI30" s="433"/>
    </row>
    <row r="31" spans="2:35" ht="23.1" customHeight="1">
      <c r="B31" s="119"/>
      <c r="C31" s="545"/>
      <c r="D31" s="539"/>
      <c r="E31" s="609"/>
      <c r="F31" s="609"/>
      <c r="G31" s="545"/>
      <c r="H31" s="609"/>
      <c r="I31" s="609"/>
      <c r="J31" s="609"/>
      <c r="K31" s="619"/>
      <c r="L31" s="619"/>
      <c r="M31" s="619"/>
      <c r="N31" s="619"/>
      <c r="O31" s="619"/>
      <c r="P31" s="758"/>
      <c r="Q31" s="616">
        <f t="shared" si="0"/>
        <v>0</v>
      </c>
      <c r="R31" s="98"/>
      <c r="S31" s="98"/>
      <c r="T31" s="108"/>
      <c r="V31" s="430"/>
      <c r="W31" s="432"/>
      <c r="X31" s="432"/>
      <c r="Y31" s="432"/>
      <c r="Z31" s="432"/>
      <c r="AA31" s="432"/>
      <c r="AB31" s="432"/>
      <c r="AC31" s="432"/>
      <c r="AD31" s="432"/>
      <c r="AE31" s="432"/>
      <c r="AF31" s="432"/>
      <c r="AG31" s="432"/>
      <c r="AH31" s="432"/>
      <c r="AI31" s="433"/>
    </row>
    <row r="32" spans="2:35" ht="23.1" customHeight="1">
      <c r="B32" s="119"/>
      <c r="C32" s="545"/>
      <c r="D32" s="539"/>
      <c r="E32" s="609"/>
      <c r="F32" s="609"/>
      <c r="G32" s="545"/>
      <c r="H32" s="609"/>
      <c r="I32" s="609"/>
      <c r="J32" s="609"/>
      <c r="K32" s="619"/>
      <c r="L32" s="619"/>
      <c r="M32" s="619"/>
      <c r="N32" s="619"/>
      <c r="O32" s="619"/>
      <c r="P32" s="758"/>
      <c r="Q32" s="616">
        <f t="shared" si="0"/>
        <v>0</v>
      </c>
      <c r="R32" s="98"/>
      <c r="S32" s="98"/>
      <c r="T32" s="108"/>
      <c r="V32" s="430"/>
      <c r="W32" s="432"/>
      <c r="X32" s="432"/>
      <c r="Y32" s="432"/>
      <c r="Z32" s="432"/>
      <c r="AA32" s="432"/>
      <c r="AB32" s="432"/>
      <c r="AC32" s="432"/>
      <c r="AD32" s="432"/>
      <c r="AE32" s="432"/>
      <c r="AF32" s="432"/>
      <c r="AG32" s="432"/>
      <c r="AH32" s="432"/>
      <c r="AI32" s="433"/>
    </row>
    <row r="33" spans="2:35" ht="23.1" customHeight="1">
      <c r="B33" s="119"/>
      <c r="C33" s="545"/>
      <c r="D33" s="539"/>
      <c r="E33" s="609"/>
      <c r="F33" s="609"/>
      <c r="G33" s="545"/>
      <c r="H33" s="609"/>
      <c r="I33" s="609"/>
      <c r="J33" s="609"/>
      <c r="K33" s="619"/>
      <c r="L33" s="619"/>
      <c r="M33" s="619"/>
      <c r="N33" s="619"/>
      <c r="O33" s="619"/>
      <c r="P33" s="758"/>
      <c r="Q33" s="616">
        <f t="shared" si="0"/>
        <v>0</v>
      </c>
      <c r="R33" s="98"/>
      <c r="S33" s="98"/>
      <c r="T33" s="108"/>
      <c r="V33" s="430"/>
      <c r="W33" s="432"/>
      <c r="X33" s="432"/>
      <c r="Y33" s="432"/>
      <c r="Z33" s="432"/>
      <c r="AA33" s="432"/>
      <c r="AB33" s="432"/>
      <c r="AC33" s="432"/>
      <c r="AD33" s="432"/>
      <c r="AE33" s="432"/>
      <c r="AF33" s="432"/>
      <c r="AG33" s="432"/>
      <c r="AH33" s="432"/>
      <c r="AI33" s="433"/>
    </row>
    <row r="34" spans="2:35" ht="23.1" customHeight="1">
      <c r="B34" s="119"/>
      <c r="C34" s="545"/>
      <c r="D34" s="539"/>
      <c r="E34" s="609"/>
      <c r="F34" s="609"/>
      <c r="G34" s="545"/>
      <c r="H34" s="609"/>
      <c r="I34" s="609"/>
      <c r="J34" s="609"/>
      <c r="K34" s="619"/>
      <c r="L34" s="619"/>
      <c r="M34" s="619"/>
      <c r="N34" s="619"/>
      <c r="O34" s="619"/>
      <c r="P34" s="758"/>
      <c r="Q34" s="616">
        <f t="shared" si="0"/>
        <v>0</v>
      </c>
      <c r="R34" s="98"/>
      <c r="S34" s="98"/>
      <c r="T34" s="108"/>
      <c r="V34" s="430"/>
      <c r="W34" s="432"/>
      <c r="X34" s="432"/>
      <c r="Y34" s="432"/>
      <c r="Z34" s="432"/>
      <c r="AA34" s="432"/>
      <c r="AB34" s="432"/>
      <c r="AC34" s="432"/>
      <c r="AD34" s="432"/>
      <c r="AE34" s="432"/>
      <c r="AF34" s="432"/>
      <c r="AG34" s="432"/>
      <c r="AH34" s="432"/>
      <c r="AI34" s="433"/>
    </row>
    <row r="35" spans="2:35" ht="23.1" customHeight="1">
      <c r="B35" s="119"/>
      <c r="C35" s="545"/>
      <c r="D35" s="539"/>
      <c r="E35" s="609"/>
      <c r="F35" s="609"/>
      <c r="G35" s="545"/>
      <c r="H35" s="609"/>
      <c r="I35" s="609"/>
      <c r="J35" s="609"/>
      <c r="K35" s="619"/>
      <c r="L35" s="619"/>
      <c r="M35" s="619"/>
      <c r="N35" s="619"/>
      <c r="O35" s="619"/>
      <c r="P35" s="758"/>
      <c r="Q35" s="616">
        <f t="shared" si="0"/>
        <v>0</v>
      </c>
      <c r="R35" s="98"/>
      <c r="S35" s="98"/>
      <c r="T35" s="108"/>
      <c r="V35" s="430"/>
      <c r="W35" s="432"/>
      <c r="X35" s="432"/>
      <c r="Y35" s="432"/>
      <c r="Z35" s="432"/>
      <c r="AA35" s="432"/>
      <c r="AB35" s="432"/>
      <c r="AC35" s="432"/>
      <c r="AD35" s="432"/>
      <c r="AE35" s="432"/>
      <c r="AF35" s="432"/>
      <c r="AG35" s="432"/>
      <c r="AH35" s="432"/>
      <c r="AI35" s="433"/>
    </row>
    <row r="36" spans="2:35" ht="23.1" customHeight="1">
      <c r="B36" s="119"/>
      <c r="C36" s="545"/>
      <c r="D36" s="539"/>
      <c r="E36" s="609"/>
      <c r="F36" s="609"/>
      <c r="G36" s="545"/>
      <c r="H36" s="609"/>
      <c r="I36" s="609"/>
      <c r="J36" s="609"/>
      <c r="K36" s="619"/>
      <c r="L36" s="619"/>
      <c r="M36" s="619"/>
      <c r="N36" s="619"/>
      <c r="O36" s="619"/>
      <c r="P36" s="758"/>
      <c r="Q36" s="616">
        <f t="shared" si="0"/>
        <v>0</v>
      </c>
      <c r="R36" s="98"/>
      <c r="S36" s="98"/>
      <c r="T36" s="108"/>
      <c r="V36" s="430"/>
      <c r="W36" s="432"/>
      <c r="X36" s="432"/>
      <c r="Y36" s="432"/>
      <c r="Z36" s="432"/>
      <c r="AA36" s="432"/>
      <c r="AB36" s="432"/>
      <c r="AC36" s="432"/>
      <c r="AD36" s="432"/>
      <c r="AE36" s="432"/>
      <c r="AF36" s="432"/>
      <c r="AG36" s="432"/>
      <c r="AH36" s="432"/>
      <c r="AI36" s="433"/>
    </row>
    <row r="37" spans="2:35" ht="23.1" customHeight="1">
      <c r="B37" s="119"/>
      <c r="C37" s="545"/>
      <c r="D37" s="539"/>
      <c r="E37" s="609"/>
      <c r="F37" s="609"/>
      <c r="G37" s="545"/>
      <c r="H37" s="609"/>
      <c r="I37" s="609"/>
      <c r="J37" s="609"/>
      <c r="K37" s="619"/>
      <c r="L37" s="619"/>
      <c r="M37" s="619"/>
      <c r="N37" s="619"/>
      <c r="O37" s="619"/>
      <c r="P37" s="758"/>
      <c r="Q37" s="616">
        <f t="shared" si="0"/>
        <v>0</v>
      </c>
      <c r="R37" s="98"/>
      <c r="S37" s="98"/>
      <c r="T37" s="108"/>
      <c r="V37" s="430"/>
      <c r="W37" s="432"/>
      <c r="X37" s="432"/>
      <c r="Y37" s="432"/>
      <c r="Z37" s="432"/>
      <c r="AA37" s="432"/>
      <c r="AB37" s="432"/>
      <c r="AC37" s="432"/>
      <c r="AD37" s="432"/>
      <c r="AE37" s="432"/>
      <c r="AF37" s="432"/>
      <c r="AG37" s="432"/>
      <c r="AH37" s="432"/>
      <c r="AI37" s="433"/>
    </row>
    <row r="38" spans="2:35" ht="23.1" customHeight="1">
      <c r="B38" s="119"/>
      <c r="C38" s="545"/>
      <c r="D38" s="539"/>
      <c r="E38" s="609"/>
      <c r="F38" s="609"/>
      <c r="G38" s="545"/>
      <c r="H38" s="609"/>
      <c r="I38" s="609"/>
      <c r="J38" s="609"/>
      <c r="K38" s="619"/>
      <c r="L38" s="619"/>
      <c r="M38" s="619"/>
      <c r="N38" s="619"/>
      <c r="O38" s="619"/>
      <c r="P38" s="758"/>
      <c r="Q38" s="616">
        <f t="shared" si="0"/>
        <v>0</v>
      </c>
      <c r="R38" s="98"/>
      <c r="S38" s="98"/>
      <c r="T38" s="108"/>
      <c r="V38" s="430"/>
      <c r="W38" s="432"/>
      <c r="X38" s="432"/>
      <c r="Y38" s="432"/>
      <c r="Z38" s="432"/>
      <c r="AA38" s="432"/>
      <c r="AB38" s="432"/>
      <c r="AC38" s="432"/>
      <c r="AD38" s="432"/>
      <c r="AE38" s="432"/>
      <c r="AF38" s="432"/>
      <c r="AG38" s="432"/>
      <c r="AH38" s="432"/>
      <c r="AI38" s="433"/>
    </row>
    <row r="39" spans="2:35" ht="23.1" customHeight="1">
      <c r="B39" s="119"/>
      <c r="C39" s="545"/>
      <c r="D39" s="539"/>
      <c r="E39" s="609"/>
      <c r="F39" s="609"/>
      <c r="G39" s="545"/>
      <c r="H39" s="609"/>
      <c r="I39" s="609"/>
      <c r="J39" s="609"/>
      <c r="K39" s="619"/>
      <c r="L39" s="619"/>
      <c r="M39" s="619"/>
      <c r="N39" s="619"/>
      <c r="O39" s="619"/>
      <c r="P39" s="758"/>
      <c r="Q39" s="616">
        <f t="shared" si="0"/>
        <v>0</v>
      </c>
      <c r="R39" s="98"/>
      <c r="S39" s="98"/>
      <c r="T39" s="108"/>
      <c r="V39" s="430"/>
      <c r="W39" s="432"/>
      <c r="X39" s="432"/>
      <c r="Y39" s="432"/>
      <c r="Z39" s="432"/>
      <c r="AA39" s="432"/>
      <c r="AB39" s="432"/>
      <c r="AC39" s="432"/>
      <c r="AD39" s="432"/>
      <c r="AE39" s="432"/>
      <c r="AF39" s="432"/>
      <c r="AG39" s="432"/>
      <c r="AH39" s="432"/>
      <c r="AI39" s="433"/>
    </row>
    <row r="40" spans="2:35" ht="23.1" customHeight="1">
      <c r="B40" s="119"/>
      <c r="C40" s="545"/>
      <c r="D40" s="540"/>
      <c r="E40" s="610"/>
      <c r="F40" s="610"/>
      <c r="G40" s="546"/>
      <c r="H40" s="610"/>
      <c r="I40" s="610"/>
      <c r="J40" s="610"/>
      <c r="K40" s="620"/>
      <c r="L40" s="620"/>
      <c r="M40" s="620"/>
      <c r="N40" s="620"/>
      <c r="O40" s="620"/>
      <c r="P40" s="759"/>
      <c r="Q40" s="617">
        <f t="shared" si="0"/>
        <v>0</v>
      </c>
      <c r="R40" s="98"/>
      <c r="S40" s="98"/>
      <c r="T40" s="108"/>
      <c r="V40" s="430"/>
      <c r="W40" s="432"/>
      <c r="X40" s="432"/>
      <c r="Y40" s="432"/>
      <c r="Z40" s="432"/>
      <c r="AA40" s="432"/>
      <c r="AB40" s="432"/>
      <c r="AC40" s="432"/>
      <c r="AD40" s="432"/>
      <c r="AE40" s="432"/>
      <c r="AF40" s="432"/>
      <c r="AG40" s="432"/>
      <c r="AH40" s="432"/>
      <c r="AI40" s="433"/>
    </row>
    <row r="41" spans="2:35" ht="23.1" customHeight="1">
      <c r="B41" s="119"/>
      <c r="C41" s="547"/>
      <c r="D41" s="541"/>
      <c r="E41" s="611"/>
      <c r="F41" s="611"/>
      <c r="G41" s="547"/>
      <c r="H41" s="611"/>
      <c r="I41" s="611"/>
      <c r="J41" s="611"/>
      <c r="K41" s="621"/>
      <c r="L41" s="621"/>
      <c r="M41" s="621"/>
      <c r="N41" s="621"/>
      <c r="O41" s="621"/>
      <c r="P41" s="760"/>
      <c r="Q41" s="618">
        <f t="shared" si="0"/>
        <v>0</v>
      </c>
      <c r="R41" s="98"/>
      <c r="S41" s="98"/>
      <c r="T41" s="108"/>
      <c r="V41" s="430"/>
      <c r="W41" s="432"/>
      <c r="X41" s="432"/>
      <c r="Y41" s="432"/>
      <c r="Z41" s="432"/>
      <c r="AA41" s="432"/>
      <c r="AB41" s="432"/>
      <c r="AC41" s="432"/>
      <c r="AD41" s="432"/>
      <c r="AE41" s="432"/>
      <c r="AF41" s="432"/>
      <c r="AG41" s="432"/>
      <c r="AH41" s="432"/>
      <c r="AI41" s="433"/>
    </row>
    <row r="42" spans="2:35" ht="23.1" customHeight="1" thickBot="1">
      <c r="B42" s="119"/>
      <c r="C42" s="221"/>
      <c r="D42" s="221"/>
      <c r="E42" s="222"/>
      <c r="F42" s="222"/>
      <c r="G42" s="222"/>
      <c r="H42" s="1199" t="s">
        <v>486</v>
      </c>
      <c r="I42" s="1200"/>
      <c r="J42" s="1201"/>
      <c r="K42" s="243">
        <f t="shared" ref="K42:N42" si="1">SUM(K17:K41)</f>
        <v>300000</v>
      </c>
      <c r="L42" s="234">
        <f t="shared" si="1"/>
        <v>23768.3</v>
      </c>
      <c r="M42" s="242">
        <f>SUM(M17:M41)</f>
        <v>0</v>
      </c>
      <c r="N42" s="242">
        <f t="shared" si="1"/>
        <v>23768.3</v>
      </c>
      <c r="O42" s="243">
        <f>SUM(O17:O41)</f>
        <v>0</v>
      </c>
      <c r="P42" s="243">
        <f>SUM(P17:P41)</f>
        <v>0</v>
      </c>
      <c r="Q42" s="426">
        <f>SUM(Q17:Q41)</f>
        <v>0</v>
      </c>
      <c r="R42" s="98"/>
      <c r="S42" s="98"/>
      <c r="T42" s="108"/>
      <c r="V42" s="430"/>
      <c r="W42" s="432"/>
      <c r="X42" s="432"/>
      <c r="Y42" s="432"/>
      <c r="Z42" s="432"/>
      <c r="AA42" s="432"/>
      <c r="AB42" s="432"/>
      <c r="AC42" s="432"/>
      <c r="AD42" s="432"/>
      <c r="AE42" s="432"/>
      <c r="AF42" s="432"/>
      <c r="AG42" s="432"/>
      <c r="AH42" s="432"/>
      <c r="AI42" s="433"/>
    </row>
    <row r="43" spans="2:35" ht="23.1" customHeight="1">
      <c r="B43" s="119"/>
      <c r="C43" s="221"/>
      <c r="D43" s="221"/>
      <c r="E43" s="222"/>
      <c r="F43" s="222"/>
      <c r="G43" s="222"/>
      <c r="H43" s="889"/>
      <c r="I43" s="889"/>
      <c r="J43" s="889"/>
      <c r="K43" s="222"/>
      <c r="L43" s="222"/>
      <c r="M43" s="222"/>
      <c r="N43" s="222"/>
      <c r="O43" s="222"/>
      <c r="P43" s="222"/>
      <c r="Q43" s="222"/>
      <c r="R43" s="222"/>
      <c r="S43" s="98"/>
      <c r="T43" s="108"/>
      <c r="V43" s="430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3"/>
    </row>
    <row r="44" spans="2:35" ht="23.1" customHeight="1">
      <c r="B44" s="119"/>
      <c r="C44" s="221"/>
      <c r="D44" s="221"/>
      <c r="E44" s="222"/>
      <c r="F44" s="222"/>
      <c r="G44" s="222"/>
      <c r="H44" s="889"/>
      <c r="I44" s="889"/>
      <c r="J44" s="889"/>
      <c r="K44" s="222"/>
      <c r="L44" s="222"/>
      <c r="M44" s="222"/>
      <c r="N44" s="222"/>
      <c r="O44" s="222"/>
      <c r="P44" s="222"/>
      <c r="Q44" s="222"/>
      <c r="R44" s="222"/>
      <c r="S44" s="222"/>
      <c r="T44" s="108"/>
      <c r="V44" s="430"/>
      <c r="W44" s="432"/>
      <c r="X44" s="432"/>
      <c r="Y44" s="432"/>
      <c r="Z44" s="432"/>
      <c r="AA44" s="432"/>
      <c r="AB44" s="432"/>
      <c r="AC44" s="432"/>
      <c r="AD44" s="432"/>
      <c r="AE44" s="432"/>
      <c r="AF44" s="432"/>
      <c r="AG44" s="432"/>
      <c r="AH44" s="432"/>
      <c r="AI44" s="433"/>
    </row>
    <row r="45" spans="2:35" ht="23.1" customHeight="1">
      <c r="B45" s="119"/>
      <c r="C45" s="68" t="s">
        <v>812</v>
      </c>
      <c r="D45" s="761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108"/>
      <c r="V45" s="430"/>
      <c r="W45" s="432"/>
      <c r="X45" s="432"/>
      <c r="Y45" s="432"/>
      <c r="Z45" s="432"/>
      <c r="AA45" s="432"/>
      <c r="AB45" s="432"/>
      <c r="AC45" s="432"/>
      <c r="AD45" s="432"/>
      <c r="AE45" s="432"/>
      <c r="AF45" s="432"/>
      <c r="AG45" s="432"/>
      <c r="AH45" s="432"/>
      <c r="AI45" s="433"/>
    </row>
    <row r="46" spans="2:35" ht="23.1" customHeight="1">
      <c r="B46" s="119"/>
      <c r="C46" s="761"/>
      <c r="D46" s="761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108"/>
      <c r="V46" s="430"/>
      <c r="W46" s="432"/>
      <c r="X46" s="432"/>
      <c r="Y46" s="432"/>
      <c r="Z46" s="432"/>
      <c r="AA46" s="432"/>
      <c r="AB46" s="432"/>
      <c r="AC46" s="432"/>
      <c r="AD46" s="432"/>
      <c r="AE46" s="432"/>
      <c r="AF46" s="432"/>
      <c r="AG46" s="432"/>
      <c r="AH46" s="432"/>
      <c r="AI46" s="433"/>
    </row>
    <row r="47" spans="2:35" ht="39" customHeight="1">
      <c r="B47" s="119"/>
      <c r="C47" s="202" t="s">
        <v>478</v>
      </c>
      <c r="D47" s="249" t="s">
        <v>480</v>
      </c>
      <c r="E47" s="202" t="s">
        <v>693</v>
      </c>
      <c r="F47" s="202" t="s">
        <v>693</v>
      </c>
      <c r="G47" s="202" t="s">
        <v>482</v>
      </c>
      <c r="H47" s="202" t="s">
        <v>487</v>
      </c>
      <c r="I47" s="202" t="s">
        <v>489</v>
      </c>
      <c r="J47" s="202" t="s">
        <v>757</v>
      </c>
      <c r="K47" s="202" t="s">
        <v>484</v>
      </c>
      <c r="L47" s="202" t="s">
        <v>695</v>
      </c>
      <c r="M47" s="548" t="s">
        <v>708</v>
      </c>
      <c r="N47" s="202" t="s">
        <v>697</v>
      </c>
      <c r="O47" s="202" t="s">
        <v>696</v>
      </c>
      <c r="P47" s="898" t="s">
        <v>758</v>
      </c>
      <c r="Q47" s="202" t="s">
        <v>695</v>
      </c>
      <c r="R47" s="1193" t="s">
        <v>811</v>
      </c>
      <c r="S47" s="1194"/>
      <c r="T47" s="108"/>
      <c r="V47" s="430"/>
      <c r="W47" s="432"/>
      <c r="X47" s="432"/>
      <c r="Y47" s="432"/>
      <c r="Z47" s="432"/>
      <c r="AA47" s="432"/>
      <c r="AB47" s="432"/>
      <c r="AC47" s="432"/>
      <c r="AD47" s="432"/>
      <c r="AE47" s="432"/>
      <c r="AF47" s="432"/>
      <c r="AG47" s="432"/>
      <c r="AH47" s="432"/>
      <c r="AI47" s="433"/>
    </row>
    <row r="48" spans="2:35" ht="23.1" customHeight="1">
      <c r="B48" s="119"/>
      <c r="C48" s="253" t="s">
        <v>479</v>
      </c>
      <c r="D48" s="254" t="s">
        <v>479</v>
      </c>
      <c r="E48" s="253" t="s">
        <v>481</v>
      </c>
      <c r="F48" s="253" t="s">
        <v>694</v>
      </c>
      <c r="G48" s="253" t="s">
        <v>483</v>
      </c>
      <c r="H48" s="253" t="s">
        <v>488</v>
      </c>
      <c r="I48" s="253" t="s">
        <v>735</v>
      </c>
      <c r="J48" s="253" t="s">
        <v>807</v>
      </c>
      <c r="K48" s="253" t="s">
        <v>485</v>
      </c>
      <c r="L48" s="253">
        <f>ejercicio-1</f>
        <v>2017</v>
      </c>
      <c r="M48" s="253">
        <f>ejercicio</f>
        <v>2018</v>
      </c>
      <c r="N48" s="253">
        <f>ejercicio</f>
        <v>2018</v>
      </c>
      <c r="O48" s="253">
        <f>ejercicio</f>
        <v>2018</v>
      </c>
      <c r="P48" s="253">
        <f>ejercicio</f>
        <v>2018</v>
      </c>
      <c r="Q48" s="253">
        <f>ejercicio</f>
        <v>2018</v>
      </c>
      <c r="R48" s="423" t="s">
        <v>698</v>
      </c>
      <c r="S48" s="422" t="s">
        <v>699</v>
      </c>
      <c r="T48" s="108"/>
      <c r="V48" s="430"/>
      <c r="W48" s="432"/>
      <c r="X48" s="432"/>
      <c r="Y48" s="432"/>
      <c r="Z48" s="432"/>
      <c r="AA48" s="432"/>
      <c r="AB48" s="432"/>
      <c r="AC48" s="432"/>
      <c r="AD48" s="432"/>
      <c r="AE48" s="432"/>
      <c r="AF48" s="432"/>
      <c r="AG48" s="432"/>
      <c r="AH48" s="432"/>
      <c r="AI48" s="433"/>
    </row>
    <row r="49" spans="2:35" ht="23.1" customHeight="1">
      <c r="B49" s="119"/>
      <c r="C49" s="545"/>
      <c r="D49" s="539"/>
      <c r="E49" s="609"/>
      <c r="F49" s="609"/>
      <c r="G49" s="545"/>
      <c r="H49" s="609"/>
      <c r="I49" s="609"/>
      <c r="J49" s="899"/>
      <c r="K49" s="619"/>
      <c r="L49" s="619">
        <v>12153.89</v>
      </c>
      <c r="M49" s="907">
        <v>0</v>
      </c>
      <c r="N49" s="907"/>
      <c r="O49" s="907"/>
      <c r="P49" s="758"/>
      <c r="Q49" s="615">
        <f>L49+M49-N49</f>
        <v>12153.89</v>
      </c>
      <c r="R49" s="971">
        <v>12153.89</v>
      </c>
      <c r="S49" s="972">
        <v>0</v>
      </c>
      <c r="T49" s="108"/>
      <c r="V49" s="430"/>
      <c r="W49" s="432"/>
      <c r="X49" s="432"/>
      <c r="Y49" s="432"/>
      <c r="Z49" s="432"/>
      <c r="AA49" s="432"/>
      <c r="AB49" s="432"/>
      <c r="AC49" s="432"/>
      <c r="AD49" s="432"/>
      <c r="AE49" s="432"/>
      <c r="AF49" s="432"/>
      <c r="AG49" s="432"/>
      <c r="AH49" s="432"/>
      <c r="AI49" s="433"/>
    </row>
    <row r="50" spans="2:35" ht="23.1" customHeight="1">
      <c r="B50" s="119"/>
      <c r="C50" s="545"/>
      <c r="D50" s="539"/>
      <c r="E50" s="609"/>
      <c r="F50" s="609"/>
      <c r="G50" s="545"/>
      <c r="H50" s="609"/>
      <c r="I50" s="609"/>
      <c r="J50" s="609"/>
      <c r="K50" s="619"/>
      <c r="L50" s="619"/>
      <c r="M50" s="619"/>
      <c r="N50" s="619"/>
      <c r="O50" s="619"/>
      <c r="P50" s="758"/>
      <c r="Q50" s="616">
        <f t="shared" ref="Q50:Q73" si="2">L50+M50-N50</f>
        <v>0</v>
      </c>
      <c r="R50" s="973"/>
      <c r="S50" s="974"/>
      <c r="T50" s="108"/>
      <c r="V50" s="430"/>
      <c r="W50" s="432"/>
      <c r="X50" s="432"/>
      <c r="Y50" s="432"/>
      <c r="Z50" s="432"/>
      <c r="AA50" s="432"/>
      <c r="AB50" s="432"/>
      <c r="AC50" s="432"/>
      <c r="AD50" s="432"/>
      <c r="AE50" s="432"/>
      <c r="AF50" s="432"/>
      <c r="AG50" s="432"/>
      <c r="AH50" s="432"/>
      <c r="AI50" s="433"/>
    </row>
    <row r="51" spans="2:35" ht="23.1" customHeight="1">
      <c r="B51" s="119"/>
      <c r="C51" s="545"/>
      <c r="D51" s="539"/>
      <c r="E51" s="609" t="s">
        <v>682</v>
      </c>
      <c r="F51" s="609"/>
      <c r="G51" s="545"/>
      <c r="H51" s="609"/>
      <c r="I51" s="609"/>
      <c r="J51" s="609"/>
      <c r="K51" s="619"/>
      <c r="L51" s="619"/>
      <c r="M51" s="619"/>
      <c r="N51" s="619"/>
      <c r="O51" s="619"/>
      <c r="P51" s="758"/>
      <c r="Q51" s="616">
        <f t="shared" si="2"/>
        <v>0</v>
      </c>
      <c r="R51" s="973"/>
      <c r="S51" s="974"/>
      <c r="T51" s="108"/>
      <c r="V51" s="430"/>
      <c r="W51" s="432"/>
      <c r="X51" s="432"/>
      <c r="Y51" s="432"/>
      <c r="Z51" s="432"/>
      <c r="AA51" s="432"/>
      <c r="AB51" s="432"/>
      <c r="AC51" s="432"/>
      <c r="AD51" s="432"/>
      <c r="AE51" s="432"/>
      <c r="AF51" s="432"/>
      <c r="AG51" s="432"/>
      <c r="AH51" s="432"/>
      <c r="AI51" s="433"/>
    </row>
    <row r="52" spans="2:35" ht="23.1" customHeight="1">
      <c r="B52" s="119"/>
      <c r="C52" s="545"/>
      <c r="D52" s="539"/>
      <c r="E52" s="609"/>
      <c r="F52" s="609"/>
      <c r="G52" s="545"/>
      <c r="H52" s="609"/>
      <c r="I52" s="609"/>
      <c r="J52" s="609"/>
      <c r="K52" s="619"/>
      <c r="L52" s="619"/>
      <c r="M52" s="619"/>
      <c r="N52" s="619"/>
      <c r="O52" s="619"/>
      <c r="P52" s="758"/>
      <c r="Q52" s="616">
        <f t="shared" si="2"/>
        <v>0</v>
      </c>
      <c r="R52" s="973"/>
      <c r="S52" s="974"/>
      <c r="T52" s="108"/>
      <c r="V52" s="430"/>
      <c r="W52" s="432"/>
      <c r="X52" s="432"/>
      <c r="Y52" s="432"/>
      <c r="Z52" s="432"/>
      <c r="AA52" s="432"/>
      <c r="AB52" s="432"/>
      <c r="AC52" s="432"/>
      <c r="AD52" s="432"/>
      <c r="AE52" s="432"/>
      <c r="AF52" s="432"/>
      <c r="AG52" s="432"/>
      <c r="AH52" s="432"/>
      <c r="AI52" s="433"/>
    </row>
    <row r="53" spans="2:35" ht="23.1" customHeight="1">
      <c r="B53" s="119"/>
      <c r="C53" s="545"/>
      <c r="D53" s="539"/>
      <c r="E53" s="609"/>
      <c r="F53" s="609"/>
      <c r="G53" s="545"/>
      <c r="H53" s="609"/>
      <c r="I53" s="609"/>
      <c r="J53" s="609"/>
      <c r="K53" s="619"/>
      <c r="L53" s="619"/>
      <c r="M53" s="619"/>
      <c r="N53" s="619"/>
      <c r="O53" s="619"/>
      <c r="P53" s="758"/>
      <c r="Q53" s="616">
        <f t="shared" si="2"/>
        <v>0</v>
      </c>
      <c r="R53" s="973"/>
      <c r="S53" s="974"/>
      <c r="T53" s="108"/>
      <c r="V53" s="430"/>
      <c r="W53" s="432"/>
      <c r="X53" s="432"/>
      <c r="Y53" s="432"/>
      <c r="Z53" s="432"/>
      <c r="AA53" s="432"/>
      <c r="AB53" s="432"/>
      <c r="AC53" s="432"/>
      <c r="AD53" s="432"/>
      <c r="AE53" s="432"/>
      <c r="AF53" s="432"/>
      <c r="AG53" s="432"/>
      <c r="AH53" s="432"/>
      <c r="AI53" s="433"/>
    </row>
    <row r="54" spans="2:35" ht="23.1" customHeight="1">
      <c r="B54" s="119"/>
      <c r="C54" s="545"/>
      <c r="D54" s="539"/>
      <c r="E54" s="609"/>
      <c r="F54" s="609"/>
      <c r="G54" s="545"/>
      <c r="H54" s="609"/>
      <c r="I54" s="609"/>
      <c r="J54" s="609"/>
      <c r="K54" s="619"/>
      <c r="L54" s="619"/>
      <c r="M54" s="619"/>
      <c r="N54" s="619"/>
      <c r="O54" s="619"/>
      <c r="P54" s="758"/>
      <c r="Q54" s="616">
        <f t="shared" si="2"/>
        <v>0</v>
      </c>
      <c r="R54" s="973"/>
      <c r="S54" s="974"/>
      <c r="T54" s="108"/>
      <c r="V54" s="430"/>
      <c r="W54" s="432"/>
      <c r="X54" s="432"/>
      <c r="Y54" s="432"/>
      <c r="Z54" s="432"/>
      <c r="AA54" s="432"/>
      <c r="AB54" s="432"/>
      <c r="AC54" s="432"/>
      <c r="AD54" s="432"/>
      <c r="AE54" s="432"/>
      <c r="AF54" s="432"/>
      <c r="AG54" s="432"/>
      <c r="AH54" s="432"/>
      <c r="AI54" s="433"/>
    </row>
    <row r="55" spans="2:35" ht="23.1" customHeight="1">
      <c r="B55" s="119"/>
      <c r="C55" s="545"/>
      <c r="D55" s="539"/>
      <c r="E55" s="609"/>
      <c r="F55" s="609"/>
      <c r="G55" s="545"/>
      <c r="H55" s="609"/>
      <c r="I55" s="609"/>
      <c r="J55" s="609"/>
      <c r="K55" s="619"/>
      <c r="L55" s="619"/>
      <c r="M55" s="619"/>
      <c r="N55" s="619"/>
      <c r="O55" s="619"/>
      <c r="P55" s="758"/>
      <c r="Q55" s="616">
        <f t="shared" si="2"/>
        <v>0</v>
      </c>
      <c r="R55" s="973"/>
      <c r="S55" s="974"/>
      <c r="T55" s="108"/>
      <c r="V55" s="430"/>
      <c r="W55" s="432"/>
      <c r="X55" s="432"/>
      <c r="Y55" s="432"/>
      <c r="Z55" s="432"/>
      <c r="AA55" s="432"/>
      <c r="AB55" s="432"/>
      <c r="AC55" s="432"/>
      <c r="AD55" s="432"/>
      <c r="AE55" s="432"/>
      <c r="AF55" s="432"/>
      <c r="AG55" s="432"/>
      <c r="AH55" s="432"/>
      <c r="AI55" s="433"/>
    </row>
    <row r="56" spans="2:35" ht="23.1" customHeight="1">
      <c r="B56" s="119"/>
      <c r="C56" s="545"/>
      <c r="D56" s="539"/>
      <c r="E56" s="609"/>
      <c r="F56" s="609"/>
      <c r="G56" s="545"/>
      <c r="H56" s="609"/>
      <c r="I56" s="609"/>
      <c r="J56" s="609"/>
      <c r="K56" s="619"/>
      <c r="L56" s="619"/>
      <c r="M56" s="619"/>
      <c r="N56" s="619"/>
      <c r="O56" s="619"/>
      <c r="P56" s="758"/>
      <c r="Q56" s="616">
        <f t="shared" si="2"/>
        <v>0</v>
      </c>
      <c r="R56" s="973"/>
      <c r="S56" s="974"/>
      <c r="T56" s="108"/>
      <c r="V56" s="430"/>
      <c r="W56" s="432"/>
      <c r="X56" s="432"/>
      <c r="Y56" s="432"/>
      <c r="Z56" s="432"/>
      <c r="AA56" s="432"/>
      <c r="AB56" s="432"/>
      <c r="AC56" s="432"/>
      <c r="AD56" s="432"/>
      <c r="AE56" s="432"/>
      <c r="AF56" s="432"/>
      <c r="AG56" s="432"/>
      <c r="AH56" s="432"/>
      <c r="AI56" s="433"/>
    </row>
    <row r="57" spans="2:35" ht="23.1" customHeight="1">
      <c r="B57" s="119"/>
      <c r="C57" s="545"/>
      <c r="D57" s="539"/>
      <c r="E57" s="609"/>
      <c r="F57" s="609"/>
      <c r="G57" s="545"/>
      <c r="H57" s="609"/>
      <c r="I57" s="609"/>
      <c r="J57" s="609"/>
      <c r="K57" s="619"/>
      <c r="L57" s="619"/>
      <c r="M57" s="619"/>
      <c r="N57" s="619"/>
      <c r="O57" s="619"/>
      <c r="P57" s="758"/>
      <c r="Q57" s="616">
        <f t="shared" si="2"/>
        <v>0</v>
      </c>
      <c r="R57" s="973"/>
      <c r="S57" s="974"/>
      <c r="T57" s="108"/>
      <c r="V57" s="430"/>
      <c r="W57" s="432"/>
      <c r="X57" s="432"/>
      <c r="Y57" s="432"/>
      <c r="Z57" s="432"/>
      <c r="AA57" s="432"/>
      <c r="AB57" s="432"/>
      <c r="AC57" s="432"/>
      <c r="AD57" s="432"/>
      <c r="AE57" s="432"/>
      <c r="AF57" s="432"/>
      <c r="AG57" s="432"/>
      <c r="AH57" s="432"/>
      <c r="AI57" s="433"/>
    </row>
    <row r="58" spans="2:35" ht="23.1" customHeight="1">
      <c r="B58" s="119"/>
      <c r="C58" s="545"/>
      <c r="D58" s="539"/>
      <c r="E58" s="609"/>
      <c r="F58" s="609"/>
      <c r="G58" s="545"/>
      <c r="H58" s="609"/>
      <c r="I58" s="609"/>
      <c r="J58" s="609"/>
      <c r="K58" s="619"/>
      <c r="L58" s="619"/>
      <c r="M58" s="619"/>
      <c r="N58" s="619"/>
      <c r="O58" s="619"/>
      <c r="P58" s="758"/>
      <c r="Q58" s="616">
        <f t="shared" si="2"/>
        <v>0</v>
      </c>
      <c r="R58" s="973"/>
      <c r="S58" s="974"/>
      <c r="T58" s="108"/>
      <c r="V58" s="430"/>
      <c r="W58" s="432"/>
      <c r="X58" s="432"/>
      <c r="Y58" s="432"/>
      <c r="Z58" s="432"/>
      <c r="AA58" s="432"/>
      <c r="AB58" s="432"/>
      <c r="AC58" s="432"/>
      <c r="AD58" s="432"/>
      <c r="AE58" s="432"/>
      <c r="AF58" s="432"/>
      <c r="AG58" s="432"/>
      <c r="AH58" s="432"/>
      <c r="AI58" s="433"/>
    </row>
    <row r="59" spans="2:35" ht="23.1" customHeight="1">
      <c r="B59" s="119"/>
      <c r="C59" s="545"/>
      <c r="D59" s="539"/>
      <c r="E59" s="609"/>
      <c r="F59" s="609"/>
      <c r="G59" s="545"/>
      <c r="H59" s="609"/>
      <c r="I59" s="609"/>
      <c r="J59" s="609"/>
      <c r="K59" s="619"/>
      <c r="L59" s="619"/>
      <c r="M59" s="619"/>
      <c r="N59" s="619"/>
      <c r="O59" s="619"/>
      <c r="P59" s="758"/>
      <c r="Q59" s="616">
        <f t="shared" si="2"/>
        <v>0</v>
      </c>
      <c r="R59" s="973"/>
      <c r="S59" s="974"/>
      <c r="T59" s="108"/>
      <c r="V59" s="430"/>
      <c r="W59" s="432"/>
      <c r="X59" s="432"/>
      <c r="Y59" s="432"/>
      <c r="Z59" s="432"/>
      <c r="AA59" s="432"/>
      <c r="AB59" s="432"/>
      <c r="AC59" s="432"/>
      <c r="AD59" s="432"/>
      <c r="AE59" s="432"/>
      <c r="AF59" s="432"/>
      <c r="AG59" s="432"/>
      <c r="AH59" s="432"/>
      <c r="AI59" s="433"/>
    </row>
    <row r="60" spans="2:35" ht="23.1" customHeight="1">
      <c r="B60" s="119"/>
      <c r="C60" s="545"/>
      <c r="D60" s="539"/>
      <c r="E60" s="609"/>
      <c r="F60" s="609"/>
      <c r="G60" s="545"/>
      <c r="H60" s="609"/>
      <c r="I60" s="609"/>
      <c r="J60" s="609"/>
      <c r="K60" s="619"/>
      <c r="L60" s="619"/>
      <c r="M60" s="619"/>
      <c r="N60" s="619"/>
      <c r="O60" s="619"/>
      <c r="P60" s="758"/>
      <c r="Q60" s="616">
        <f t="shared" si="2"/>
        <v>0</v>
      </c>
      <c r="R60" s="973"/>
      <c r="S60" s="974"/>
      <c r="T60" s="108"/>
      <c r="V60" s="430"/>
      <c r="W60" s="432"/>
      <c r="X60" s="432"/>
      <c r="Y60" s="432"/>
      <c r="Z60" s="432"/>
      <c r="AA60" s="432"/>
      <c r="AB60" s="432"/>
      <c r="AC60" s="432"/>
      <c r="AD60" s="432"/>
      <c r="AE60" s="432"/>
      <c r="AF60" s="432"/>
      <c r="AG60" s="432"/>
      <c r="AH60" s="432"/>
      <c r="AI60" s="433"/>
    </row>
    <row r="61" spans="2:35" ht="23.1" customHeight="1">
      <c r="B61" s="119"/>
      <c r="C61" s="545"/>
      <c r="D61" s="539"/>
      <c r="E61" s="609"/>
      <c r="F61" s="609"/>
      <c r="G61" s="545"/>
      <c r="H61" s="609"/>
      <c r="I61" s="609"/>
      <c r="J61" s="609"/>
      <c r="K61" s="619"/>
      <c r="L61" s="619"/>
      <c r="M61" s="619"/>
      <c r="N61" s="619"/>
      <c r="O61" s="619"/>
      <c r="P61" s="758"/>
      <c r="Q61" s="616">
        <f t="shared" si="2"/>
        <v>0</v>
      </c>
      <c r="R61" s="973"/>
      <c r="S61" s="974"/>
      <c r="T61" s="108"/>
      <c r="V61" s="430"/>
      <c r="W61" s="432"/>
      <c r="X61" s="432"/>
      <c r="Y61" s="432"/>
      <c r="Z61" s="432"/>
      <c r="AA61" s="432"/>
      <c r="AB61" s="432"/>
      <c r="AC61" s="432"/>
      <c r="AD61" s="432"/>
      <c r="AE61" s="432"/>
      <c r="AF61" s="432"/>
      <c r="AG61" s="432"/>
      <c r="AH61" s="432"/>
      <c r="AI61" s="433"/>
    </row>
    <row r="62" spans="2:35" ht="23.1" customHeight="1">
      <c r="B62" s="119"/>
      <c r="C62" s="545"/>
      <c r="D62" s="539"/>
      <c r="E62" s="609"/>
      <c r="F62" s="609"/>
      <c r="G62" s="545"/>
      <c r="H62" s="609"/>
      <c r="I62" s="609"/>
      <c r="J62" s="609"/>
      <c r="K62" s="619"/>
      <c r="L62" s="619"/>
      <c r="M62" s="619"/>
      <c r="N62" s="619"/>
      <c r="O62" s="619"/>
      <c r="P62" s="758"/>
      <c r="Q62" s="616">
        <f t="shared" si="2"/>
        <v>0</v>
      </c>
      <c r="R62" s="973"/>
      <c r="S62" s="974"/>
      <c r="T62" s="108"/>
      <c r="V62" s="430"/>
      <c r="W62" s="432"/>
      <c r="X62" s="432"/>
      <c r="Y62" s="432"/>
      <c r="Z62" s="432"/>
      <c r="AA62" s="432"/>
      <c r="AB62" s="432"/>
      <c r="AC62" s="432"/>
      <c r="AD62" s="432"/>
      <c r="AE62" s="432"/>
      <c r="AF62" s="432"/>
      <c r="AG62" s="432"/>
      <c r="AH62" s="432"/>
      <c r="AI62" s="433"/>
    </row>
    <row r="63" spans="2:35" ht="23.1" customHeight="1">
      <c r="B63" s="119"/>
      <c r="C63" s="545"/>
      <c r="D63" s="539"/>
      <c r="E63" s="609"/>
      <c r="F63" s="609"/>
      <c r="G63" s="545"/>
      <c r="H63" s="609"/>
      <c r="I63" s="609"/>
      <c r="J63" s="609"/>
      <c r="K63" s="619"/>
      <c r="L63" s="619"/>
      <c r="M63" s="619"/>
      <c r="N63" s="619"/>
      <c r="O63" s="619"/>
      <c r="P63" s="758"/>
      <c r="Q63" s="616">
        <f t="shared" si="2"/>
        <v>0</v>
      </c>
      <c r="R63" s="973"/>
      <c r="S63" s="974"/>
      <c r="T63" s="108"/>
      <c r="V63" s="430"/>
      <c r="W63" s="432"/>
      <c r="X63" s="432"/>
      <c r="Y63" s="432"/>
      <c r="Z63" s="432"/>
      <c r="AA63" s="432"/>
      <c r="AB63" s="432"/>
      <c r="AC63" s="432"/>
      <c r="AD63" s="432"/>
      <c r="AE63" s="432"/>
      <c r="AF63" s="432"/>
      <c r="AG63" s="432"/>
      <c r="AH63" s="432"/>
      <c r="AI63" s="433"/>
    </row>
    <row r="64" spans="2:35" ht="23.1" customHeight="1">
      <c r="B64" s="119"/>
      <c r="C64" s="545"/>
      <c r="D64" s="539"/>
      <c r="E64" s="609"/>
      <c r="F64" s="609"/>
      <c r="G64" s="545"/>
      <c r="H64" s="609"/>
      <c r="I64" s="609"/>
      <c r="J64" s="609"/>
      <c r="K64" s="619"/>
      <c r="L64" s="619"/>
      <c r="M64" s="619"/>
      <c r="N64" s="619"/>
      <c r="O64" s="619"/>
      <c r="P64" s="758"/>
      <c r="Q64" s="616">
        <f t="shared" si="2"/>
        <v>0</v>
      </c>
      <c r="R64" s="973"/>
      <c r="S64" s="974"/>
      <c r="T64" s="108"/>
      <c r="V64" s="430"/>
      <c r="W64" s="432"/>
      <c r="X64" s="432"/>
      <c r="Y64" s="432"/>
      <c r="Z64" s="432"/>
      <c r="AA64" s="432"/>
      <c r="AB64" s="432"/>
      <c r="AC64" s="432"/>
      <c r="AD64" s="432"/>
      <c r="AE64" s="432"/>
      <c r="AF64" s="432"/>
      <c r="AG64" s="432"/>
      <c r="AH64" s="432"/>
      <c r="AI64" s="433"/>
    </row>
    <row r="65" spans="2:35" ht="23.1" customHeight="1">
      <c r="B65" s="119"/>
      <c r="C65" s="545"/>
      <c r="D65" s="539"/>
      <c r="E65" s="609"/>
      <c r="F65" s="609"/>
      <c r="G65" s="545"/>
      <c r="H65" s="609"/>
      <c r="I65" s="609"/>
      <c r="J65" s="609"/>
      <c r="K65" s="619"/>
      <c r="L65" s="619"/>
      <c r="M65" s="619"/>
      <c r="N65" s="619"/>
      <c r="O65" s="619"/>
      <c r="P65" s="758"/>
      <c r="Q65" s="616">
        <f t="shared" si="2"/>
        <v>0</v>
      </c>
      <c r="R65" s="973"/>
      <c r="S65" s="974"/>
      <c r="T65" s="108"/>
      <c r="V65" s="430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432"/>
      <c r="AI65" s="433"/>
    </row>
    <row r="66" spans="2:35" ht="23.1" customHeight="1">
      <c r="B66" s="119"/>
      <c r="C66" s="545"/>
      <c r="D66" s="539"/>
      <c r="E66" s="609"/>
      <c r="F66" s="609"/>
      <c r="G66" s="545"/>
      <c r="H66" s="609"/>
      <c r="I66" s="609"/>
      <c r="J66" s="609"/>
      <c r="K66" s="619"/>
      <c r="L66" s="619"/>
      <c r="M66" s="619"/>
      <c r="N66" s="619"/>
      <c r="O66" s="619"/>
      <c r="P66" s="758"/>
      <c r="Q66" s="616">
        <f t="shared" si="2"/>
        <v>0</v>
      </c>
      <c r="R66" s="973"/>
      <c r="S66" s="974"/>
      <c r="T66" s="108"/>
      <c r="V66" s="430"/>
      <c r="W66" s="432"/>
      <c r="X66" s="432"/>
      <c r="Y66" s="432"/>
      <c r="Z66" s="432"/>
      <c r="AA66" s="432"/>
      <c r="AB66" s="432"/>
      <c r="AC66" s="432"/>
      <c r="AD66" s="432"/>
      <c r="AE66" s="432"/>
      <c r="AF66" s="432"/>
      <c r="AG66" s="432"/>
      <c r="AH66" s="432"/>
      <c r="AI66" s="433"/>
    </row>
    <row r="67" spans="2:35" ht="23.1" customHeight="1">
      <c r="B67" s="119"/>
      <c r="C67" s="545"/>
      <c r="D67" s="539"/>
      <c r="E67" s="609"/>
      <c r="F67" s="609"/>
      <c r="G67" s="545"/>
      <c r="H67" s="609"/>
      <c r="I67" s="609"/>
      <c r="J67" s="609"/>
      <c r="K67" s="619"/>
      <c r="L67" s="619"/>
      <c r="M67" s="619"/>
      <c r="N67" s="619"/>
      <c r="O67" s="619"/>
      <c r="P67" s="758"/>
      <c r="Q67" s="616">
        <f t="shared" si="2"/>
        <v>0</v>
      </c>
      <c r="R67" s="973"/>
      <c r="S67" s="974"/>
      <c r="T67" s="108"/>
      <c r="V67" s="430"/>
      <c r="W67" s="432"/>
      <c r="X67" s="432"/>
      <c r="Y67" s="432"/>
      <c r="Z67" s="432"/>
      <c r="AA67" s="432"/>
      <c r="AB67" s="432"/>
      <c r="AC67" s="432"/>
      <c r="AD67" s="432"/>
      <c r="AE67" s="432"/>
      <c r="AF67" s="432"/>
      <c r="AG67" s="432"/>
      <c r="AH67" s="432"/>
      <c r="AI67" s="433"/>
    </row>
    <row r="68" spans="2:35" ht="23.1" customHeight="1">
      <c r="B68" s="119"/>
      <c r="C68" s="545"/>
      <c r="D68" s="539"/>
      <c r="E68" s="609"/>
      <c r="F68" s="609"/>
      <c r="G68" s="545"/>
      <c r="H68" s="609"/>
      <c r="I68" s="609"/>
      <c r="J68" s="609"/>
      <c r="K68" s="619"/>
      <c r="L68" s="619"/>
      <c r="M68" s="619"/>
      <c r="N68" s="619"/>
      <c r="O68" s="619"/>
      <c r="P68" s="758"/>
      <c r="Q68" s="616">
        <f t="shared" si="2"/>
        <v>0</v>
      </c>
      <c r="R68" s="973"/>
      <c r="S68" s="974"/>
      <c r="T68" s="108"/>
      <c r="V68" s="430"/>
      <c r="W68" s="432"/>
      <c r="X68" s="432"/>
      <c r="Y68" s="432"/>
      <c r="Z68" s="432"/>
      <c r="AA68" s="432"/>
      <c r="AB68" s="432"/>
      <c r="AC68" s="432"/>
      <c r="AD68" s="432"/>
      <c r="AE68" s="432"/>
      <c r="AF68" s="432"/>
      <c r="AG68" s="432"/>
      <c r="AH68" s="432"/>
      <c r="AI68" s="433"/>
    </row>
    <row r="69" spans="2:35" ht="23.1" customHeight="1">
      <c r="B69" s="119"/>
      <c r="C69" s="545"/>
      <c r="D69" s="539"/>
      <c r="E69" s="609"/>
      <c r="F69" s="609"/>
      <c r="G69" s="545"/>
      <c r="H69" s="609"/>
      <c r="I69" s="609"/>
      <c r="J69" s="609"/>
      <c r="K69" s="619"/>
      <c r="L69" s="619"/>
      <c r="M69" s="619"/>
      <c r="N69" s="619"/>
      <c r="O69" s="619"/>
      <c r="P69" s="758"/>
      <c r="Q69" s="616">
        <f t="shared" si="2"/>
        <v>0</v>
      </c>
      <c r="R69" s="973"/>
      <c r="S69" s="974"/>
      <c r="T69" s="108"/>
      <c r="V69" s="430"/>
      <c r="W69" s="432"/>
      <c r="X69" s="432"/>
      <c r="Y69" s="432"/>
      <c r="Z69" s="432"/>
      <c r="AA69" s="432"/>
      <c r="AB69" s="432"/>
      <c r="AC69" s="432"/>
      <c r="AD69" s="432"/>
      <c r="AE69" s="432"/>
      <c r="AF69" s="432"/>
      <c r="AG69" s="432"/>
      <c r="AH69" s="432"/>
      <c r="AI69" s="433"/>
    </row>
    <row r="70" spans="2:35" ht="23.1" customHeight="1">
      <c r="B70" s="119"/>
      <c r="C70" s="545"/>
      <c r="D70" s="539"/>
      <c r="E70" s="609"/>
      <c r="F70" s="609"/>
      <c r="G70" s="545"/>
      <c r="H70" s="609"/>
      <c r="I70" s="609"/>
      <c r="J70" s="609"/>
      <c r="K70" s="619"/>
      <c r="L70" s="619"/>
      <c r="M70" s="619"/>
      <c r="N70" s="619"/>
      <c r="O70" s="619"/>
      <c r="P70" s="758"/>
      <c r="Q70" s="616">
        <f t="shared" si="2"/>
        <v>0</v>
      </c>
      <c r="R70" s="973"/>
      <c r="S70" s="974"/>
      <c r="T70" s="108"/>
      <c r="V70" s="430"/>
      <c r="W70" s="432"/>
      <c r="X70" s="432"/>
      <c r="Y70" s="432"/>
      <c r="Z70" s="432"/>
      <c r="AA70" s="432"/>
      <c r="AB70" s="432"/>
      <c r="AC70" s="432"/>
      <c r="AD70" s="432"/>
      <c r="AE70" s="432"/>
      <c r="AF70" s="432"/>
      <c r="AG70" s="432"/>
      <c r="AH70" s="432"/>
      <c r="AI70" s="433"/>
    </row>
    <row r="71" spans="2:35" ht="23.1" customHeight="1">
      <c r="B71" s="119"/>
      <c r="C71" s="545"/>
      <c r="D71" s="539"/>
      <c r="E71" s="609"/>
      <c r="F71" s="609"/>
      <c r="G71" s="545"/>
      <c r="H71" s="609"/>
      <c r="I71" s="609"/>
      <c r="J71" s="609"/>
      <c r="K71" s="619"/>
      <c r="L71" s="619"/>
      <c r="M71" s="619"/>
      <c r="N71" s="619"/>
      <c r="O71" s="619"/>
      <c r="P71" s="758"/>
      <c r="Q71" s="616">
        <f t="shared" si="2"/>
        <v>0</v>
      </c>
      <c r="R71" s="973"/>
      <c r="S71" s="974"/>
      <c r="T71" s="108"/>
      <c r="V71" s="430"/>
      <c r="W71" s="432"/>
      <c r="X71" s="432"/>
      <c r="Y71" s="432"/>
      <c r="Z71" s="432"/>
      <c r="AA71" s="432"/>
      <c r="AB71" s="432"/>
      <c r="AC71" s="432"/>
      <c r="AD71" s="432"/>
      <c r="AE71" s="432"/>
      <c r="AF71" s="432"/>
      <c r="AG71" s="432"/>
      <c r="AH71" s="432"/>
      <c r="AI71" s="433"/>
    </row>
    <row r="72" spans="2:35" ht="23.1" customHeight="1">
      <c r="B72" s="119"/>
      <c r="C72" s="545"/>
      <c r="D72" s="540"/>
      <c r="E72" s="610"/>
      <c r="F72" s="610"/>
      <c r="G72" s="546"/>
      <c r="H72" s="610"/>
      <c r="I72" s="610"/>
      <c r="J72" s="610"/>
      <c r="K72" s="620"/>
      <c r="L72" s="620"/>
      <c r="M72" s="620"/>
      <c r="N72" s="620"/>
      <c r="O72" s="620"/>
      <c r="P72" s="759"/>
      <c r="Q72" s="617">
        <f t="shared" si="2"/>
        <v>0</v>
      </c>
      <c r="R72" s="973"/>
      <c r="S72" s="974"/>
      <c r="T72" s="108"/>
      <c r="V72" s="430"/>
      <c r="W72" s="432"/>
      <c r="X72" s="432"/>
      <c r="Y72" s="432"/>
      <c r="Z72" s="432"/>
      <c r="AA72" s="432"/>
      <c r="AB72" s="432"/>
      <c r="AC72" s="432"/>
      <c r="AD72" s="432"/>
      <c r="AE72" s="432"/>
      <c r="AF72" s="432"/>
      <c r="AG72" s="432"/>
      <c r="AH72" s="432"/>
      <c r="AI72" s="433"/>
    </row>
    <row r="73" spans="2:35" ht="23.1" customHeight="1">
      <c r="B73" s="119"/>
      <c r="C73" s="547"/>
      <c r="D73" s="541"/>
      <c r="E73" s="611"/>
      <c r="F73" s="611"/>
      <c r="G73" s="547"/>
      <c r="H73" s="611"/>
      <c r="I73" s="611"/>
      <c r="J73" s="611"/>
      <c r="K73" s="621"/>
      <c r="L73" s="621"/>
      <c r="M73" s="621"/>
      <c r="N73" s="621"/>
      <c r="O73" s="621"/>
      <c r="P73" s="760"/>
      <c r="Q73" s="618">
        <f t="shared" si="2"/>
        <v>0</v>
      </c>
      <c r="R73" s="975"/>
      <c r="S73" s="976"/>
      <c r="T73" s="108"/>
      <c r="V73" s="430"/>
      <c r="W73" s="432"/>
      <c r="X73" s="432"/>
      <c r="Y73" s="432"/>
      <c r="Z73" s="432"/>
      <c r="AA73" s="432"/>
      <c r="AB73" s="432"/>
      <c r="AC73" s="432"/>
      <c r="AD73" s="432"/>
      <c r="AE73" s="432"/>
      <c r="AF73" s="432"/>
      <c r="AG73" s="432"/>
      <c r="AH73" s="432"/>
      <c r="AI73" s="433"/>
    </row>
    <row r="74" spans="2:35" ht="23.1" customHeight="1" thickBot="1">
      <c r="B74" s="119"/>
      <c r="C74" s="221"/>
      <c r="D74" s="221"/>
      <c r="E74" s="222"/>
      <c r="F74" s="222"/>
      <c r="G74" s="222"/>
      <c r="H74" s="1199" t="s">
        <v>486</v>
      </c>
      <c r="I74" s="1200"/>
      <c r="J74" s="1201"/>
      <c r="K74" s="243">
        <f t="shared" ref="K74:L74" si="3">SUM(K49:K73)</f>
        <v>0</v>
      </c>
      <c r="L74" s="234">
        <f t="shared" si="3"/>
        <v>12153.89</v>
      </c>
      <c r="M74" s="242">
        <f>SUM(M49:M73)</f>
        <v>0</v>
      </c>
      <c r="N74" s="242">
        <f t="shared" ref="N74" si="4">SUM(N49:N73)</f>
        <v>0</v>
      </c>
      <c r="O74" s="243">
        <f>SUM(O49:O73)</f>
        <v>0</v>
      </c>
      <c r="P74" s="243">
        <f>SUM(P49:P73)</f>
        <v>0</v>
      </c>
      <c r="Q74" s="426">
        <f>SUM(Q49:Q73)</f>
        <v>12153.89</v>
      </c>
      <c r="R74" s="242">
        <f>SUM(R49:R73)</f>
        <v>12153.89</v>
      </c>
      <c r="S74" s="179">
        <f>SUM(S49:S73)</f>
        <v>0</v>
      </c>
      <c r="T74" s="108"/>
      <c r="V74" s="430"/>
      <c r="W74" s="432"/>
      <c r="X74" s="432"/>
      <c r="Y74" s="432"/>
      <c r="Z74" s="432"/>
      <c r="AA74" s="432"/>
      <c r="AB74" s="432"/>
      <c r="AC74" s="432"/>
      <c r="AD74" s="432"/>
      <c r="AE74" s="432"/>
      <c r="AF74" s="432"/>
      <c r="AG74" s="432"/>
      <c r="AH74" s="432"/>
      <c r="AI74" s="433"/>
    </row>
    <row r="75" spans="2:35" ht="23.1" customHeight="1">
      <c r="B75" s="119"/>
      <c r="C75" s="221"/>
      <c r="D75" s="221"/>
      <c r="E75" s="222"/>
      <c r="F75" s="222"/>
      <c r="G75" s="222"/>
      <c r="H75" s="889"/>
      <c r="I75" s="889"/>
      <c r="J75" s="889"/>
      <c r="K75" s="222"/>
      <c r="L75" s="222"/>
      <c r="M75" s="222"/>
      <c r="N75" s="222"/>
      <c r="O75" s="222"/>
      <c r="P75" s="222"/>
      <c r="Q75" s="222"/>
      <c r="R75" s="222"/>
      <c r="S75" s="222"/>
      <c r="T75" s="108"/>
      <c r="V75" s="430"/>
      <c r="W75" s="432"/>
      <c r="X75" s="432"/>
      <c r="Y75" s="432"/>
      <c r="Z75" s="432"/>
      <c r="AA75" s="432"/>
      <c r="AB75" s="432"/>
      <c r="AC75" s="432"/>
      <c r="AD75" s="432"/>
      <c r="AE75" s="432"/>
      <c r="AF75" s="432"/>
      <c r="AG75" s="432"/>
      <c r="AH75" s="432"/>
      <c r="AI75" s="433"/>
    </row>
    <row r="76" spans="2:35" s="247" customFormat="1" ht="18" customHeight="1">
      <c r="B76" s="900"/>
      <c r="C76" s="901" t="s">
        <v>416</v>
      </c>
      <c r="D76" s="902"/>
      <c r="E76" s="903"/>
      <c r="F76" s="903"/>
      <c r="G76" s="903"/>
      <c r="H76" s="903"/>
      <c r="I76" s="903"/>
      <c r="J76" s="903"/>
      <c r="K76" s="903"/>
      <c r="L76" s="903"/>
      <c r="M76" s="903"/>
      <c r="N76" s="110"/>
      <c r="O76" s="110"/>
      <c r="P76" s="110"/>
      <c r="Q76" s="110"/>
      <c r="R76" s="110"/>
      <c r="S76" s="110"/>
      <c r="T76" s="250"/>
      <c r="V76" s="443"/>
      <c r="W76" s="444"/>
      <c r="X76" s="444"/>
      <c r="Y76" s="444"/>
      <c r="Z76" s="444"/>
      <c r="AA76" s="444"/>
      <c r="AB76" s="444"/>
      <c r="AC76" s="444"/>
      <c r="AD76" s="444"/>
      <c r="AE76" s="444"/>
      <c r="AF76" s="444"/>
      <c r="AG76" s="444"/>
      <c r="AH76" s="444"/>
      <c r="AI76" s="445"/>
    </row>
    <row r="77" spans="2:35" s="247" customFormat="1" ht="18" customHeight="1">
      <c r="B77" s="900"/>
      <c r="C77" s="902" t="s">
        <v>829</v>
      </c>
      <c r="D77" s="902"/>
      <c r="E77" s="903"/>
      <c r="F77" s="903"/>
      <c r="G77" s="903"/>
      <c r="H77" s="903"/>
      <c r="I77" s="903"/>
      <c r="J77" s="903"/>
      <c r="K77" s="903"/>
      <c r="L77" s="903"/>
      <c r="M77" s="903"/>
      <c r="N77" s="110"/>
      <c r="O77" s="110"/>
      <c r="P77" s="110"/>
      <c r="Q77" s="110"/>
      <c r="R77" s="110"/>
      <c r="S77" s="110"/>
      <c r="T77" s="250"/>
      <c r="V77" s="443"/>
      <c r="W77" s="444"/>
      <c r="X77" s="444"/>
      <c r="Y77" s="444"/>
      <c r="Z77" s="444"/>
      <c r="AA77" s="444"/>
      <c r="AB77" s="444"/>
      <c r="AC77" s="444"/>
      <c r="AD77" s="444"/>
      <c r="AE77" s="444"/>
      <c r="AF77" s="444"/>
      <c r="AG77" s="444"/>
      <c r="AH77" s="444"/>
      <c r="AI77" s="445"/>
    </row>
    <row r="78" spans="2:35" s="247" customFormat="1" ht="18" customHeight="1">
      <c r="B78" s="900"/>
      <c r="C78" s="902" t="s">
        <v>830</v>
      </c>
      <c r="D78" s="902"/>
      <c r="E78" s="903"/>
      <c r="F78" s="903"/>
      <c r="G78" s="903"/>
      <c r="H78" s="903"/>
      <c r="I78" s="903"/>
      <c r="J78" s="903"/>
      <c r="K78" s="903"/>
      <c r="L78" s="903"/>
      <c r="M78" s="903"/>
      <c r="N78" s="110"/>
      <c r="O78" s="110"/>
      <c r="P78" s="110"/>
      <c r="Q78" s="110"/>
      <c r="R78" s="110"/>
      <c r="S78" s="110"/>
      <c r="T78" s="250"/>
      <c r="V78" s="443"/>
      <c r="W78" s="444"/>
      <c r="X78" s="444"/>
      <c r="Y78" s="444"/>
      <c r="Z78" s="444"/>
      <c r="AA78" s="444"/>
      <c r="AB78" s="444"/>
      <c r="AC78" s="444"/>
      <c r="AD78" s="444"/>
      <c r="AE78" s="444"/>
      <c r="AF78" s="444"/>
      <c r="AG78" s="444"/>
      <c r="AH78" s="444"/>
      <c r="AI78" s="445"/>
    </row>
    <row r="79" spans="2:35" s="247" customFormat="1" ht="18" customHeight="1">
      <c r="B79" s="900"/>
      <c r="C79" s="904" t="s">
        <v>808</v>
      </c>
      <c r="D79" s="902"/>
      <c r="E79" s="903"/>
      <c r="F79" s="903"/>
      <c r="G79" s="903"/>
      <c r="H79" s="903"/>
      <c r="I79" s="903"/>
      <c r="J79" s="903"/>
      <c r="K79" s="903"/>
      <c r="L79" s="903"/>
      <c r="M79" s="903"/>
      <c r="N79" s="110"/>
      <c r="O79" s="110"/>
      <c r="P79" s="110"/>
      <c r="Q79" s="110"/>
      <c r="R79" s="110"/>
      <c r="S79" s="110"/>
      <c r="T79" s="250"/>
      <c r="V79" s="443"/>
      <c r="W79" s="444"/>
      <c r="X79" s="444"/>
      <c r="Y79" s="444"/>
      <c r="Z79" s="444"/>
      <c r="AA79" s="444"/>
      <c r="AB79" s="444"/>
      <c r="AC79" s="444"/>
      <c r="AD79" s="444"/>
      <c r="AE79" s="444"/>
      <c r="AF79" s="444"/>
      <c r="AG79" s="444"/>
      <c r="AH79" s="444"/>
      <c r="AI79" s="445"/>
    </row>
    <row r="80" spans="2:35" s="247" customFormat="1" ht="18" customHeight="1">
      <c r="B80" s="900"/>
      <c r="C80" s="247" t="s">
        <v>831</v>
      </c>
      <c r="D80" s="902"/>
      <c r="E80" s="903"/>
      <c r="F80" s="903"/>
      <c r="G80" s="903"/>
      <c r="H80" s="903"/>
      <c r="I80" s="903"/>
      <c r="J80" s="903"/>
      <c r="K80" s="903"/>
      <c r="L80" s="903"/>
      <c r="M80" s="903"/>
      <c r="N80" s="110"/>
      <c r="O80" s="110"/>
      <c r="P80" s="110"/>
      <c r="Q80" s="110"/>
      <c r="R80" s="110"/>
      <c r="S80" s="110"/>
      <c r="T80" s="250"/>
      <c r="V80" s="443"/>
      <c r="W80" s="444"/>
      <c r="X80" s="444"/>
      <c r="Y80" s="444"/>
      <c r="Z80" s="444"/>
      <c r="AA80" s="444"/>
      <c r="AB80" s="444"/>
      <c r="AC80" s="444"/>
      <c r="AD80" s="444"/>
      <c r="AE80" s="444"/>
      <c r="AF80" s="444"/>
      <c r="AG80" s="444"/>
      <c r="AH80" s="444"/>
      <c r="AI80" s="445"/>
    </row>
    <row r="81" spans="2:35" s="247" customFormat="1" ht="18" customHeight="1">
      <c r="B81" s="900"/>
      <c r="C81" s="905" t="s">
        <v>809</v>
      </c>
      <c r="D81" s="902"/>
      <c r="E81" s="906"/>
      <c r="F81" s="906"/>
      <c r="G81" s="906"/>
      <c r="H81" s="906"/>
      <c r="I81" s="906"/>
      <c r="J81" s="906"/>
      <c r="K81" s="906"/>
      <c r="L81" s="906"/>
      <c r="M81" s="906"/>
      <c r="N81" s="110"/>
      <c r="O81" s="110"/>
      <c r="P81" s="110"/>
      <c r="Q81" s="110"/>
      <c r="R81" s="110"/>
      <c r="S81" s="110"/>
      <c r="T81" s="250"/>
      <c r="V81" s="443"/>
      <c r="W81" s="444"/>
      <c r="X81" s="444"/>
      <c r="Y81" s="444"/>
      <c r="Z81" s="444"/>
      <c r="AA81" s="444"/>
      <c r="AB81" s="444"/>
      <c r="AC81" s="444"/>
      <c r="AD81" s="444"/>
      <c r="AE81" s="444"/>
      <c r="AF81" s="444"/>
      <c r="AG81" s="444"/>
      <c r="AH81" s="444"/>
      <c r="AI81" s="445"/>
    </row>
    <row r="82" spans="2:35" s="247" customFormat="1" ht="18" customHeight="1">
      <c r="B82" s="900"/>
      <c r="C82" s="905" t="s">
        <v>810</v>
      </c>
      <c r="D82" s="902"/>
      <c r="E82" s="906"/>
      <c r="F82" s="906"/>
      <c r="G82" s="906"/>
      <c r="H82" s="906"/>
      <c r="I82" s="906"/>
      <c r="J82" s="906"/>
      <c r="K82" s="906"/>
      <c r="L82" s="906"/>
      <c r="M82" s="906"/>
      <c r="N82" s="110"/>
      <c r="O82" s="110"/>
      <c r="P82" s="110"/>
      <c r="Q82" s="110"/>
      <c r="R82" s="110"/>
      <c r="S82" s="110"/>
      <c r="T82" s="250"/>
      <c r="V82" s="443"/>
      <c r="W82" s="444"/>
      <c r="X82" s="444"/>
      <c r="Y82" s="444"/>
      <c r="Z82" s="444"/>
      <c r="AA82" s="444"/>
      <c r="AB82" s="444"/>
      <c r="AC82" s="444"/>
      <c r="AD82" s="444"/>
      <c r="AE82" s="444"/>
      <c r="AF82" s="444"/>
      <c r="AG82" s="444"/>
      <c r="AH82" s="444"/>
      <c r="AI82" s="445"/>
    </row>
    <row r="83" spans="2:35" s="247" customFormat="1" ht="18" customHeight="1">
      <c r="B83" s="900"/>
      <c r="C83" s="905" t="s">
        <v>832</v>
      </c>
      <c r="D83" s="902"/>
      <c r="E83" s="906"/>
      <c r="F83" s="906"/>
      <c r="G83" s="906"/>
      <c r="H83" s="906"/>
      <c r="I83" s="906"/>
      <c r="J83" s="906"/>
      <c r="K83" s="906"/>
      <c r="L83" s="906"/>
      <c r="M83" s="906"/>
      <c r="N83" s="110"/>
      <c r="O83" s="110"/>
      <c r="P83" s="110"/>
      <c r="Q83" s="110"/>
      <c r="R83" s="110"/>
      <c r="S83" s="110"/>
      <c r="T83" s="250"/>
      <c r="V83" s="443"/>
      <c r="W83" s="444"/>
      <c r="X83" s="444"/>
      <c r="Y83" s="444"/>
      <c r="Z83" s="444"/>
      <c r="AA83" s="444"/>
      <c r="AB83" s="444"/>
      <c r="AC83" s="444"/>
      <c r="AD83" s="444"/>
      <c r="AE83" s="444"/>
      <c r="AF83" s="444"/>
      <c r="AG83" s="444"/>
      <c r="AH83" s="444"/>
      <c r="AI83" s="445"/>
    </row>
    <row r="84" spans="2:35" ht="23.1" customHeight="1" thickBot="1">
      <c r="B84" s="123"/>
      <c r="C84" s="1134"/>
      <c r="D84" s="1134"/>
      <c r="E84" s="57"/>
      <c r="F84" s="421"/>
      <c r="G84" s="57"/>
      <c r="H84" s="57"/>
      <c r="I84" s="57"/>
      <c r="J84" s="751"/>
      <c r="K84" s="57"/>
      <c r="L84" s="57"/>
      <c r="M84" s="424"/>
      <c r="N84" s="57"/>
      <c r="O84" s="57"/>
      <c r="P84" s="751"/>
      <c r="Q84" s="57"/>
      <c r="R84" s="57"/>
      <c r="S84" s="57"/>
      <c r="T84" s="125"/>
      <c r="V84" s="446"/>
      <c r="W84" s="447"/>
      <c r="X84" s="447"/>
      <c r="Y84" s="447"/>
      <c r="Z84" s="447"/>
      <c r="AA84" s="447"/>
      <c r="AB84" s="447"/>
      <c r="AC84" s="447"/>
      <c r="AD84" s="447"/>
      <c r="AE84" s="447"/>
      <c r="AF84" s="447"/>
      <c r="AG84" s="447"/>
      <c r="AH84" s="447"/>
      <c r="AI84" s="448"/>
    </row>
    <row r="85" spans="2:35" ht="23.1" customHeight="1">
      <c r="C85" s="106"/>
      <c r="D85" s="106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</row>
    <row r="86" spans="2:35" ht="13.2">
      <c r="C86" s="126" t="s">
        <v>77</v>
      </c>
      <c r="D86" s="106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97" t="s">
        <v>56</v>
      </c>
    </row>
    <row r="87" spans="2:35" ht="13.2">
      <c r="C87" s="127" t="s">
        <v>78</v>
      </c>
      <c r="D87" s="106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</row>
    <row r="88" spans="2:35" ht="13.2">
      <c r="C88" s="127" t="s">
        <v>79</v>
      </c>
      <c r="D88" s="10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</row>
    <row r="89" spans="2:35" ht="13.2">
      <c r="C89" s="127" t="s">
        <v>80</v>
      </c>
      <c r="D89" s="10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</row>
    <row r="90" spans="2:35" ht="13.2">
      <c r="C90" s="127" t="s">
        <v>81</v>
      </c>
      <c r="D90" s="10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</row>
    <row r="91" spans="2:35" ht="23.1" customHeight="1">
      <c r="C91" s="106"/>
      <c r="D91" s="10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</row>
    <row r="92" spans="2:35" ht="23.1" customHeight="1">
      <c r="C92" s="106"/>
      <c r="D92" s="10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</row>
    <row r="93" spans="2:35" ht="23.1" customHeight="1">
      <c r="C93" s="106"/>
      <c r="D93" s="106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</row>
    <row r="94" spans="2:35" ht="23.1" customHeight="1">
      <c r="C94" s="106"/>
      <c r="D94" s="106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</row>
    <row r="95" spans="2:35" ht="23.1" customHeight="1"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29" orientation="portrait" horizontalDpi="4294967292" verticalDpi="4294967292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47"/>
  <sheetViews>
    <sheetView zoomScale="55" zoomScaleNormal="55" zoomScalePageLayoutView="85" workbookViewId="0">
      <selection activeCell="Z51" sqref="Z51"/>
    </sheetView>
  </sheetViews>
  <sheetFormatPr baseColWidth="10" defaultColWidth="10.90625" defaultRowHeight="23.1" customHeight="1"/>
  <cols>
    <col min="1" max="2" width="3.08984375" style="99" customWidth="1"/>
    <col min="3" max="3" width="13.54296875" style="99" customWidth="1"/>
    <col min="4" max="4" width="14.453125" style="99" customWidth="1"/>
    <col min="5" max="5" width="26.90625" style="100" customWidth="1"/>
    <col min="6" max="9" width="13.453125" style="100" customWidth="1"/>
    <col min="10" max="10" width="3.08984375" style="99" customWidth="1"/>
    <col min="11" max="16384" width="10.90625" style="99"/>
  </cols>
  <sheetData>
    <row r="2" spans="2:25" ht="23.1" customHeight="1">
      <c r="D2" s="221" t="s">
        <v>379</v>
      </c>
    </row>
    <row r="3" spans="2:25" ht="23.1" customHeight="1">
      <c r="D3" s="221" t="s">
        <v>380</v>
      </c>
    </row>
    <row r="4" spans="2:25" ht="23.1" customHeight="1" thickBot="1"/>
    <row r="5" spans="2:25" ht="9" customHeight="1">
      <c r="B5" s="101"/>
      <c r="C5" s="102"/>
      <c r="D5" s="102"/>
      <c r="E5" s="103"/>
      <c r="F5" s="103"/>
      <c r="G5" s="103"/>
      <c r="H5" s="103"/>
      <c r="I5" s="103"/>
      <c r="J5" s="104"/>
      <c r="L5" s="427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8"/>
      <c r="X5" s="428"/>
      <c r="Y5" s="429"/>
    </row>
    <row r="6" spans="2:25" ht="30" customHeight="1">
      <c r="B6" s="105"/>
      <c r="C6" s="69" t="s">
        <v>0</v>
      </c>
      <c r="D6" s="106"/>
      <c r="E6" s="107"/>
      <c r="F6" s="107"/>
      <c r="G6" s="107"/>
      <c r="H6" s="107"/>
      <c r="I6" s="1111">
        <f>ejercicio</f>
        <v>2018</v>
      </c>
      <c r="J6" s="108"/>
      <c r="L6" s="430"/>
      <c r="M6" s="431" t="s">
        <v>707</v>
      </c>
      <c r="N6" s="432"/>
      <c r="O6" s="432"/>
      <c r="P6" s="432"/>
      <c r="Q6" s="432"/>
      <c r="R6" s="432"/>
      <c r="S6" s="432"/>
      <c r="T6" s="432"/>
      <c r="U6" s="432"/>
      <c r="V6" s="432"/>
      <c r="W6" s="432"/>
      <c r="X6" s="432"/>
      <c r="Y6" s="433"/>
    </row>
    <row r="7" spans="2:25" ht="30" customHeight="1">
      <c r="B7" s="105"/>
      <c r="C7" s="69" t="s">
        <v>1</v>
      </c>
      <c r="D7" s="106"/>
      <c r="E7" s="107"/>
      <c r="F7" s="107"/>
      <c r="G7" s="107"/>
      <c r="H7" s="107"/>
      <c r="I7" s="1111"/>
      <c r="J7" s="108"/>
      <c r="L7" s="430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3"/>
    </row>
    <row r="8" spans="2:25" ht="30" customHeight="1">
      <c r="B8" s="105"/>
      <c r="C8" s="109"/>
      <c r="D8" s="106"/>
      <c r="E8" s="107"/>
      <c r="F8" s="107"/>
      <c r="G8" s="107"/>
      <c r="H8" s="107"/>
      <c r="I8" s="110"/>
      <c r="J8" s="108"/>
      <c r="L8" s="430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2"/>
      <c r="X8" s="432"/>
      <c r="Y8" s="433"/>
    </row>
    <row r="9" spans="2:25" s="194" customFormat="1" ht="30" customHeight="1">
      <c r="B9" s="192"/>
      <c r="C9" s="56" t="s">
        <v>2</v>
      </c>
      <c r="D9" s="1135" t="str">
        <f>Entidad</f>
        <v>SPET, Turismo de Tenerife, S.A.</v>
      </c>
      <c r="E9" s="1135"/>
      <c r="F9" s="1135"/>
      <c r="G9" s="1135"/>
      <c r="H9" s="1135"/>
      <c r="I9" s="1135"/>
      <c r="J9" s="193"/>
      <c r="L9" s="430"/>
      <c r="M9" s="432"/>
      <c r="N9" s="432"/>
      <c r="O9" s="432"/>
      <c r="P9" s="432"/>
      <c r="Q9" s="432"/>
      <c r="R9" s="432"/>
      <c r="S9" s="432"/>
      <c r="T9" s="432"/>
      <c r="U9" s="432"/>
      <c r="V9" s="432"/>
      <c r="W9" s="432"/>
      <c r="X9" s="432"/>
      <c r="Y9" s="433"/>
    </row>
    <row r="10" spans="2:25" ht="7.35" customHeight="1">
      <c r="B10" s="105"/>
      <c r="C10" s="106"/>
      <c r="D10" s="106"/>
      <c r="E10" s="107"/>
      <c r="F10" s="107"/>
      <c r="G10" s="107"/>
      <c r="H10" s="107"/>
      <c r="I10" s="107"/>
      <c r="J10" s="108"/>
      <c r="L10" s="430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2"/>
      <c r="Y10" s="433"/>
    </row>
    <row r="11" spans="2:25" s="117" customFormat="1" ht="30" customHeight="1">
      <c r="B11" s="113"/>
      <c r="C11" s="114" t="s">
        <v>456</v>
      </c>
      <c r="D11" s="114"/>
      <c r="E11" s="115"/>
      <c r="F11" s="115"/>
      <c r="G11" s="115"/>
      <c r="H11" s="115"/>
      <c r="I11" s="115"/>
      <c r="J11" s="116"/>
      <c r="L11" s="430"/>
      <c r="M11" s="432"/>
      <c r="N11" s="432"/>
      <c r="O11" s="432"/>
      <c r="P11" s="432"/>
      <c r="Q11" s="432"/>
      <c r="R11" s="432"/>
      <c r="S11" s="432"/>
      <c r="T11" s="432"/>
      <c r="U11" s="432"/>
      <c r="V11" s="432"/>
      <c r="W11" s="432"/>
      <c r="X11" s="432"/>
      <c r="Y11" s="433"/>
    </row>
    <row r="12" spans="2:25" s="117" customFormat="1" ht="30" customHeight="1">
      <c r="B12" s="113"/>
      <c r="C12" s="1177"/>
      <c r="D12" s="1177"/>
      <c r="E12" s="98"/>
      <c r="F12" s="98"/>
      <c r="G12" s="98"/>
      <c r="H12" s="98"/>
      <c r="I12" s="98"/>
      <c r="J12" s="116"/>
      <c r="L12" s="430"/>
      <c r="M12" s="432"/>
      <c r="N12" s="432"/>
      <c r="O12" s="432"/>
      <c r="P12" s="432"/>
      <c r="Q12" s="432"/>
      <c r="R12" s="432"/>
      <c r="S12" s="432"/>
      <c r="T12" s="432"/>
      <c r="U12" s="432"/>
      <c r="V12" s="432"/>
      <c r="W12" s="432"/>
      <c r="X12" s="432"/>
      <c r="Y12" s="433"/>
    </row>
    <row r="13" spans="2:25" s="117" customFormat="1" ht="16.350000000000001" customHeight="1">
      <c r="B13" s="113"/>
      <c r="C13" s="226"/>
      <c r="D13" s="229"/>
      <c r="E13" s="230"/>
      <c r="F13" s="227" t="s">
        <v>458</v>
      </c>
      <c r="G13" s="1202" t="s">
        <v>463</v>
      </c>
      <c r="H13" s="1203"/>
      <c r="I13" s="1204"/>
      <c r="J13" s="116"/>
      <c r="L13" s="430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2"/>
      <c r="X13" s="432"/>
      <c r="Y13" s="433"/>
    </row>
    <row r="14" spans="2:25" s="117" customFormat="1" ht="16.350000000000001" customHeight="1">
      <c r="B14" s="113"/>
      <c r="C14" s="228"/>
      <c r="D14" s="231"/>
      <c r="E14" s="232"/>
      <c r="F14" s="210" t="s">
        <v>459</v>
      </c>
      <c r="G14" s="227" t="s">
        <v>460</v>
      </c>
      <c r="H14" s="227" t="s">
        <v>461</v>
      </c>
      <c r="I14" s="227" t="s">
        <v>462</v>
      </c>
      <c r="J14" s="116"/>
      <c r="L14" s="430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2"/>
      <c r="X14" s="432"/>
      <c r="Y14" s="433"/>
    </row>
    <row r="15" spans="2:25" s="194" customFormat="1" ht="16.350000000000001" customHeight="1">
      <c r="B15" s="192"/>
      <c r="C15" s="1205" t="s">
        <v>457</v>
      </c>
      <c r="D15" s="1206"/>
      <c r="E15" s="1207"/>
      <c r="F15" s="205">
        <f>ejercicio</f>
        <v>2018</v>
      </c>
      <c r="G15" s="205">
        <f>ejercicio+1</f>
        <v>2019</v>
      </c>
      <c r="H15" s="205">
        <f>ejercicio+1</f>
        <v>2019</v>
      </c>
      <c r="I15" s="205">
        <f>ejercicio+1</f>
        <v>2019</v>
      </c>
      <c r="J15" s="193"/>
      <c r="L15" s="430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2"/>
      <c r="X15" s="432"/>
      <c r="Y15" s="433"/>
    </row>
    <row r="16" spans="2:25" s="194" customFormat="1" ht="8.1" customHeight="1">
      <c r="B16" s="192"/>
      <c r="C16" s="69"/>
      <c r="D16" s="69"/>
      <c r="E16" s="191"/>
      <c r="F16" s="191"/>
      <c r="G16" s="191"/>
      <c r="H16" s="191"/>
      <c r="I16" s="191"/>
      <c r="J16" s="193"/>
      <c r="L16" s="430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2"/>
      <c r="X16" s="432"/>
      <c r="Y16" s="433"/>
    </row>
    <row r="17" spans="1:25" s="122" customFormat="1" ht="23.1" customHeight="1" thickBot="1">
      <c r="A17" s="194"/>
      <c r="B17" s="192"/>
      <c r="C17" s="166" t="s">
        <v>464</v>
      </c>
      <c r="D17" s="167"/>
      <c r="E17" s="235"/>
      <c r="F17" s="549">
        <v>12153.89</v>
      </c>
      <c r="G17" s="550">
        <v>2013.02</v>
      </c>
      <c r="H17" s="551">
        <v>2018.06</v>
      </c>
      <c r="I17" s="597">
        <v>2023.1</v>
      </c>
      <c r="J17" s="120"/>
      <c r="L17" s="430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2"/>
      <c r="X17" s="432"/>
      <c r="Y17" s="433"/>
    </row>
    <row r="18" spans="1:25" s="122" customFormat="1" ht="9" customHeight="1">
      <c r="A18" s="194"/>
      <c r="B18" s="192"/>
      <c r="C18" s="32"/>
      <c r="D18" s="32"/>
      <c r="E18" s="32"/>
      <c r="F18" s="238"/>
      <c r="G18" s="239"/>
      <c r="H18" s="240"/>
      <c r="I18" s="241"/>
      <c r="J18" s="120"/>
      <c r="L18" s="430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2"/>
      <c r="X18" s="432"/>
      <c r="Y18" s="433"/>
    </row>
    <row r="19" spans="1:25" s="122" customFormat="1" ht="23.1" customHeight="1" thickBot="1">
      <c r="A19" s="194"/>
      <c r="B19" s="192"/>
      <c r="C19" s="166" t="s">
        <v>290</v>
      </c>
      <c r="D19" s="167"/>
      <c r="E19" s="235"/>
      <c r="F19" s="179">
        <f>SUM(F20:F24)</f>
        <v>0</v>
      </c>
      <c r="G19" s="233">
        <f t="shared" ref="G19:I19" si="0">SUM(G20:G24)</f>
        <v>0</v>
      </c>
      <c r="H19" s="234">
        <f t="shared" si="0"/>
        <v>0</v>
      </c>
      <c r="I19" s="242">
        <f t="shared" si="0"/>
        <v>0</v>
      </c>
      <c r="J19" s="120"/>
      <c r="L19" s="430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2"/>
      <c r="X19" s="432"/>
      <c r="Y19" s="433"/>
    </row>
    <row r="20" spans="1:25" s="122" customFormat="1" ht="23.1" customHeight="1">
      <c r="B20" s="119"/>
      <c r="C20" s="187" t="s">
        <v>465</v>
      </c>
      <c r="D20" s="188"/>
      <c r="E20" s="190"/>
      <c r="F20" s="535"/>
      <c r="G20" s="552"/>
      <c r="H20" s="514"/>
      <c r="I20" s="598"/>
      <c r="J20" s="120"/>
      <c r="L20" s="430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3"/>
    </row>
    <row r="21" spans="1:25" s="122" customFormat="1" ht="23.1" customHeight="1">
      <c r="B21" s="119"/>
      <c r="C21" s="187" t="s">
        <v>466</v>
      </c>
      <c r="D21" s="188"/>
      <c r="E21" s="190"/>
      <c r="F21" s="535"/>
      <c r="G21" s="552"/>
      <c r="H21" s="514"/>
      <c r="I21" s="598"/>
      <c r="J21" s="120"/>
      <c r="L21" s="430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2"/>
      <c r="X21" s="432"/>
      <c r="Y21" s="433"/>
    </row>
    <row r="22" spans="1:25" s="122" customFormat="1" ht="23.1" customHeight="1">
      <c r="B22" s="119"/>
      <c r="C22" s="187" t="s">
        <v>467</v>
      </c>
      <c r="D22" s="188"/>
      <c r="E22" s="190"/>
      <c r="F22" s="535"/>
      <c r="G22" s="552"/>
      <c r="H22" s="514"/>
      <c r="I22" s="598"/>
      <c r="J22" s="120"/>
      <c r="L22" s="430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2"/>
      <c r="X22" s="432"/>
      <c r="Y22" s="433"/>
    </row>
    <row r="23" spans="1:25" ht="23.1" customHeight="1">
      <c r="B23" s="119"/>
      <c r="C23" s="162" t="s">
        <v>468</v>
      </c>
      <c r="D23" s="163"/>
      <c r="E23" s="182"/>
      <c r="F23" s="536"/>
      <c r="G23" s="553"/>
      <c r="H23" s="507"/>
      <c r="I23" s="599"/>
      <c r="J23" s="108"/>
      <c r="L23" s="430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2"/>
      <c r="X23" s="432"/>
      <c r="Y23" s="433"/>
    </row>
    <row r="24" spans="1:25" ht="23.1" customHeight="1">
      <c r="B24" s="119"/>
      <c r="C24" s="164" t="s">
        <v>469</v>
      </c>
      <c r="D24" s="165"/>
      <c r="E24" s="183"/>
      <c r="F24" s="538"/>
      <c r="G24" s="554"/>
      <c r="H24" s="511"/>
      <c r="I24" s="600"/>
      <c r="J24" s="108"/>
      <c r="L24" s="430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2"/>
      <c r="X24" s="432"/>
      <c r="Y24" s="433"/>
    </row>
    <row r="25" spans="1:25" ht="8.1" customHeight="1">
      <c r="B25" s="105"/>
      <c r="C25" s="1180"/>
      <c r="D25" s="1180"/>
      <c r="E25" s="1180"/>
      <c r="F25" s="1180"/>
      <c r="G25" s="1180"/>
      <c r="H25" s="1180"/>
      <c r="I25" s="1180"/>
      <c r="J25" s="108"/>
      <c r="L25" s="430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2"/>
      <c r="X25" s="432"/>
      <c r="Y25" s="433"/>
    </row>
    <row r="26" spans="1:25" s="122" customFormat="1" ht="23.1" customHeight="1" thickBot="1">
      <c r="A26" s="194"/>
      <c r="B26" s="192"/>
      <c r="C26" s="166" t="s">
        <v>470</v>
      </c>
      <c r="D26" s="167"/>
      <c r="E26" s="235"/>
      <c r="F26" s="179">
        <f>+SUM(F27:F28)</f>
        <v>0</v>
      </c>
      <c r="G26" s="233">
        <f>SUM(G27:G28)</f>
        <v>0</v>
      </c>
      <c r="H26" s="234">
        <f>SUM(H27:H28)</f>
        <v>0</v>
      </c>
      <c r="I26" s="242">
        <f>SUM(I27:I28)</f>
        <v>0</v>
      </c>
      <c r="J26" s="120"/>
      <c r="L26" s="430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2"/>
      <c r="X26" s="432"/>
      <c r="Y26" s="433"/>
    </row>
    <row r="27" spans="1:25" s="122" customFormat="1" ht="23.1" customHeight="1">
      <c r="B27" s="119"/>
      <c r="C27" s="187" t="s">
        <v>471</v>
      </c>
      <c r="D27" s="188"/>
      <c r="E27" s="190"/>
      <c r="F27" s="535"/>
      <c r="G27" s="601"/>
      <c r="H27" s="602"/>
      <c r="I27" s="598"/>
      <c r="J27" s="120"/>
      <c r="L27" s="430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2"/>
      <c r="X27" s="432"/>
      <c r="Y27" s="433"/>
    </row>
    <row r="28" spans="1:25" ht="23.1" customHeight="1">
      <c r="B28" s="119"/>
      <c r="C28" s="164" t="s">
        <v>472</v>
      </c>
      <c r="D28" s="165"/>
      <c r="E28" s="183"/>
      <c r="F28" s="538"/>
      <c r="G28" s="603"/>
      <c r="H28" s="604"/>
      <c r="I28" s="605"/>
      <c r="J28" s="108"/>
      <c r="L28" s="430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2"/>
      <c r="X28" s="432"/>
      <c r="Y28" s="433"/>
    </row>
    <row r="29" spans="1:25" ht="8.1" customHeight="1">
      <c r="B29" s="105"/>
      <c r="C29" s="1180"/>
      <c r="D29" s="1180"/>
      <c r="E29" s="1180"/>
      <c r="F29" s="1180"/>
      <c r="G29" s="1180"/>
      <c r="H29" s="1180"/>
      <c r="I29" s="1180"/>
      <c r="J29" s="108"/>
      <c r="L29" s="430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2"/>
      <c r="X29" s="432"/>
      <c r="Y29" s="433"/>
    </row>
    <row r="30" spans="1:25" ht="23.1" customHeight="1" thickBot="1">
      <c r="B30" s="119"/>
      <c r="C30" s="166" t="s">
        <v>473</v>
      </c>
      <c r="D30" s="167"/>
      <c r="E30" s="235"/>
      <c r="F30" s="179">
        <f>SUM(F31:F32)</f>
        <v>0</v>
      </c>
      <c r="G30" s="233">
        <f>SUM(G31:G32)</f>
        <v>0</v>
      </c>
      <c r="H30" s="234">
        <f>SUM(H31:H32)</f>
        <v>0</v>
      </c>
      <c r="I30" s="242">
        <f>SUM(I31:I32)</f>
        <v>0</v>
      </c>
      <c r="J30" s="108"/>
      <c r="L30" s="430"/>
      <c r="M30" s="432"/>
      <c r="N30" s="432"/>
      <c r="O30" s="432"/>
      <c r="P30" s="432"/>
      <c r="Q30" s="432"/>
      <c r="R30" s="432"/>
      <c r="S30" s="432"/>
      <c r="T30" s="432"/>
      <c r="U30" s="432"/>
      <c r="V30" s="432"/>
      <c r="W30" s="432"/>
      <c r="X30" s="432"/>
      <c r="Y30" s="433"/>
    </row>
    <row r="31" spans="1:25" ht="23.1" customHeight="1">
      <c r="B31" s="119"/>
      <c r="C31" s="187" t="s">
        <v>471</v>
      </c>
      <c r="D31" s="188"/>
      <c r="E31" s="190"/>
      <c r="F31" s="535"/>
      <c r="G31" s="606"/>
      <c r="H31" s="607"/>
      <c r="I31" s="608"/>
      <c r="J31" s="108"/>
      <c r="L31" s="430"/>
      <c r="M31" s="432"/>
      <c r="N31" s="432"/>
      <c r="O31" s="432"/>
      <c r="P31" s="432"/>
      <c r="Q31" s="432"/>
      <c r="R31" s="432"/>
      <c r="S31" s="432"/>
      <c r="T31" s="432"/>
      <c r="U31" s="432"/>
      <c r="V31" s="432"/>
      <c r="W31" s="432"/>
      <c r="X31" s="432"/>
      <c r="Y31" s="433"/>
    </row>
    <row r="32" spans="1:25" ht="23.1" customHeight="1">
      <c r="B32" s="119"/>
      <c r="C32" s="164" t="s">
        <v>472</v>
      </c>
      <c r="D32" s="165"/>
      <c r="E32" s="183"/>
      <c r="F32" s="538"/>
      <c r="G32" s="603"/>
      <c r="H32" s="604"/>
      <c r="I32" s="605"/>
      <c r="J32" s="108"/>
      <c r="L32" s="430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432"/>
      <c r="X32" s="432"/>
      <c r="Y32" s="433"/>
    </row>
    <row r="33" spans="2:25" ht="23.1" customHeight="1">
      <c r="B33" s="119"/>
      <c r="C33" s="221"/>
      <c r="D33" s="221"/>
      <c r="E33" s="222"/>
      <c r="F33" s="223"/>
      <c r="G33" s="222"/>
      <c r="H33" s="222"/>
      <c r="I33" s="224"/>
      <c r="J33" s="108"/>
      <c r="L33" s="430"/>
      <c r="M33" s="432"/>
      <c r="N33" s="432"/>
      <c r="O33" s="432"/>
      <c r="P33" s="432"/>
      <c r="Q33" s="432"/>
      <c r="R33" s="432"/>
      <c r="S33" s="432"/>
      <c r="T33" s="432"/>
      <c r="U33" s="432"/>
      <c r="V33" s="432"/>
      <c r="W33" s="432"/>
      <c r="X33" s="432"/>
      <c r="Y33" s="433"/>
    </row>
    <row r="34" spans="2:25" ht="23.1" customHeight="1">
      <c r="B34" s="119"/>
      <c r="C34" s="175" t="s">
        <v>416</v>
      </c>
      <c r="D34" s="173"/>
      <c r="E34" s="174"/>
      <c r="F34" s="174"/>
      <c r="G34" s="174"/>
      <c r="H34" s="174"/>
      <c r="I34" s="98"/>
      <c r="J34" s="108"/>
      <c r="L34" s="430"/>
      <c r="M34" s="432"/>
      <c r="N34" s="432"/>
      <c r="O34" s="432"/>
      <c r="P34" s="432"/>
      <c r="Q34" s="432"/>
      <c r="R34" s="432"/>
      <c r="S34" s="432"/>
      <c r="T34" s="432"/>
      <c r="U34" s="432"/>
      <c r="V34" s="432"/>
      <c r="W34" s="432"/>
      <c r="X34" s="432"/>
      <c r="Y34" s="433"/>
    </row>
    <row r="35" spans="2:25" ht="17.399999999999999">
      <c r="B35" s="119"/>
      <c r="C35" s="237" t="s">
        <v>474</v>
      </c>
      <c r="D35" s="173"/>
      <c r="E35" s="174"/>
      <c r="F35" s="174"/>
      <c r="G35" s="174"/>
      <c r="H35" s="174"/>
      <c r="I35" s="98"/>
      <c r="J35" s="108"/>
      <c r="L35" s="430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2"/>
      <c r="X35" s="432"/>
      <c r="Y35" s="433"/>
    </row>
    <row r="36" spans="2:25" ht="23.1" customHeight="1" thickBot="1">
      <c r="B36" s="123"/>
      <c r="C36" s="1134"/>
      <c r="D36" s="1134"/>
      <c r="E36" s="1134"/>
      <c r="F36" s="1134"/>
      <c r="G36" s="57"/>
      <c r="H36" s="57"/>
      <c r="I36" s="124"/>
      <c r="J36" s="125"/>
      <c r="L36" s="446"/>
      <c r="M36" s="447"/>
      <c r="N36" s="447"/>
      <c r="O36" s="447"/>
      <c r="P36" s="447"/>
      <c r="Q36" s="447"/>
      <c r="R36" s="447"/>
      <c r="S36" s="447"/>
      <c r="T36" s="447"/>
      <c r="U36" s="447"/>
      <c r="V36" s="447"/>
      <c r="W36" s="447"/>
      <c r="X36" s="447"/>
      <c r="Y36" s="448"/>
    </row>
    <row r="37" spans="2:25" ht="23.1" customHeight="1">
      <c r="C37" s="106"/>
      <c r="D37" s="106"/>
      <c r="E37" s="107"/>
      <c r="F37" s="107"/>
      <c r="G37" s="107"/>
      <c r="H37" s="107"/>
      <c r="I37" s="107"/>
    </row>
    <row r="38" spans="2:25" ht="13.2">
      <c r="C38" s="126" t="s">
        <v>77</v>
      </c>
      <c r="D38" s="106"/>
      <c r="E38" s="107"/>
      <c r="F38" s="107"/>
      <c r="G38" s="107"/>
      <c r="H38" s="107"/>
      <c r="I38" s="97" t="s">
        <v>58</v>
      </c>
    </row>
    <row r="39" spans="2:25" ht="13.2">
      <c r="C39" s="127" t="s">
        <v>78</v>
      </c>
      <c r="D39" s="106"/>
      <c r="E39" s="107"/>
      <c r="F39" s="107"/>
      <c r="G39" s="107"/>
      <c r="H39" s="107"/>
      <c r="I39" s="107"/>
    </row>
    <row r="40" spans="2:25" ht="13.2">
      <c r="C40" s="127" t="s">
        <v>79</v>
      </c>
      <c r="D40" s="106"/>
      <c r="E40" s="107"/>
      <c r="F40" s="107"/>
      <c r="G40" s="107"/>
      <c r="H40" s="107"/>
      <c r="I40" s="107"/>
    </row>
    <row r="41" spans="2:25" ht="13.2">
      <c r="C41" s="127" t="s">
        <v>80</v>
      </c>
      <c r="D41" s="106"/>
      <c r="E41" s="107"/>
      <c r="F41" s="107"/>
      <c r="G41" s="107"/>
      <c r="H41" s="107"/>
      <c r="I41" s="107"/>
    </row>
    <row r="42" spans="2:25" ht="13.2">
      <c r="C42" s="127" t="s">
        <v>81</v>
      </c>
      <c r="D42" s="106"/>
      <c r="E42" s="107"/>
      <c r="F42" s="107"/>
      <c r="G42" s="107"/>
      <c r="H42" s="107"/>
      <c r="I42" s="107"/>
    </row>
    <row r="43" spans="2:25" ht="23.1" customHeight="1">
      <c r="C43" s="106"/>
      <c r="D43" s="106"/>
      <c r="E43" s="107"/>
      <c r="F43" s="107"/>
      <c r="G43" s="107"/>
      <c r="H43" s="107"/>
      <c r="I43" s="107"/>
    </row>
    <row r="44" spans="2:25" ht="23.1" customHeight="1">
      <c r="C44" s="106"/>
      <c r="D44" s="106"/>
      <c r="E44" s="107"/>
      <c r="F44" s="107"/>
      <c r="G44" s="107"/>
      <c r="H44" s="107"/>
      <c r="I44" s="107"/>
    </row>
    <row r="45" spans="2:25" ht="23.1" customHeight="1">
      <c r="C45" s="106"/>
      <c r="D45" s="106"/>
      <c r="E45" s="107"/>
      <c r="F45" s="107"/>
      <c r="G45" s="107"/>
      <c r="H45" s="107"/>
      <c r="I45" s="107"/>
    </row>
    <row r="46" spans="2:25" ht="23.1" customHeight="1">
      <c r="C46" s="106"/>
      <c r="D46" s="106"/>
      <c r="E46" s="107"/>
      <c r="F46" s="107"/>
      <c r="G46" s="107"/>
      <c r="H46" s="107"/>
      <c r="I46" s="107"/>
    </row>
    <row r="47" spans="2:25" ht="23.1" customHeight="1">
      <c r="F47" s="107"/>
      <c r="G47" s="107"/>
      <c r="H47" s="107"/>
      <c r="I47" s="107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24" type="noConversion"/>
  <printOptions horizontalCentered="1" verticalCentered="1"/>
  <pageMargins left="0.36000000000000004" right="0.36000000000000004" top="0.6100000000000001" bottom="0.6100000000000001" header="0.5" footer="0.5"/>
  <pageSetup paperSize="9" scale="7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35"/>
  <sheetViews>
    <sheetView zoomScale="55" zoomScaleNormal="55" zoomScalePageLayoutView="85" workbookViewId="0">
      <selection activeCell="Z48" sqref="Z48"/>
    </sheetView>
  </sheetViews>
  <sheetFormatPr baseColWidth="10" defaultColWidth="10.90625" defaultRowHeight="23.1" customHeight="1"/>
  <cols>
    <col min="1" max="2" width="3.08984375" style="99" customWidth="1"/>
    <col min="3" max="3" width="13.54296875" style="99" customWidth="1"/>
    <col min="4" max="4" width="33.453125" style="99" customWidth="1"/>
    <col min="5" max="14" width="13.453125" style="100" customWidth="1"/>
    <col min="15" max="15" width="3.08984375" style="99" customWidth="1"/>
    <col min="16" max="16384" width="10.90625" style="99"/>
  </cols>
  <sheetData>
    <row r="2" spans="2:30" ht="23.1" customHeight="1">
      <c r="D2" s="221" t="s">
        <v>379</v>
      </c>
    </row>
    <row r="3" spans="2:30" ht="23.1" customHeight="1">
      <c r="D3" s="221" t="s">
        <v>380</v>
      </c>
    </row>
    <row r="4" spans="2:30" ht="23.1" customHeight="1" thickBot="1"/>
    <row r="5" spans="2:30" ht="9" customHeight="1"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  <c r="Q5" s="452"/>
      <c r="R5" s="453"/>
      <c r="S5" s="453"/>
      <c r="T5" s="453"/>
      <c r="U5" s="453"/>
      <c r="V5" s="453"/>
      <c r="W5" s="453"/>
      <c r="X5" s="453"/>
      <c r="Y5" s="453"/>
      <c r="Z5" s="453"/>
      <c r="AA5" s="453"/>
      <c r="AB5" s="453"/>
      <c r="AC5" s="453"/>
      <c r="AD5" s="454"/>
    </row>
    <row r="6" spans="2:30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07"/>
      <c r="K6" s="107"/>
      <c r="L6" s="107"/>
      <c r="M6" s="107"/>
      <c r="N6" s="1111">
        <f>ejercicio</f>
        <v>2018</v>
      </c>
      <c r="O6" s="108"/>
      <c r="Q6" s="455"/>
      <c r="R6" s="456" t="s">
        <v>707</v>
      </c>
      <c r="S6" s="456"/>
      <c r="T6" s="456"/>
      <c r="U6" s="456"/>
      <c r="V6" s="457"/>
      <c r="W6" s="457"/>
      <c r="X6" s="457"/>
      <c r="Y6" s="457"/>
      <c r="Z6" s="457"/>
      <c r="AA6" s="457"/>
      <c r="AB6" s="457"/>
      <c r="AC6" s="457"/>
      <c r="AD6" s="458"/>
    </row>
    <row r="7" spans="2:30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07"/>
      <c r="K7" s="107"/>
      <c r="L7" s="107"/>
      <c r="M7" s="107"/>
      <c r="N7" s="1111"/>
      <c r="O7" s="108"/>
      <c r="Q7" s="455"/>
      <c r="R7" s="457"/>
      <c r="S7" s="457"/>
      <c r="T7" s="457"/>
      <c r="U7" s="457"/>
      <c r="V7" s="457"/>
      <c r="W7" s="457"/>
      <c r="X7" s="457"/>
      <c r="Y7" s="457"/>
      <c r="Z7" s="457"/>
      <c r="AA7" s="457"/>
      <c r="AB7" s="457"/>
      <c r="AC7" s="457"/>
      <c r="AD7" s="458"/>
    </row>
    <row r="8" spans="2:30" ht="30" customHeight="1">
      <c r="B8" s="105"/>
      <c r="C8" s="109"/>
      <c r="D8" s="106"/>
      <c r="E8" s="107"/>
      <c r="F8" s="107"/>
      <c r="G8" s="107"/>
      <c r="H8" s="107"/>
      <c r="I8" s="107"/>
      <c r="J8" s="107"/>
      <c r="K8" s="107"/>
      <c r="L8" s="107"/>
      <c r="M8" s="107"/>
      <c r="N8" s="110"/>
      <c r="O8" s="108"/>
      <c r="Q8" s="455"/>
      <c r="R8" s="457"/>
      <c r="S8" s="457"/>
      <c r="T8" s="457"/>
      <c r="U8" s="457"/>
      <c r="V8" s="457"/>
      <c r="W8" s="457"/>
      <c r="X8" s="457"/>
      <c r="Y8" s="457"/>
      <c r="Z8" s="457"/>
      <c r="AA8" s="457"/>
      <c r="AB8" s="457"/>
      <c r="AC8" s="457"/>
      <c r="AD8" s="458"/>
    </row>
    <row r="9" spans="2:30" s="194" customFormat="1" ht="30" customHeight="1">
      <c r="B9" s="192"/>
      <c r="C9" s="56" t="s">
        <v>2</v>
      </c>
      <c r="D9" s="1135" t="str">
        <f>Entidad</f>
        <v>SPET, Turismo de Tenerife, S.A.</v>
      </c>
      <c r="E9" s="1135"/>
      <c r="F9" s="1135"/>
      <c r="G9" s="1135"/>
      <c r="H9" s="1135"/>
      <c r="I9" s="1135"/>
      <c r="J9" s="1135"/>
      <c r="K9" s="1135"/>
      <c r="L9" s="1135"/>
      <c r="M9" s="1135"/>
      <c r="N9" s="1135"/>
      <c r="O9" s="193"/>
      <c r="Q9" s="455"/>
      <c r="R9" s="457"/>
      <c r="S9" s="457"/>
      <c r="T9" s="457"/>
      <c r="U9" s="457"/>
      <c r="V9" s="457"/>
      <c r="W9" s="457"/>
      <c r="X9" s="457"/>
      <c r="Y9" s="457"/>
      <c r="Z9" s="457"/>
      <c r="AA9" s="457"/>
      <c r="AB9" s="457"/>
      <c r="AC9" s="457"/>
      <c r="AD9" s="458"/>
    </row>
    <row r="10" spans="2:30" ht="7.35" customHeight="1">
      <c r="B10" s="105"/>
      <c r="C10" s="106"/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8"/>
      <c r="Q10" s="455"/>
      <c r="R10" s="457"/>
      <c r="S10" s="457"/>
      <c r="T10" s="457"/>
      <c r="U10" s="457"/>
      <c r="V10" s="457"/>
      <c r="W10" s="457"/>
      <c r="X10" s="457"/>
      <c r="Y10" s="457"/>
      <c r="Z10" s="457"/>
      <c r="AA10" s="457"/>
      <c r="AB10" s="457"/>
      <c r="AC10" s="457"/>
      <c r="AD10" s="458"/>
    </row>
    <row r="11" spans="2:30" s="117" customFormat="1" ht="30" customHeight="1">
      <c r="B11" s="113"/>
      <c r="C11" s="114" t="s">
        <v>476</v>
      </c>
      <c r="D11" s="114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6"/>
      <c r="Q11" s="455"/>
      <c r="R11" s="457"/>
      <c r="S11" s="457"/>
      <c r="T11" s="457"/>
      <c r="U11" s="457"/>
      <c r="V11" s="457"/>
      <c r="W11" s="457"/>
      <c r="X11" s="457"/>
      <c r="Y11" s="457"/>
      <c r="Z11" s="457"/>
      <c r="AA11" s="457"/>
      <c r="AB11" s="457"/>
      <c r="AC11" s="457"/>
      <c r="AD11" s="458"/>
    </row>
    <row r="12" spans="2:30" s="117" customFormat="1" ht="30" customHeight="1">
      <c r="B12" s="113"/>
      <c r="C12" s="1177"/>
      <c r="D12" s="1177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116"/>
      <c r="Q12" s="455"/>
      <c r="R12" s="457"/>
      <c r="S12" s="457"/>
      <c r="T12" s="457"/>
      <c r="U12" s="457"/>
      <c r="V12" s="457"/>
      <c r="W12" s="457"/>
      <c r="X12" s="457"/>
      <c r="Y12" s="457"/>
      <c r="Z12" s="457"/>
      <c r="AA12" s="457"/>
      <c r="AB12" s="457"/>
      <c r="AC12" s="457"/>
      <c r="AD12" s="458"/>
    </row>
    <row r="13" spans="2:30" s="117" customFormat="1" ht="19.350000000000001" customHeight="1">
      <c r="B13" s="113"/>
      <c r="C13" s="226"/>
      <c r="D13" s="229"/>
      <c r="E13" s="1208" t="s">
        <v>475</v>
      </c>
      <c r="F13" s="1209"/>
      <c r="G13" s="1209"/>
      <c r="H13" s="1209"/>
      <c r="I13" s="1209"/>
      <c r="J13" s="1209"/>
      <c r="K13" s="1209"/>
      <c r="L13" s="1209"/>
      <c r="M13" s="1209"/>
      <c r="N13" s="1210"/>
      <c r="O13" s="116"/>
      <c r="Q13" s="455"/>
      <c r="R13" s="457"/>
      <c r="S13" s="457"/>
      <c r="T13" s="457"/>
      <c r="U13" s="457"/>
      <c r="V13" s="457"/>
      <c r="W13" s="457"/>
      <c r="X13" s="457"/>
      <c r="Y13" s="457"/>
      <c r="Z13" s="457"/>
      <c r="AA13" s="457"/>
      <c r="AB13" s="457"/>
      <c r="AC13" s="457"/>
      <c r="AD13" s="458"/>
    </row>
    <row r="14" spans="2:30" s="194" customFormat="1" ht="19.350000000000001" customHeight="1">
      <c r="B14" s="192"/>
      <c r="C14" s="1205" t="s">
        <v>457</v>
      </c>
      <c r="D14" s="1206"/>
      <c r="E14" s="244">
        <f>ejercicio</f>
        <v>2018</v>
      </c>
      <c r="F14" s="245">
        <f>ejercicio+1</f>
        <v>2019</v>
      </c>
      <c r="G14" s="245">
        <f>ejercicio+2</f>
        <v>2020</v>
      </c>
      <c r="H14" s="245">
        <f>ejercicio+3</f>
        <v>2021</v>
      </c>
      <c r="I14" s="245">
        <f>ejercicio+4</f>
        <v>2022</v>
      </c>
      <c r="J14" s="245">
        <f>ejercicio+5</f>
        <v>2023</v>
      </c>
      <c r="K14" s="245">
        <f>ejercicio+6</f>
        <v>2024</v>
      </c>
      <c r="L14" s="245">
        <f>ejercicio+7</f>
        <v>2025</v>
      </c>
      <c r="M14" s="245">
        <f>ejercicio+8</f>
        <v>2026</v>
      </c>
      <c r="N14" s="246">
        <f>ejercicio+9</f>
        <v>2027</v>
      </c>
      <c r="O14" s="193"/>
      <c r="Q14" s="455"/>
      <c r="R14" s="457"/>
      <c r="S14" s="457"/>
      <c r="T14" s="457"/>
      <c r="U14" s="457"/>
      <c r="V14" s="457"/>
      <c r="W14" s="457"/>
      <c r="X14" s="457"/>
      <c r="Y14" s="457"/>
      <c r="Z14" s="457"/>
      <c r="AA14" s="457"/>
      <c r="AB14" s="457"/>
      <c r="AC14" s="457"/>
      <c r="AD14" s="458"/>
    </row>
    <row r="15" spans="2:30" s="122" customFormat="1" ht="23.1" customHeight="1">
      <c r="B15" s="119"/>
      <c r="C15" s="187" t="s">
        <v>465</v>
      </c>
      <c r="D15" s="188"/>
      <c r="E15" s="502"/>
      <c r="F15" s="503"/>
      <c r="G15" s="503"/>
      <c r="H15" s="503"/>
      <c r="I15" s="503"/>
      <c r="J15" s="503"/>
      <c r="K15" s="503"/>
      <c r="L15" s="503"/>
      <c r="M15" s="503"/>
      <c r="N15" s="970"/>
      <c r="O15" s="120"/>
      <c r="Q15" s="455"/>
      <c r="R15" s="457"/>
      <c r="S15" s="457"/>
      <c r="T15" s="457"/>
      <c r="U15" s="457"/>
      <c r="V15" s="457"/>
      <c r="W15" s="457"/>
      <c r="X15" s="457"/>
      <c r="Y15" s="457"/>
      <c r="Z15" s="457"/>
      <c r="AA15" s="457"/>
      <c r="AB15" s="457"/>
      <c r="AC15" s="457"/>
      <c r="AD15" s="458"/>
    </row>
    <row r="16" spans="2:30" s="122" customFormat="1" ht="23.1" customHeight="1">
      <c r="B16" s="119"/>
      <c r="C16" s="187" t="s">
        <v>466</v>
      </c>
      <c r="D16" s="188"/>
      <c r="E16" s="513"/>
      <c r="F16" s="514"/>
      <c r="G16" s="514"/>
      <c r="H16" s="514"/>
      <c r="I16" s="514"/>
      <c r="J16" s="514"/>
      <c r="K16" s="514"/>
      <c r="L16" s="514"/>
      <c r="M16" s="514"/>
      <c r="N16" s="598"/>
      <c r="O16" s="120"/>
      <c r="Q16" s="455"/>
      <c r="R16" s="457"/>
      <c r="S16" s="457"/>
      <c r="T16" s="457"/>
      <c r="U16" s="457"/>
      <c r="V16" s="457"/>
      <c r="W16" s="457"/>
      <c r="X16" s="457"/>
      <c r="Y16" s="457"/>
      <c r="Z16" s="457"/>
      <c r="AA16" s="457"/>
      <c r="AB16" s="457"/>
      <c r="AC16" s="457"/>
      <c r="AD16" s="458"/>
    </row>
    <row r="17" spans="1:30" s="122" customFormat="1" ht="23.1" customHeight="1">
      <c r="B17" s="119"/>
      <c r="C17" s="187" t="s">
        <v>467</v>
      </c>
      <c r="D17" s="188"/>
      <c r="E17" s="513"/>
      <c r="F17" s="514"/>
      <c r="G17" s="514"/>
      <c r="H17" s="514"/>
      <c r="I17" s="514"/>
      <c r="J17" s="514"/>
      <c r="K17" s="514"/>
      <c r="L17" s="514"/>
      <c r="M17" s="514"/>
      <c r="N17" s="598"/>
      <c r="O17" s="120"/>
      <c r="Q17" s="455"/>
      <c r="R17" s="457"/>
      <c r="S17" s="457"/>
      <c r="T17" s="457"/>
      <c r="U17" s="457"/>
      <c r="V17" s="457"/>
      <c r="W17" s="457"/>
      <c r="X17" s="457"/>
      <c r="Y17" s="457"/>
      <c r="Z17" s="457"/>
      <c r="AA17" s="457"/>
      <c r="AB17" s="457"/>
      <c r="AC17" s="457"/>
      <c r="AD17" s="458"/>
    </row>
    <row r="18" spans="1:30" ht="23.1" customHeight="1">
      <c r="B18" s="119"/>
      <c r="C18" s="162" t="s">
        <v>468</v>
      </c>
      <c r="D18" s="163"/>
      <c r="E18" s="506"/>
      <c r="F18" s="507"/>
      <c r="G18" s="507"/>
      <c r="H18" s="507"/>
      <c r="I18" s="507"/>
      <c r="J18" s="507"/>
      <c r="K18" s="507"/>
      <c r="L18" s="507"/>
      <c r="M18" s="507"/>
      <c r="N18" s="599"/>
      <c r="O18" s="108"/>
      <c r="Q18" s="455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8"/>
    </row>
    <row r="19" spans="1:30" ht="23.1" customHeight="1">
      <c r="B19" s="119"/>
      <c r="C19" s="164" t="s">
        <v>469</v>
      </c>
      <c r="D19" s="165"/>
      <c r="E19" s="510">
        <v>23768.3</v>
      </c>
      <c r="F19" s="511">
        <v>12153.89</v>
      </c>
      <c r="G19" s="511"/>
      <c r="H19" s="511"/>
      <c r="I19" s="511"/>
      <c r="J19" s="511"/>
      <c r="K19" s="511"/>
      <c r="L19" s="511"/>
      <c r="M19" s="511"/>
      <c r="N19" s="600"/>
      <c r="O19" s="108"/>
      <c r="Q19" s="455"/>
      <c r="R19" s="457"/>
      <c r="S19" s="457"/>
      <c r="T19" s="457"/>
      <c r="U19" s="457"/>
      <c r="V19" s="457"/>
      <c r="W19" s="457"/>
      <c r="X19" s="457"/>
      <c r="Y19" s="457"/>
      <c r="Z19" s="457"/>
      <c r="AA19" s="457"/>
      <c r="AB19" s="457"/>
      <c r="AC19" s="457"/>
      <c r="AD19" s="458"/>
    </row>
    <row r="20" spans="1:30" s="122" customFormat="1" ht="23.1" customHeight="1" thickBot="1">
      <c r="A20" s="194"/>
      <c r="B20" s="192"/>
      <c r="C20" s="166" t="s">
        <v>477</v>
      </c>
      <c r="D20" s="167"/>
      <c r="E20" s="243">
        <f>SUM(E15:E19)</f>
        <v>23768.3</v>
      </c>
      <c r="F20" s="234">
        <f t="shared" ref="F20:N20" si="0">SUM(F15:F19)</f>
        <v>12153.89</v>
      </c>
      <c r="G20" s="234">
        <f t="shared" si="0"/>
        <v>0</v>
      </c>
      <c r="H20" s="234">
        <f t="shared" si="0"/>
        <v>0</v>
      </c>
      <c r="I20" s="234">
        <f t="shared" si="0"/>
        <v>0</v>
      </c>
      <c r="J20" s="234">
        <f t="shared" si="0"/>
        <v>0</v>
      </c>
      <c r="K20" s="234">
        <f t="shared" si="0"/>
        <v>0</v>
      </c>
      <c r="L20" s="234">
        <f t="shared" si="0"/>
        <v>0</v>
      </c>
      <c r="M20" s="234">
        <f t="shared" si="0"/>
        <v>0</v>
      </c>
      <c r="N20" s="242">
        <f t="shared" si="0"/>
        <v>0</v>
      </c>
      <c r="O20" s="120"/>
      <c r="Q20" s="455"/>
      <c r="R20" s="457"/>
      <c r="S20" s="457"/>
      <c r="T20" s="457"/>
      <c r="U20" s="457"/>
      <c r="V20" s="457"/>
      <c r="W20" s="457"/>
      <c r="X20" s="457"/>
      <c r="Y20" s="457"/>
      <c r="Z20" s="457"/>
      <c r="AA20" s="457"/>
      <c r="AB20" s="457"/>
      <c r="AC20" s="457"/>
      <c r="AD20" s="458"/>
    </row>
    <row r="21" spans="1:30" ht="23.1" customHeight="1">
      <c r="B21" s="119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4"/>
      <c r="O21" s="108"/>
      <c r="Q21" s="455"/>
      <c r="R21" s="457"/>
      <c r="S21" s="457"/>
      <c r="T21" s="457"/>
      <c r="U21" s="457"/>
      <c r="V21" s="457"/>
      <c r="W21" s="457"/>
      <c r="X21" s="457"/>
      <c r="Y21" s="457"/>
      <c r="Z21" s="457"/>
      <c r="AA21" s="457"/>
      <c r="AB21" s="457"/>
      <c r="AC21" s="457"/>
      <c r="AD21" s="458"/>
    </row>
    <row r="22" spans="1:30" ht="23.1" customHeight="1">
      <c r="B22" s="119"/>
      <c r="C22" s="175" t="s">
        <v>883</v>
      </c>
      <c r="D22" s="173"/>
      <c r="E22" s="174"/>
      <c r="F22" s="174"/>
      <c r="G22" s="174"/>
      <c r="H22" s="174"/>
      <c r="I22" s="174"/>
      <c r="J22" s="174"/>
      <c r="K22" s="174"/>
      <c r="L22" s="174"/>
      <c r="M22" s="174"/>
      <c r="N22" s="98"/>
      <c r="O22" s="108"/>
      <c r="Q22" s="455"/>
      <c r="R22" s="457"/>
      <c r="S22" s="457"/>
      <c r="T22" s="457"/>
      <c r="U22" s="457"/>
      <c r="V22" s="457"/>
      <c r="W22" s="457"/>
      <c r="X22" s="457"/>
      <c r="Y22" s="457"/>
      <c r="Z22" s="457"/>
      <c r="AA22" s="457"/>
      <c r="AB22" s="457"/>
      <c r="AC22" s="457"/>
      <c r="AD22" s="458"/>
    </row>
    <row r="23" spans="1:30" ht="17.399999999999999">
      <c r="B23" s="119"/>
      <c r="C23" s="237" t="s">
        <v>474</v>
      </c>
      <c r="D23" s="173"/>
      <c r="E23" s="174"/>
      <c r="F23" s="174"/>
      <c r="G23" s="174"/>
      <c r="H23" s="174"/>
      <c r="I23" s="174"/>
      <c r="J23" s="174"/>
      <c r="K23" s="174"/>
      <c r="L23" s="174"/>
      <c r="M23" s="174"/>
      <c r="N23" s="98"/>
      <c r="O23" s="108"/>
      <c r="Q23" s="455"/>
      <c r="R23" s="457"/>
      <c r="S23" s="457"/>
      <c r="T23" s="457"/>
      <c r="U23" s="457"/>
      <c r="V23" s="457"/>
      <c r="W23" s="457"/>
      <c r="X23" s="457"/>
      <c r="Y23" s="457"/>
      <c r="Z23" s="457"/>
      <c r="AA23" s="457"/>
      <c r="AB23" s="457"/>
      <c r="AC23" s="457"/>
      <c r="AD23" s="458"/>
    </row>
    <row r="24" spans="1:30" ht="23.1" customHeight="1" thickBot="1">
      <c r="B24" s="123"/>
      <c r="C24" s="1134"/>
      <c r="D24" s="1134"/>
      <c r="E24" s="57"/>
      <c r="F24" s="57"/>
      <c r="G24" s="57"/>
      <c r="H24" s="57"/>
      <c r="I24" s="57"/>
      <c r="J24" s="57"/>
      <c r="K24" s="57"/>
      <c r="L24" s="57"/>
      <c r="M24" s="57"/>
      <c r="N24" s="124"/>
      <c r="O24" s="125"/>
      <c r="Q24" s="449"/>
      <c r="R24" s="450"/>
      <c r="S24" s="450"/>
      <c r="T24" s="450"/>
      <c r="U24" s="450"/>
      <c r="V24" s="450"/>
      <c r="W24" s="450"/>
      <c r="X24" s="450"/>
      <c r="Y24" s="450"/>
      <c r="Z24" s="450"/>
      <c r="AA24" s="450"/>
      <c r="AB24" s="450"/>
      <c r="AC24" s="450"/>
      <c r="AD24" s="451"/>
    </row>
    <row r="25" spans="1:30" ht="23.1" customHeight="1">
      <c r="C25" s="106"/>
      <c r="D25" s="106"/>
      <c r="E25" s="107"/>
      <c r="F25" s="107"/>
      <c r="G25" s="107"/>
      <c r="H25" s="107"/>
      <c r="I25" s="107"/>
      <c r="J25" s="107"/>
      <c r="K25" s="107"/>
      <c r="L25" s="107"/>
      <c r="M25" s="107"/>
      <c r="N25" s="107"/>
    </row>
    <row r="26" spans="1:30" ht="13.2">
      <c r="C26" s="126" t="s">
        <v>77</v>
      </c>
      <c r="D26" s="106"/>
      <c r="E26" s="107"/>
      <c r="F26" s="107"/>
      <c r="G26" s="107"/>
      <c r="H26" s="107"/>
      <c r="I26" s="107"/>
      <c r="J26" s="107"/>
      <c r="K26" s="107"/>
      <c r="L26" s="107"/>
      <c r="M26" s="107"/>
      <c r="N26" s="97" t="s">
        <v>60</v>
      </c>
    </row>
    <row r="27" spans="1:30" ht="13.2">
      <c r="C27" s="127" t="s">
        <v>78</v>
      </c>
      <c r="D27" s="106"/>
      <c r="E27" s="107"/>
      <c r="F27" s="107"/>
      <c r="G27" s="107"/>
      <c r="H27" s="107"/>
      <c r="I27" s="107"/>
      <c r="J27" s="107"/>
      <c r="K27" s="107"/>
      <c r="L27" s="107"/>
      <c r="M27" s="107"/>
      <c r="N27" s="107"/>
    </row>
    <row r="28" spans="1:30" ht="13.2">
      <c r="C28" s="127" t="s">
        <v>79</v>
      </c>
      <c r="D28" s="106"/>
      <c r="E28" s="107"/>
      <c r="F28" s="107"/>
      <c r="G28" s="107"/>
      <c r="H28" s="107"/>
      <c r="I28" s="107"/>
      <c r="J28" s="107"/>
      <c r="K28" s="107"/>
      <c r="L28" s="107"/>
      <c r="M28" s="107"/>
      <c r="N28" s="107"/>
    </row>
    <row r="29" spans="1:30" ht="13.2">
      <c r="C29" s="127" t="s">
        <v>80</v>
      </c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7"/>
    </row>
    <row r="30" spans="1:30" ht="13.2">
      <c r="C30" s="127" t="s">
        <v>81</v>
      </c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</row>
    <row r="31" spans="1:30" ht="23.1" customHeight="1">
      <c r="C31" s="106"/>
      <c r="D31" s="106"/>
      <c r="E31" s="107"/>
      <c r="F31" s="107"/>
      <c r="G31" s="107"/>
      <c r="H31" s="107"/>
      <c r="I31" s="107"/>
      <c r="J31" s="107"/>
      <c r="K31" s="107"/>
      <c r="L31" s="107"/>
      <c r="M31" s="107"/>
      <c r="N31" s="107"/>
    </row>
    <row r="32" spans="1:30" ht="23.1" customHeight="1">
      <c r="C32" s="106"/>
      <c r="D32" s="106"/>
      <c r="E32" s="107"/>
      <c r="F32" s="107"/>
      <c r="G32" s="107"/>
      <c r="H32" s="107"/>
      <c r="I32" s="107"/>
      <c r="J32" s="107"/>
      <c r="K32" s="107"/>
      <c r="L32" s="107"/>
      <c r="M32" s="107"/>
      <c r="N32" s="107"/>
    </row>
    <row r="33" spans="3:14" ht="23.1" customHeight="1">
      <c r="C33" s="106"/>
      <c r="D33" s="106"/>
      <c r="E33" s="107"/>
      <c r="F33" s="107"/>
      <c r="G33" s="107"/>
      <c r="H33" s="107"/>
      <c r="I33" s="107"/>
      <c r="J33" s="107"/>
      <c r="K33" s="107"/>
      <c r="L33" s="107"/>
      <c r="M33" s="107"/>
      <c r="N33" s="107"/>
    </row>
    <row r="34" spans="3:14" ht="23.1" customHeight="1">
      <c r="C34" s="106"/>
      <c r="D34" s="106"/>
      <c r="E34" s="107"/>
      <c r="F34" s="107"/>
      <c r="G34" s="107"/>
      <c r="H34" s="107"/>
      <c r="I34" s="107"/>
      <c r="J34" s="107"/>
      <c r="K34" s="107"/>
      <c r="L34" s="107"/>
      <c r="M34" s="107"/>
      <c r="N34" s="107"/>
    </row>
    <row r="35" spans="3:14" ht="23.1" customHeight="1">
      <c r="E35" s="107"/>
      <c r="F35" s="107"/>
      <c r="G35" s="107"/>
      <c r="H35" s="107"/>
      <c r="I35" s="107"/>
      <c r="J35" s="107"/>
      <c r="K35" s="107"/>
      <c r="L35" s="107"/>
      <c r="M35" s="107"/>
      <c r="N35" s="107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76"/>
  <sheetViews>
    <sheetView zoomScale="70" zoomScaleNormal="70" workbookViewId="0">
      <selection activeCell="V40" sqref="V40"/>
    </sheetView>
  </sheetViews>
  <sheetFormatPr baseColWidth="10" defaultColWidth="10.90625" defaultRowHeight="23.1" customHeight="1"/>
  <cols>
    <col min="1" max="2" width="3.08984375" style="99" customWidth="1"/>
    <col min="3" max="3" width="5.08984375" style="99" customWidth="1"/>
    <col min="4" max="4" width="18.90625" style="99" customWidth="1"/>
    <col min="5" max="5" width="13.08984375" style="99" customWidth="1"/>
    <col min="6" max="10" width="18.90625" style="100" customWidth="1"/>
    <col min="11" max="11" width="3.08984375" style="99" customWidth="1"/>
    <col min="12" max="16384" width="10.90625" style="99"/>
  </cols>
  <sheetData>
    <row r="2" spans="2:26" ht="23.1" customHeight="1">
      <c r="E2" s="221" t="s">
        <v>379</v>
      </c>
    </row>
    <row r="3" spans="2:26" ht="23.1" customHeight="1">
      <c r="E3" s="221" t="s">
        <v>380</v>
      </c>
    </row>
    <row r="4" spans="2:26" ht="23.1" customHeight="1" thickBot="1"/>
    <row r="5" spans="2:26" ht="9" customHeight="1">
      <c r="B5" s="101"/>
      <c r="C5" s="102"/>
      <c r="D5" s="102"/>
      <c r="E5" s="102"/>
      <c r="F5" s="103"/>
      <c r="G5" s="103"/>
      <c r="H5" s="103"/>
      <c r="I5" s="103"/>
      <c r="J5" s="103"/>
      <c r="K5" s="104"/>
      <c r="M5" s="452"/>
      <c r="N5" s="453"/>
      <c r="O5" s="453"/>
      <c r="P5" s="453"/>
      <c r="Q5" s="453"/>
      <c r="R5" s="453"/>
      <c r="S5" s="453"/>
      <c r="T5" s="453"/>
      <c r="U5" s="453"/>
      <c r="V5" s="453"/>
      <c r="W5" s="453"/>
      <c r="X5" s="453"/>
      <c r="Y5" s="453"/>
      <c r="Z5" s="454"/>
    </row>
    <row r="6" spans="2:26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111">
        <f>ejercicio</f>
        <v>2018</v>
      </c>
      <c r="K6" s="108"/>
      <c r="M6" s="455"/>
      <c r="N6" s="456" t="s">
        <v>707</v>
      </c>
      <c r="O6" s="456"/>
      <c r="P6" s="456"/>
      <c r="Q6" s="456"/>
      <c r="R6" s="457"/>
      <c r="S6" s="457"/>
      <c r="T6" s="457"/>
      <c r="U6" s="457"/>
      <c r="V6" s="457"/>
      <c r="W6" s="457"/>
      <c r="X6" s="457"/>
      <c r="Y6" s="457"/>
      <c r="Z6" s="458"/>
    </row>
    <row r="7" spans="2:26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111"/>
      <c r="K7" s="108"/>
      <c r="M7" s="455"/>
      <c r="N7" s="457"/>
      <c r="O7" s="457"/>
      <c r="P7" s="457"/>
      <c r="Q7" s="457"/>
      <c r="R7" s="457"/>
      <c r="S7" s="457"/>
      <c r="T7" s="457"/>
      <c r="U7" s="457"/>
      <c r="V7" s="457"/>
      <c r="W7" s="457"/>
      <c r="X7" s="457"/>
      <c r="Y7" s="457"/>
      <c r="Z7" s="458"/>
    </row>
    <row r="8" spans="2:26" ht="30" customHeight="1">
      <c r="B8" s="105"/>
      <c r="C8" s="109"/>
      <c r="D8" s="106"/>
      <c r="E8" s="107"/>
      <c r="F8" s="107"/>
      <c r="G8" s="107"/>
      <c r="H8" s="107"/>
      <c r="I8" s="107"/>
      <c r="J8" s="110"/>
      <c r="K8" s="108"/>
      <c r="M8" s="455"/>
      <c r="N8" s="457"/>
      <c r="O8" s="457"/>
      <c r="P8" s="457"/>
      <c r="Q8" s="457"/>
      <c r="R8" s="457"/>
      <c r="S8" s="457"/>
      <c r="T8" s="457"/>
      <c r="U8" s="457"/>
      <c r="V8" s="457"/>
      <c r="W8" s="457"/>
      <c r="X8" s="457"/>
      <c r="Y8" s="457"/>
      <c r="Z8" s="458"/>
    </row>
    <row r="9" spans="2:26" s="194" customFormat="1" ht="30" customHeight="1">
      <c r="B9" s="192"/>
      <c r="C9" s="56" t="s">
        <v>2</v>
      </c>
      <c r="D9" s="264"/>
      <c r="E9" s="1135" t="str">
        <f>Entidad</f>
        <v>SPET, Turismo de Tenerife, S.A.</v>
      </c>
      <c r="F9" s="1135"/>
      <c r="G9" s="1135"/>
      <c r="H9" s="1135"/>
      <c r="I9" s="1135"/>
      <c r="J9" s="1135"/>
      <c r="K9" s="108"/>
      <c r="M9" s="455"/>
      <c r="N9" s="1109"/>
      <c r="O9" s="1109"/>
      <c r="P9" s="1109"/>
      <c r="Q9" s="1109"/>
      <c r="R9" s="1109"/>
      <c r="S9" s="1109"/>
      <c r="T9" s="1109"/>
      <c r="U9" s="1110"/>
      <c r="V9" s="457"/>
      <c r="W9" s="457"/>
      <c r="X9" s="457"/>
      <c r="Y9" s="457"/>
      <c r="Z9" s="458"/>
    </row>
    <row r="10" spans="2:26" ht="7.35" customHeight="1">
      <c r="B10" s="105"/>
      <c r="C10" s="106"/>
      <c r="D10" s="106"/>
      <c r="E10" s="107"/>
      <c r="F10" s="107"/>
      <c r="G10" s="107"/>
      <c r="H10" s="107"/>
      <c r="I10" s="107"/>
      <c r="J10" s="106"/>
      <c r="K10" s="108"/>
      <c r="M10" s="455"/>
      <c r="N10" s="1110"/>
      <c r="O10" s="1110"/>
      <c r="P10" s="1110"/>
      <c r="Q10" s="1110"/>
      <c r="R10" s="1110"/>
      <c r="S10" s="1110"/>
      <c r="T10" s="1110"/>
      <c r="U10" s="1110"/>
      <c r="V10" s="457"/>
      <c r="W10" s="457"/>
      <c r="X10" s="457"/>
      <c r="Y10" s="457"/>
      <c r="Z10" s="458"/>
    </row>
    <row r="11" spans="2:26" s="117" customFormat="1" ht="30" customHeight="1">
      <c r="B11" s="113"/>
      <c r="C11" s="114" t="s">
        <v>490</v>
      </c>
      <c r="D11" s="114"/>
      <c r="E11" s="115"/>
      <c r="F11" s="115"/>
      <c r="G11" s="115"/>
      <c r="H11" s="115"/>
      <c r="I11" s="115"/>
      <c r="J11" s="115"/>
      <c r="K11" s="108"/>
      <c r="M11" s="455"/>
      <c r="N11" s="1109"/>
      <c r="O11" s="1109"/>
      <c r="P11" s="1109"/>
      <c r="Q11" s="1109"/>
      <c r="R11" s="1109"/>
      <c r="S11" s="1109"/>
      <c r="T11" s="1109"/>
      <c r="U11" s="1110"/>
      <c r="V11" s="457"/>
      <c r="W11" s="457"/>
      <c r="X11" s="457"/>
      <c r="Y11" s="457"/>
      <c r="Z11" s="458"/>
    </row>
    <row r="12" spans="2:26" s="117" customFormat="1" ht="30" customHeight="1">
      <c r="B12" s="113"/>
      <c r="C12" s="1177"/>
      <c r="D12" s="1177"/>
      <c r="E12" s="98"/>
      <c r="F12" s="98"/>
      <c r="G12" s="98"/>
      <c r="H12" s="98"/>
      <c r="I12" s="98"/>
      <c r="J12" s="263"/>
      <c r="K12" s="108"/>
      <c r="M12" s="455"/>
      <c r="N12" s="457"/>
      <c r="O12" s="457"/>
      <c r="P12" s="457"/>
      <c r="Q12" s="457"/>
      <c r="R12" s="457"/>
      <c r="S12" s="457"/>
      <c r="T12" s="457"/>
      <c r="U12" s="457"/>
      <c r="V12" s="457"/>
      <c r="W12" s="457"/>
      <c r="X12" s="457"/>
      <c r="Y12" s="457"/>
      <c r="Z12" s="458"/>
    </row>
    <row r="13" spans="2:26" ht="29.1" customHeight="1">
      <c r="B13" s="119"/>
      <c r="C13" s="68" t="s">
        <v>515</v>
      </c>
      <c r="D13" s="159"/>
      <c r="E13" s="98"/>
      <c r="F13" s="98"/>
      <c r="G13" s="98"/>
      <c r="H13" s="98"/>
      <c r="I13" s="98"/>
      <c r="J13" s="106"/>
      <c r="K13" s="108"/>
      <c r="M13" s="455"/>
      <c r="N13" s="457"/>
      <c r="O13" s="457"/>
      <c r="P13" s="457"/>
      <c r="Q13" s="457"/>
      <c r="R13" s="457"/>
      <c r="S13" s="457"/>
      <c r="T13" s="457"/>
      <c r="U13" s="457"/>
      <c r="V13" s="457"/>
      <c r="W13" s="457"/>
      <c r="X13" s="457"/>
      <c r="Y13" s="457"/>
      <c r="Z13" s="458"/>
    </row>
    <row r="14" spans="2:26" ht="25.35" customHeight="1">
      <c r="B14" s="119"/>
      <c r="C14" s="622" t="s">
        <v>524</v>
      </c>
      <c r="D14" s="623"/>
      <c r="E14" s="159"/>
      <c r="F14" s="98"/>
      <c r="G14" s="98"/>
      <c r="H14" s="98"/>
      <c r="I14" s="98"/>
      <c r="J14" s="98"/>
      <c r="K14" s="108"/>
      <c r="M14" s="455"/>
      <c r="N14" s="457"/>
      <c r="O14" s="457"/>
      <c r="P14" s="457"/>
      <c r="Q14" s="457"/>
      <c r="R14" s="457"/>
      <c r="S14" s="457"/>
      <c r="T14" s="457"/>
      <c r="U14" s="457"/>
      <c r="V14" s="457"/>
      <c r="W14" s="457"/>
      <c r="X14" s="457"/>
      <c r="Y14" s="457"/>
      <c r="Z14" s="458"/>
    </row>
    <row r="15" spans="2:26" ht="23.1" customHeight="1">
      <c r="B15" s="119"/>
      <c r="C15" s="555" t="s">
        <v>683</v>
      </c>
      <c r="D15" s="221" t="s">
        <v>491</v>
      </c>
      <c r="F15" s="98"/>
      <c r="G15" s="98"/>
      <c r="H15" s="98"/>
      <c r="I15" s="98"/>
      <c r="J15" s="98"/>
      <c r="K15" s="108"/>
      <c r="M15" s="455"/>
      <c r="N15" s="457"/>
      <c r="O15" s="457"/>
      <c r="P15" s="457"/>
      <c r="Q15" s="457"/>
      <c r="R15" s="457"/>
      <c r="S15" s="457"/>
      <c r="T15" s="457"/>
      <c r="U15" s="457"/>
      <c r="V15" s="457"/>
      <c r="W15" s="457"/>
      <c r="X15" s="457"/>
      <c r="Y15" s="457"/>
      <c r="Z15" s="458"/>
    </row>
    <row r="16" spans="2:26" ht="9" customHeight="1">
      <c r="B16" s="119"/>
      <c r="C16" s="158"/>
      <c r="D16" s="221"/>
      <c r="F16" s="98"/>
      <c r="G16" s="98"/>
      <c r="H16" s="98"/>
      <c r="I16" s="98"/>
      <c r="J16" s="98"/>
      <c r="K16" s="108"/>
      <c r="M16" s="455"/>
      <c r="N16" s="457"/>
      <c r="O16" s="457"/>
      <c r="P16" s="457"/>
      <c r="Q16" s="457"/>
      <c r="R16" s="457"/>
      <c r="S16" s="457"/>
      <c r="T16" s="457"/>
      <c r="U16" s="457"/>
      <c r="V16" s="457"/>
      <c r="W16" s="457"/>
      <c r="X16" s="457"/>
      <c r="Y16" s="457"/>
      <c r="Z16" s="458"/>
    </row>
    <row r="17" spans="2:26" ht="23.1" customHeight="1">
      <c r="B17" s="119"/>
      <c r="C17" s="555"/>
      <c r="D17" s="221" t="s">
        <v>492</v>
      </c>
      <c r="F17" s="98"/>
      <c r="G17" s="98"/>
      <c r="H17" s="98"/>
      <c r="I17" s="98"/>
      <c r="J17" s="98"/>
      <c r="K17" s="108"/>
      <c r="M17" s="455"/>
      <c r="N17" s="457"/>
      <c r="O17" s="457"/>
      <c r="P17" s="457"/>
      <c r="Q17" s="457"/>
      <c r="R17" s="457"/>
      <c r="S17" s="457"/>
      <c r="T17" s="457"/>
      <c r="U17" s="457"/>
      <c r="V17" s="457"/>
      <c r="W17" s="457"/>
      <c r="X17" s="457"/>
      <c r="Y17" s="457"/>
      <c r="Z17" s="458"/>
    </row>
    <row r="18" spans="2:26" ht="10.35" customHeight="1">
      <c r="B18" s="119"/>
      <c r="C18" s="158"/>
      <c r="D18" s="221"/>
      <c r="F18" s="98"/>
      <c r="G18" s="98"/>
      <c r="H18" s="98"/>
      <c r="I18" s="98"/>
      <c r="J18" s="98"/>
      <c r="K18" s="108"/>
      <c r="M18" s="455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8"/>
    </row>
    <row r="19" spans="2:26" ht="23.1" customHeight="1">
      <c r="B19" s="119"/>
      <c r="C19" s="555"/>
      <c r="D19" s="221" t="s">
        <v>493</v>
      </c>
      <c r="F19" s="98"/>
      <c r="G19" s="98"/>
      <c r="H19" s="98"/>
      <c r="I19" s="98"/>
      <c r="J19" s="98"/>
      <c r="K19" s="108"/>
      <c r="M19" s="455"/>
      <c r="N19" s="457"/>
      <c r="O19" s="457"/>
      <c r="P19" s="457"/>
      <c r="Q19" s="457"/>
      <c r="R19" s="457"/>
      <c r="S19" s="457"/>
      <c r="T19" s="457"/>
      <c r="U19" s="457"/>
      <c r="V19" s="457"/>
      <c r="W19" s="457"/>
      <c r="X19" s="457"/>
      <c r="Y19" s="457"/>
      <c r="Z19" s="458"/>
    </row>
    <row r="20" spans="2:26" ht="9" customHeight="1">
      <c r="B20" s="119"/>
      <c r="C20" s="158"/>
      <c r="D20" s="221"/>
      <c r="F20" s="98"/>
      <c r="G20" s="98"/>
      <c r="H20" s="98"/>
      <c r="I20" s="98"/>
      <c r="J20" s="98"/>
      <c r="K20" s="108"/>
      <c r="M20" s="455"/>
      <c r="N20" s="457"/>
      <c r="O20" s="457"/>
      <c r="P20" s="457"/>
      <c r="Q20" s="457"/>
      <c r="R20" s="457"/>
      <c r="S20" s="457"/>
      <c r="T20" s="457"/>
      <c r="U20" s="457"/>
      <c r="V20" s="457"/>
      <c r="W20" s="457"/>
      <c r="X20" s="457"/>
      <c r="Y20" s="457"/>
      <c r="Z20" s="458"/>
    </row>
    <row r="21" spans="2:26" ht="23.1" customHeight="1">
      <c r="B21" s="119"/>
      <c r="C21" s="555"/>
      <c r="D21" s="221" t="s">
        <v>494</v>
      </c>
      <c r="F21" s="98"/>
      <c r="G21" s="98"/>
      <c r="H21" s="98"/>
      <c r="I21" s="98"/>
      <c r="J21" s="98"/>
      <c r="K21" s="108"/>
      <c r="M21" s="455"/>
      <c r="N21" s="457"/>
      <c r="O21" s="457"/>
      <c r="P21" s="457"/>
      <c r="Q21" s="457"/>
      <c r="R21" s="457"/>
      <c r="S21" s="457"/>
      <c r="T21" s="457"/>
      <c r="U21" s="457"/>
      <c r="V21" s="457"/>
      <c r="W21" s="457"/>
      <c r="X21" s="457"/>
      <c r="Y21" s="457"/>
      <c r="Z21" s="458"/>
    </row>
    <row r="22" spans="2:26" ht="9" customHeight="1">
      <c r="B22" s="119"/>
      <c r="C22" s="158"/>
      <c r="D22" s="221"/>
      <c r="F22" s="98"/>
      <c r="G22" s="98"/>
      <c r="H22" s="98"/>
      <c r="I22" s="98"/>
      <c r="J22" s="98"/>
      <c r="K22" s="108"/>
      <c r="M22" s="455"/>
      <c r="N22" s="457"/>
      <c r="O22" s="457"/>
      <c r="P22" s="457"/>
      <c r="Q22" s="457"/>
      <c r="R22" s="457"/>
      <c r="S22" s="457"/>
      <c r="T22" s="457"/>
      <c r="U22" s="457"/>
      <c r="V22" s="457"/>
      <c r="W22" s="457"/>
      <c r="X22" s="457"/>
      <c r="Y22" s="457"/>
      <c r="Z22" s="458"/>
    </row>
    <row r="23" spans="2:26" ht="23.1" customHeight="1">
      <c r="B23" s="119"/>
      <c r="C23" s="555"/>
      <c r="D23" s="221" t="s">
        <v>495</v>
      </c>
      <c r="F23" s="98"/>
      <c r="G23" s="98"/>
      <c r="H23" s="98"/>
      <c r="I23" s="98"/>
      <c r="J23" s="98"/>
      <c r="K23" s="108"/>
      <c r="M23" s="455"/>
      <c r="N23" s="457"/>
      <c r="O23" s="457"/>
      <c r="P23" s="457"/>
      <c r="Q23" s="457"/>
      <c r="R23" s="457"/>
      <c r="S23" s="457"/>
      <c r="T23" s="457"/>
      <c r="U23" s="457"/>
      <c r="V23" s="457"/>
      <c r="W23" s="457"/>
      <c r="X23" s="457"/>
      <c r="Y23" s="457"/>
      <c r="Z23" s="458"/>
    </row>
    <row r="24" spans="2:26" ht="23.1" customHeight="1">
      <c r="B24" s="119"/>
      <c r="C24" s="158"/>
      <c r="D24" s="221"/>
      <c r="F24" s="98"/>
      <c r="G24" s="98"/>
      <c r="H24" s="98"/>
      <c r="I24" s="98"/>
      <c r="J24" s="98"/>
      <c r="K24" s="108"/>
      <c r="M24" s="455"/>
      <c r="N24" s="457"/>
      <c r="O24" s="457"/>
      <c r="P24" s="457"/>
      <c r="Q24" s="457"/>
      <c r="R24" s="457"/>
      <c r="S24" s="457"/>
      <c r="T24" s="457"/>
      <c r="U24" s="457"/>
      <c r="V24" s="457"/>
      <c r="W24" s="457"/>
      <c r="X24" s="457"/>
      <c r="Y24" s="457"/>
      <c r="Z24" s="458"/>
    </row>
    <row r="25" spans="2:26" ht="23.1" customHeight="1">
      <c r="B25" s="119"/>
      <c r="C25" s="32"/>
      <c r="D25" s="159"/>
      <c r="E25" s="159"/>
      <c r="F25" s="98"/>
      <c r="G25" s="98"/>
      <c r="H25" s="98"/>
      <c r="I25" s="98"/>
      <c r="J25" s="98"/>
      <c r="K25" s="108"/>
      <c r="M25" s="455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7"/>
      <c r="Y25" s="457"/>
      <c r="Z25" s="458"/>
    </row>
    <row r="26" spans="2:26" ht="23.1" customHeight="1">
      <c r="B26" s="119"/>
      <c r="C26" s="68" t="s">
        <v>498</v>
      </c>
      <c r="E26" s="159"/>
      <c r="F26" s="98"/>
      <c r="G26" s="98"/>
      <c r="H26" s="98"/>
      <c r="I26" s="98"/>
      <c r="J26" s="98"/>
      <c r="K26" s="108"/>
      <c r="M26" s="455"/>
      <c r="N26" s="457"/>
      <c r="O26" s="457"/>
      <c r="P26" s="457"/>
      <c r="Q26" s="457"/>
      <c r="R26" s="457"/>
      <c r="S26" s="457"/>
      <c r="T26" s="457"/>
      <c r="U26" s="457"/>
      <c r="V26" s="457"/>
      <c r="W26" s="457"/>
      <c r="X26" s="457"/>
      <c r="Y26" s="457"/>
      <c r="Z26" s="458"/>
    </row>
    <row r="27" spans="2:26" ht="9" customHeight="1">
      <c r="B27" s="119"/>
      <c r="C27" s="68"/>
      <c r="E27" s="159"/>
      <c r="F27" s="98"/>
      <c r="G27" s="98"/>
      <c r="H27" s="98"/>
      <c r="I27" s="98"/>
      <c r="J27" s="98"/>
      <c r="K27" s="108"/>
      <c r="M27" s="455"/>
      <c r="N27" s="457"/>
      <c r="O27" s="457"/>
      <c r="P27" s="457"/>
      <c r="Q27" s="457"/>
      <c r="R27" s="457"/>
      <c r="S27" s="457"/>
      <c r="T27" s="457"/>
      <c r="U27" s="457"/>
      <c r="V27" s="457"/>
      <c r="W27" s="457"/>
      <c r="X27" s="457"/>
      <c r="Y27" s="457"/>
      <c r="Z27" s="458"/>
    </row>
    <row r="28" spans="2:26" ht="23.1" customHeight="1">
      <c r="B28" s="119"/>
      <c r="C28" s="195" t="str">
        <f>IF(VLOOKUP("X",C15:D23,2,FALSE)="#N/A",VLOOKUP("x",C15:D23,2,FALSE),VLOOKUP("X",C15:D23,2,FALSE))</f>
        <v xml:space="preserve">  Administracion General y Resto de sectores</v>
      </c>
      <c r="D28" s="196"/>
      <c r="E28" s="196"/>
      <c r="F28" s="196"/>
      <c r="G28" s="196"/>
      <c r="H28" s="274"/>
      <c r="I28" s="98"/>
      <c r="J28" s="98"/>
      <c r="K28" s="108"/>
      <c r="M28" s="455"/>
      <c r="N28" s="457"/>
      <c r="O28" s="457"/>
      <c r="P28" s="457"/>
      <c r="Q28" s="457"/>
      <c r="R28" s="457"/>
      <c r="S28" s="457"/>
      <c r="T28" s="457"/>
      <c r="U28" s="457"/>
      <c r="V28" s="457"/>
      <c r="W28" s="457"/>
      <c r="X28" s="457"/>
      <c r="Y28" s="457"/>
      <c r="Z28" s="458"/>
    </row>
    <row r="29" spans="2:26" ht="23.1" customHeight="1">
      <c r="B29" s="119"/>
      <c r="C29" s="32"/>
      <c r="D29" s="159"/>
      <c r="E29" s="159"/>
      <c r="F29" s="98"/>
      <c r="G29" s="98"/>
      <c r="H29" s="98"/>
      <c r="I29" s="98"/>
      <c r="J29" s="98"/>
      <c r="K29" s="108"/>
      <c r="M29" s="455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8"/>
    </row>
    <row r="30" spans="2:26" s="131" customFormat="1" ht="23.1" customHeight="1">
      <c r="B30" s="169"/>
      <c r="C30" s="195" t="s">
        <v>496</v>
      </c>
      <c r="D30" s="186"/>
      <c r="E30" s="212"/>
      <c r="F30" s="197">
        <f>E45</f>
        <v>47</v>
      </c>
      <c r="G30" s="98"/>
      <c r="H30" s="98"/>
      <c r="I30" s="98"/>
      <c r="J30" s="98"/>
      <c r="K30" s="130"/>
      <c r="M30" s="455"/>
      <c r="N30" s="457"/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7"/>
      <c r="Z30" s="458"/>
    </row>
    <row r="31" spans="2:26" s="131" customFormat="1" ht="23.1" customHeight="1">
      <c r="B31" s="169"/>
      <c r="C31" s="280" t="s">
        <v>497</v>
      </c>
      <c r="D31" s="281"/>
      <c r="E31" s="282"/>
      <c r="F31" s="197">
        <f>J45+F53</f>
        <v>2133144.6</v>
      </c>
      <c r="G31" s="98"/>
      <c r="H31" s="98"/>
      <c r="I31" s="98"/>
      <c r="J31" s="98"/>
      <c r="K31" s="130"/>
      <c r="M31" s="455"/>
      <c r="N31" s="457"/>
      <c r="O31" s="457"/>
      <c r="P31" s="457"/>
      <c r="Q31" s="457"/>
      <c r="R31" s="457"/>
      <c r="S31" s="457"/>
      <c r="T31" s="457"/>
      <c r="U31" s="457"/>
      <c r="V31" s="457"/>
      <c r="W31" s="457"/>
      <c r="X31" s="457"/>
      <c r="Y31" s="457"/>
      <c r="Z31" s="458"/>
    </row>
    <row r="32" spans="2:26" ht="23.1" customHeight="1">
      <c r="B32" s="119"/>
      <c r="D32" s="221"/>
      <c r="E32" s="159"/>
      <c r="F32" s="222"/>
      <c r="G32" s="98"/>
      <c r="H32" s="98"/>
      <c r="I32" s="98"/>
      <c r="J32" s="98"/>
      <c r="K32" s="108"/>
      <c r="M32" s="455"/>
      <c r="N32" s="457"/>
      <c r="O32" s="457"/>
      <c r="P32" s="457"/>
      <c r="Q32" s="457"/>
      <c r="R32" s="457"/>
      <c r="S32" s="457"/>
      <c r="T32" s="457"/>
      <c r="U32" s="457"/>
      <c r="V32" s="457"/>
      <c r="W32" s="457"/>
      <c r="X32" s="457"/>
      <c r="Y32" s="457"/>
      <c r="Z32" s="458"/>
    </row>
    <row r="33" spans="2:26" ht="23.1" customHeight="1">
      <c r="B33" s="119"/>
      <c r="C33" s="32"/>
      <c r="D33" s="159"/>
      <c r="E33" s="159"/>
      <c r="F33" s="98"/>
      <c r="G33" s="98"/>
      <c r="H33" s="98"/>
      <c r="I33" s="98"/>
      <c r="J33" s="98"/>
      <c r="K33" s="108"/>
      <c r="M33" s="455"/>
      <c r="N33" s="457"/>
      <c r="O33" s="457"/>
      <c r="P33" s="457"/>
      <c r="Q33" s="457"/>
      <c r="R33" s="457"/>
      <c r="S33" s="457"/>
      <c r="T33" s="457"/>
      <c r="U33" s="457"/>
      <c r="V33" s="457"/>
      <c r="W33" s="457"/>
      <c r="X33" s="457"/>
      <c r="Y33" s="457"/>
      <c r="Z33" s="458"/>
    </row>
    <row r="34" spans="2:26" ht="23.1" customHeight="1">
      <c r="B34" s="119"/>
      <c r="C34" s="68" t="s">
        <v>499</v>
      </c>
      <c r="E34" s="159"/>
      <c r="F34" s="98"/>
      <c r="G34" s="98"/>
      <c r="H34" s="98"/>
      <c r="I34" s="98"/>
      <c r="J34" s="98"/>
      <c r="K34" s="108"/>
      <c r="M34" s="455"/>
      <c r="N34" s="457"/>
      <c r="O34" s="457"/>
      <c r="P34" s="457"/>
      <c r="Q34" s="457"/>
      <c r="R34" s="457"/>
      <c r="S34" s="457"/>
      <c r="T34" s="457"/>
      <c r="U34" s="457"/>
      <c r="V34" s="457"/>
      <c r="W34" s="457"/>
      <c r="X34" s="457"/>
      <c r="Y34" s="457"/>
      <c r="Z34" s="458"/>
    </row>
    <row r="35" spans="2:26" ht="23.1" customHeight="1">
      <c r="B35" s="119"/>
      <c r="C35" s="32"/>
      <c r="D35" s="159"/>
      <c r="E35" s="159"/>
      <c r="F35" s="98"/>
      <c r="G35" s="98"/>
      <c r="H35" s="98"/>
      <c r="I35" s="98"/>
      <c r="J35" s="98"/>
      <c r="K35" s="108"/>
      <c r="M35" s="455"/>
      <c r="N35" s="457"/>
      <c r="O35" s="457"/>
      <c r="P35" s="457"/>
      <c r="Q35" s="457"/>
      <c r="R35" s="457"/>
      <c r="S35" s="457"/>
      <c r="T35" s="457"/>
      <c r="U35" s="457"/>
      <c r="V35" s="457"/>
      <c r="W35" s="457"/>
      <c r="X35" s="457"/>
      <c r="Y35" s="457"/>
      <c r="Z35" s="458"/>
    </row>
    <row r="36" spans="2:26" s="247" customFormat="1" ht="23.1" customHeight="1">
      <c r="B36" s="248"/>
      <c r="C36" s="265"/>
      <c r="D36" s="268"/>
      <c r="E36" s="249"/>
      <c r="F36" s="1166" t="s">
        <v>518</v>
      </c>
      <c r="G36" s="1167"/>
      <c r="H36" s="1167"/>
      <c r="I36" s="1167"/>
      <c r="J36" s="1168"/>
      <c r="K36" s="250"/>
      <c r="M36" s="455"/>
      <c r="N36" s="457"/>
      <c r="O36" s="457"/>
      <c r="P36" s="457"/>
      <c r="Q36" s="457"/>
      <c r="R36" s="457"/>
      <c r="S36" s="457"/>
      <c r="T36" s="457"/>
      <c r="U36" s="457"/>
      <c r="V36" s="457"/>
      <c r="W36" s="457"/>
      <c r="X36" s="457"/>
      <c r="Y36" s="457"/>
      <c r="Z36" s="458"/>
    </row>
    <row r="37" spans="2:26" s="247" customFormat="1" ht="24" customHeight="1">
      <c r="B37" s="248"/>
      <c r="C37" s="1213" t="s">
        <v>500</v>
      </c>
      <c r="D37" s="1214"/>
      <c r="E37" s="252" t="s">
        <v>507</v>
      </c>
      <c r="F37" s="251" t="s">
        <v>509</v>
      </c>
      <c r="G37" s="251" t="s">
        <v>684</v>
      </c>
      <c r="H37" s="251" t="s">
        <v>512</v>
      </c>
      <c r="I37" s="251" t="s">
        <v>514</v>
      </c>
      <c r="J37" s="261" t="s">
        <v>516</v>
      </c>
      <c r="K37" s="250"/>
      <c r="M37" s="455"/>
      <c r="N37" s="457"/>
      <c r="O37" s="457"/>
      <c r="P37" s="457"/>
      <c r="Q37" s="457"/>
      <c r="R37" s="457"/>
      <c r="S37" s="457"/>
      <c r="T37" s="457"/>
      <c r="U37" s="457"/>
      <c r="V37" s="457"/>
      <c r="W37" s="457"/>
      <c r="X37" s="457"/>
      <c r="Y37" s="457"/>
      <c r="Z37" s="458"/>
    </row>
    <row r="38" spans="2:26" s="247" customFormat="1" ht="24" customHeight="1">
      <c r="B38" s="248"/>
      <c r="C38" s="1195" t="s">
        <v>62</v>
      </c>
      <c r="D38" s="1196"/>
      <c r="E38" s="254" t="s">
        <v>508</v>
      </c>
      <c r="F38" s="253" t="s">
        <v>510</v>
      </c>
      <c r="G38" s="253" t="s">
        <v>511</v>
      </c>
      <c r="H38" s="253" t="s">
        <v>513</v>
      </c>
      <c r="I38" s="253" t="s">
        <v>517</v>
      </c>
      <c r="J38" s="256" t="s">
        <v>517</v>
      </c>
      <c r="K38" s="250"/>
      <c r="M38" s="455"/>
      <c r="N38" s="457"/>
      <c r="O38" s="457"/>
      <c r="P38" s="457"/>
      <c r="Q38" s="457"/>
      <c r="R38" s="457"/>
      <c r="S38" s="457"/>
      <c r="T38" s="457"/>
      <c r="U38" s="457"/>
      <c r="V38" s="457"/>
      <c r="W38" s="457"/>
      <c r="X38" s="457"/>
      <c r="Y38" s="457"/>
      <c r="Z38" s="458"/>
    </row>
    <row r="39" spans="2:26" ht="23.1" customHeight="1">
      <c r="B39" s="119"/>
      <c r="C39" s="187" t="s">
        <v>501</v>
      </c>
      <c r="D39" s="271"/>
      <c r="E39" s="1098"/>
      <c r="F39" s="1099"/>
      <c r="G39" s="1099"/>
      <c r="H39" s="1099"/>
      <c r="I39" s="1099"/>
      <c r="J39" s="624">
        <f>SUM(F39:I39)</f>
        <v>0</v>
      </c>
      <c r="K39" s="108"/>
      <c r="M39" s="455"/>
      <c r="N39" s="457"/>
      <c r="O39" s="457"/>
      <c r="P39" s="457"/>
      <c r="Q39" s="457"/>
      <c r="R39" s="457"/>
      <c r="S39" s="457"/>
      <c r="T39" s="457"/>
      <c r="U39" s="457"/>
      <c r="V39" s="457"/>
      <c r="W39" s="457"/>
      <c r="X39" s="457"/>
      <c r="Y39" s="457"/>
      <c r="Z39" s="458"/>
    </row>
    <row r="40" spans="2:26" ht="23.1" customHeight="1">
      <c r="B40" s="119"/>
      <c r="C40" s="187" t="s">
        <v>502</v>
      </c>
      <c r="D40" s="271"/>
      <c r="E40" s="1098">
        <v>1</v>
      </c>
      <c r="F40" s="1099">
        <v>62109.04</v>
      </c>
      <c r="G40" s="1099"/>
      <c r="H40" s="1099"/>
      <c r="I40" s="1099"/>
      <c r="J40" s="624">
        <f>SUM(F40:I40)</f>
        <v>62109.04</v>
      </c>
      <c r="K40" s="108"/>
      <c r="M40" s="455"/>
      <c r="N40" s="457"/>
      <c r="O40" s="457"/>
      <c r="P40" s="457"/>
      <c r="Q40" s="457"/>
      <c r="R40" s="457"/>
      <c r="S40" s="457"/>
      <c r="T40" s="457"/>
      <c r="U40" s="457"/>
      <c r="V40" s="457"/>
      <c r="W40" s="457"/>
      <c r="X40" s="457"/>
      <c r="Y40" s="457"/>
      <c r="Z40" s="458"/>
    </row>
    <row r="41" spans="2:26" ht="23.1" customHeight="1">
      <c r="B41" s="119"/>
      <c r="C41" s="187" t="s">
        <v>503</v>
      </c>
      <c r="D41" s="271"/>
      <c r="E41" s="1098">
        <v>9</v>
      </c>
      <c r="F41" s="1099">
        <f>434423.33-21000</f>
        <v>413423.33</v>
      </c>
      <c r="G41" s="1099">
        <f>21000</f>
        <v>21000</v>
      </c>
      <c r="H41" s="1099"/>
      <c r="I41" s="1099"/>
      <c r="J41" s="624">
        <f t="shared" ref="J41:J44" si="0">SUM(F41:I41)</f>
        <v>434423.33</v>
      </c>
      <c r="K41" s="108"/>
      <c r="M41" s="455"/>
      <c r="N41" s="457"/>
      <c r="O41" s="457"/>
      <c r="P41" s="457"/>
      <c r="Q41" s="457"/>
      <c r="R41" s="457"/>
      <c r="S41" s="457"/>
      <c r="T41" s="457"/>
      <c r="U41" s="457"/>
      <c r="V41" s="457"/>
      <c r="W41" s="457"/>
      <c r="X41" s="457"/>
      <c r="Y41" s="457"/>
      <c r="Z41" s="458"/>
    </row>
    <row r="42" spans="2:26" ht="23.1" customHeight="1">
      <c r="B42" s="119"/>
      <c r="C42" s="187" t="s">
        <v>504</v>
      </c>
      <c r="D42" s="271"/>
      <c r="E42" s="1098">
        <v>27</v>
      </c>
      <c r="F42" s="1099">
        <f>986366.7-20000-75000-40722.18</f>
        <v>850644.5199999999</v>
      </c>
      <c r="G42" s="1099">
        <f>20000-20000</f>
        <v>0</v>
      </c>
      <c r="H42" s="1099"/>
      <c r="I42" s="1099"/>
      <c r="J42" s="624">
        <f t="shared" si="0"/>
        <v>850644.5199999999</v>
      </c>
      <c r="K42" s="108"/>
      <c r="M42" s="455"/>
      <c r="N42" s="457"/>
      <c r="O42" s="457"/>
      <c r="P42" s="457"/>
      <c r="Q42" s="457"/>
      <c r="R42" s="457"/>
      <c r="S42" s="457"/>
      <c r="T42" s="457"/>
      <c r="U42" s="457"/>
      <c r="V42" s="457"/>
      <c r="W42" s="457"/>
      <c r="X42" s="457"/>
      <c r="Y42" s="457"/>
      <c r="Z42" s="458"/>
    </row>
    <row r="43" spans="2:26" ht="23.1" customHeight="1">
      <c r="B43" s="119"/>
      <c r="C43" s="187" t="s">
        <v>505</v>
      </c>
      <c r="D43" s="271"/>
      <c r="E43" s="1098">
        <v>10</v>
      </c>
      <c r="F43" s="1099">
        <f>130448.52+146908.56</f>
        <v>277357.08</v>
      </c>
      <c r="G43" s="1099"/>
      <c r="H43" s="1099"/>
      <c r="I43" s="1099"/>
      <c r="J43" s="624">
        <f t="shared" si="0"/>
        <v>277357.08</v>
      </c>
      <c r="K43" s="108"/>
      <c r="M43" s="455"/>
      <c r="N43" s="457"/>
      <c r="O43" s="457"/>
      <c r="P43" s="457"/>
      <c r="Q43" s="457"/>
      <c r="R43" s="457"/>
      <c r="S43" s="457"/>
      <c r="T43" s="457"/>
      <c r="U43" s="457"/>
      <c r="V43" s="457"/>
      <c r="W43" s="457"/>
      <c r="X43" s="457"/>
      <c r="Y43" s="457"/>
      <c r="Z43" s="458"/>
    </row>
    <row r="44" spans="2:26" ht="23.1" customHeight="1">
      <c r="B44" s="119"/>
      <c r="C44" s="164" t="s">
        <v>506</v>
      </c>
      <c r="D44" s="272"/>
      <c r="E44" s="1100"/>
      <c r="F44" s="1101"/>
      <c r="G44" s="1101">
        <f>75000-75000</f>
        <v>0</v>
      </c>
      <c r="H44" s="1101"/>
      <c r="I44" s="1101"/>
      <c r="J44" s="624">
        <f t="shared" si="0"/>
        <v>0</v>
      </c>
      <c r="K44" s="108"/>
      <c r="M44" s="455"/>
      <c r="N44" s="457"/>
      <c r="O44" s="457"/>
      <c r="P44" s="457"/>
      <c r="Q44" s="457"/>
      <c r="R44" s="457"/>
      <c r="S44" s="457"/>
      <c r="T44" s="457"/>
      <c r="U44" s="457"/>
      <c r="V44" s="457"/>
      <c r="W44" s="457"/>
      <c r="X44" s="457"/>
      <c r="Y44" s="457"/>
      <c r="Z44" s="458"/>
    </row>
    <row r="45" spans="2:26" ht="23.1" customHeight="1" thickBot="1">
      <c r="B45" s="119"/>
      <c r="C45" s="1211" t="s">
        <v>520</v>
      </c>
      <c r="D45" s="1212"/>
      <c r="E45" s="278">
        <f t="shared" ref="E45:J45" si="1">SUM(E39:E44)</f>
        <v>47</v>
      </c>
      <c r="F45" s="278">
        <f t="shared" si="1"/>
        <v>1603533.97</v>
      </c>
      <c r="G45" s="278">
        <f t="shared" si="1"/>
        <v>21000</v>
      </c>
      <c r="H45" s="278">
        <f t="shared" si="1"/>
        <v>0</v>
      </c>
      <c r="I45" s="278">
        <f t="shared" si="1"/>
        <v>0</v>
      </c>
      <c r="J45" s="278">
        <f t="shared" si="1"/>
        <v>1624533.97</v>
      </c>
      <c r="K45" s="108"/>
      <c r="M45" s="455"/>
      <c r="N45" s="457"/>
      <c r="O45" s="457"/>
      <c r="P45" s="457"/>
      <c r="Q45" s="457"/>
      <c r="R45" s="457"/>
      <c r="S45" s="457"/>
      <c r="T45" s="457"/>
      <c r="U45" s="457"/>
      <c r="V45" s="457"/>
      <c r="W45" s="457"/>
      <c r="X45" s="457"/>
      <c r="Y45" s="457"/>
      <c r="Z45" s="458"/>
    </row>
    <row r="46" spans="2:26" ht="23.1" customHeight="1">
      <c r="B46" s="119"/>
      <c r="C46" s="32"/>
      <c r="D46" s="221"/>
      <c r="E46" s="221"/>
      <c r="F46" s="222"/>
      <c r="G46" s="222"/>
      <c r="H46" s="222"/>
      <c r="I46" s="222"/>
      <c r="J46" s="98"/>
      <c r="K46" s="108"/>
      <c r="M46" s="455"/>
      <c r="N46" s="457"/>
      <c r="O46" s="457"/>
      <c r="P46" s="457"/>
      <c r="Q46" s="457"/>
      <c r="R46" s="457"/>
      <c r="S46" s="457"/>
      <c r="T46" s="457"/>
      <c r="U46" s="457"/>
      <c r="V46" s="457"/>
      <c r="W46" s="457"/>
      <c r="X46" s="457"/>
      <c r="Y46" s="457"/>
      <c r="Z46" s="458"/>
    </row>
    <row r="47" spans="2:26" ht="23.1" customHeight="1">
      <c r="B47" s="119"/>
      <c r="C47" s="32"/>
      <c r="D47" s="221"/>
      <c r="E47" s="221"/>
      <c r="F47" s="222"/>
      <c r="G47" s="222"/>
      <c r="H47" s="222"/>
      <c r="I47" s="222"/>
      <c r="J47" s="98"/>
      <c r="K47" s="108"/>
      <c r="M47" s="455"/>
      <c r="N47" s="457"/>
      <c r="O47" s="457"/>
      <c r="P47" s="457"/>
      <c r="Q47" s="457"/>
      <c r="R47" s="457"/>
      <c r="S47" s="457"/>
      <c r="T47" s="457"/>
      <c r="U47" s="457"/>
      <c r="V47" s="457"/>
      <c r="W47" s="457"/>
      <c r="X47" s="457"/>
      <c r="Y47" s="457"/>
      <c r="Z47" s="458"/>
    </row>
    <row r="48" spans="2:26" ht="23.1" customHeight="1">
      <c r="B48" s="119"/>
      <c r="C48" s="68" t="s">
        <v>519</v>
      </c>
      <c r="D48" s="221"/>
      <c r="E48" s="221"/>
      <c r="F48" s="222"/>
      <c r="G48" s="222"/>
      <c r="H48" s="222"/>
      <c r="I48" s="222"/>
      <c r="J48" s="98"/>
      <c r="K48" s="108"/>
      <c r="M48" s="455"/>
      <c r="N48" s="457"/>
      <c r="O48" s="457"/>
      <c r="P48" s="457"/>
      <c r="Q48" s="457"/>
      <c r="R48" s="457"/>
      <c r="S48" s="457"/>
      <c r="T48" s="457"/>
      <c r="U48" s="457"/>
      <c r="V48" s="457"/>
      <c r="W48" s="457"/>
      <c r="X48" s="457"/>
      <c r="Y48" s="457"/>
      <c r="Z48" s="458"/>
    </row>
    <row r="49" spans="2:26" ht="23.1" customHeight="1">
      <c r="B49" s="119"/>
      <c r="C49" s="68"/>
      <c r="D49" s="221"/>
      <c r="E49" s="221"/>
      <c r="F49" s="222"/>
      <c r="G49" s="222"/>
      <c r="H49" s="222"/>
      <c r="I49" s="222"/>
      <c r="J49" s="98"/>
      <c r="K49" s="108"/>
      <c r="M49" s="455"/>
      <c r="N49" s="457"/>
      <c r="O49" s="457"/>
      <c r="P49" s="457"/>
      <c r="Q49" s="457"/>
      <c r="R49" s="457"/>
      <c r="S49" s="457"/>
      <c r="T49" s="457"/>
      <c r="U49" s="457"/>
      <c r="V49" s="457"/>
      <c r="W49" s="457"/>
      <c r="X49" s="457"/>
      <c r="Y49" s="457"/>
      <c r="Z49" s="458"/>
    </row>
    <row r="50" spans="2:26" ht="23.1" customHeight="1">
      <c r="B50" s="119"/>
      <c r="C50" s="1166" t="s">
        <v>457</v>
      </c>
      <c r="D50" s="1167"/>
      <c r="E50" s="1215"/>
      <c r="F50" s="275" t="s">
        <v>484</v>
      </c>
      <c r="G50" s="222"/>
      <c r="H50" s="222"/>
      <c r="I50" s="222"/>
      <c r="J50" s="98"/>
      <c r="K50" s="108"/>
      <c r="M50" s="455"/>
      <c r="N50" s="457"/>
      <c r="O50" s="457"/>
      <c r="P50" s="457"/>
      <c r="Q50" s="457"/>
      <c r="R50" s="457"/>
      <c r="S50" s="457"/>
      <c r="T50" s="457"/>
      <c r="U50" s="457"/>
      <c r="V50" s="457"/>
      <c r="W50" s="457"/>
      <c r="X50" s="457"/>
      <c r="Y50" s="457"/>
      <c r="Z50" s="458"/>
    </row>
    <row r="51" spans="2:26" s="194" customFormat="1" ht="23.1" customHeight="1">
      <c r="B51" s="192"/>
      <c r="C51" s="277" t="s">
        <v>521</v>
      </c>
      <c r="D51" s="276"/>
      <c r="E51" s="276"/>
      <c r="F51" s="625"/>
      <c r="G51" s="222"/>
      <c r="H51" s="222"/>
      <c r="I51" s="222"/>
      <c r="J51" s="155"/>
      <c r="K51" s="193"/>
      <c r="M51" s="455"/>
      <c r="N51" s="457"/>
      <c r="O51" s="457"/>
      <c r="P51" s="457"/>
      <c r="Q51" s="457"/>
      <c r="R51" s="457"/>
      <c r="S51" s="457"/>
      <c r="T51" s="457"/>
      <c r="U51" s="457"/>
      <c r="V51" s="457"/>
      <c r="W51" s="457"/>
      <c r="X51" s="457"/>
      <c r="Y51" s="457"/>
      <c r="Z51" s="458"/>
    </row>
    <row r="52" spans="2:26" s="194" customFormat="1" ht="23.1" customHeight="1">
      <c r="B52" s="192"/>
      <c r="C52" s="277" t="s">
        <v>522</v>
      </c>
      <c r="D52" s="276"/>
      <c r="E52" s="276"/>
      <c r="F52" s="1102">
        <v>508610.63</v>
      </c>
      <c r="G52" s="222"/>
      <c r="H52" s="222"/>
      <c r="I52" s="222"/>
      <c r="J52" s="155"/>
      <c r="K52" s="193"/>
      <c r="M52" s="455"/>
      <c r="N52" s="457"/>
      <c r="O52" s="457"/>
      <c r="P52" s="457"/>
      <c r="Q52" s="457"/>
      <c r="R52" s="457"/>
      <c r="S52" s="457"/>
      <c r="T52" s="457"/>
      <c r="U52" s="457"/>
      <c r="V52" s="457"/>
      <c r="W52" s="457"/>
      <c r="X52" s="457"/>
      <c r="Y52" s="457"/>
      <c r="Z52" s="458"/>
    </row>
    <row r="53" spans="2:26" ht="23.1" customHeight="1" thickBot="1">
      <c r="B53" s="119"/>
      <c r="C53" s="1211" t="s">
        <v>520</v>
      </c>
      <c r="D53" s="1216"/>
      <c r="E53" s="279"/>
      <c r="F53" s="278">
        <f>SUM(F51:F52)</f>
        <v>508610.63</v>
      </c>
      <c r="G53" s="222"/>
      <c r="H53" s="222"/>
      <c r="I53" s="222"/>
      <c r="J53" s="155"/>
      <c r="K53" s="108"/>
      <c r="M53" s="455"/>
      <c r="N53" s="457"/>
      <c r="O53" s="457"/>
      <c r="P53" s="457"/>
      <c r="Q53" s="457"/>
      <c r="R53" s="457"/>
      <c r="S53" s="457"/>
      <c r="T53" s="457"/>
      <c r="U53" s="457"/>
      <c r="V53" s="457"/>
      <c r="W53" s="457"/>
      <c r="X53" s="457"/>
      <c r="Y53" s="457"/>
      <c r="Z53" s="458"/>
    </row>
    <row r="54" spans="2:26" ht="23.1" customHeight="1">
      <c r="B54" s="119"/>
      <c r="C54" s="32"/>
      <c r="D54" s="221"/>
      <c r="E54" s="221"/>
      <c r="F54" s="222"/>
      <c r="G54" s="222"/>
      <c r="H54" s="222"/>
      <c r="I54" s="222"/>
      <c r="J54" s="155"/>
      <c r="K54" s="108"/>
      <c r="M54" s="455"/>
      <c r="N54" s="457"/>
      <c r="O54" s="457"/>
      <c r="P54" s="457"/>
      <c r="Q54" s="457"/>
      <c r="R54" s="457"/>
      <c r="S54" s="457"/>
      <c r="T54" s="457"/>
      <c r="U54" s="457"/>
      <c r="V54" s="457"/>
      <c r="W54" s="457"/>
      <c r="X54" s="457"/>
      <c r="Y54" s="457"/>
      <c r="Z54" s="458"/>
    </row>
    <row r="55" spans="2:26" ht="23.1" customHeight="1">
      <c r="B55" s="119"/>
      <c r="C55" s="32"/>
      <c r="D55" s="221"/>
      <c r="E55" s="221"/>
      <c r="F55" s="222"/>
      <c r="G55" s="222"/>
      <c r="H55" s="222"/>
      <c r="I55" s="222"/>
      <c r="J55" s="155"/>
      <c r="K55" s="108"/>
      <c r="M55" s="455"/>
      <c r="N55" s="457"/>
      <c r="O55" s="457"/>
      <c r="P55" s="457"/>
      <c r="Q55" s="457"/>
      <c r="R55" s="457"/>
      <c r="S55" s="457"/>
      <c r="T55" s="457"/>
      <c r="U55" s="457"/>
      <c r="V55" s="457"/>
      <c r="W55" s="457"/>
      <c r="X55" s="457"/>
      <c r="Y55" s="457"/>
      <c r="Z55" s="458"/>
    </row>
    <row r="56" spans="2:26" ht="23.1" customHeight="1">
      <c r="B56" s="119"/>
      <c r="C56" s="68" t="s">
        <v>523</v>
      </c>
      <c r="D56" s="221"/>
      <c r="E56" s="221"/>
      <c r="F56" s="222"/>
      <c r="G56" s="222"/>
      <c r="H56" s="222"/>
      <c r="I56" s="222"/>
      <c r="J56" s="98"/>
      <c r="K56" s="108"/>
      <c r="M56" s="455"/>
      <c r="N56" s="457"/>
      <c r="O56" s="457"/>
      <c r="P56" s="457"/>
      <c r="Q56" s="457"/>
      <c r="R56" s="457"/>
      <c r="S56" s="457"/>
      <c r="T56" s="457"/>
      <c r="U56" s="457"/>
      <c r="V56" s="457"/>
      <c r="W56" s="457"/>
      <c r="X56" s="457"/>
      <c r="Y56" s="457"/>
      <c r="Z56" s="458"/>
    </row>
    <row r="57" spans="2:26" ht="23.1" customHeight="1">
      <c r="B57" s="119"/>
      <c r="C57" s="1072" t="s">
        <v>955</v>
      </c>
      <c r="D57" s="626"/>
      <c r="E57" s="626"/>
      <c r="F57" s="626"/>
      <c r="G57" s="626"/>
      <c r="H57" s="626"/>
      <c r="I57" s="626"/>
      <c r="J57" s="627"/>
      <c r="K57" s="108"/>
      <c r="M57" s="455"/>
      <c r="N57" s="457"/>
      <c r="O57" s="457"/>
      <c r="P57" s="457"/>
      <c r="Q57" s="457"/>
      <c r="R57" s="457"/>
      <c r="S57" s="457"/>
      <c r="T57" s="457"/>
      <c r="U57" s="457"/>
      <c r="V57" s="457"/>
      <c r="W57" s="457"/>
      <c r="X57" s="457"/>
      <c r="Y57" s="457"/>
      <c r="Z57" s="458"/>
    </row>
    <row r="58" spans="2:26" ht="23.1" customHeight="1">
      <c r="B58" s="119"/>
      <c r="C58" s="1073" t="s">
        <v>956</v>
      </c>
      <c r="D58" s="628"/>
      <c r="E58" s="628"/>
      <c r="F58" s="628"/>
      <c r="G58" s="628"/>
      <c r="H58" s="628"/>
      <c r="I58" s="628"/>
      <c r="J58" s="629"/>
      <c r="K58" s="108"/>
      <c r="M58" s="455"/>
      <c r="N58" s="457"/>
      <c r="O58" s="457"/>
      <c r="P58" s="457"/>
      <c r="Q58" s="457"/>
      <c r="R58" s="457"/>
      <c r="S58" s="457"/>
      <c r="T58" s="457"/>
      <c r="U58" s="457"/>
      <c r="V58" s="457"/>
      <c r="W58" s="457"/>
      <c r="X58" s="457"/>
      <c r="Y58" s="457"/>
      <c r="Z58" s="458"/>
    </row>
    <row r="59" spans="2:26" ht="23.1" customHeight="1">
      <c r="B59" s="119"/>
      <c r="C59" s="1073" t="s">
        <v>957</v>
      </c>
      <c r="D59" s="628"/>
      <c r="E59" s="628"/>
      <c r="F59" s="628"/>
      <c r="G59" s="628"/>
      <c r="H59" s="628"/>
      <c r="I59" s="628"/>
      <c r="J59" s="629"/>
      <c r="K59" s="108"/>
      <c r="M59" s="455"/>
      <c r="N59" s="457"/>
      <c r="O59" s="457"/>
      <c r="P59" s="457"/>
      <c r="Q59" s="457"/>
      <c r="R59" s="457"/>
      <c r="S59" s="457"/>
      <c r="T59" s="457"/>
      <c r="U59" s="457"/>
      <c r="V59" s="457"/>
      <c r="W59" s="457"/>
      <c r="X59" s="457"/>
      <c r="Y59" s="457"/>
      <c r="Z59" s="458"/>
    </row>
    <row r="60" spans="2:26" ht="23.1" customHeight="1">
      <c r="B60" s="119"/>
      <c r="C60" s="630"/>
      <c r="D60" s="631"/>
      <c r="E60" s="631"/>
      <c r="F60" s="631"/>
      <c r="G60" s="631"/>
      <c r="H60" s="631"/>
      <c r="I60" s="631"/>
      <c r="J60" s="632"/>
      <c r="K60" s="108"/>
      <c r="M60" s="455"/>
      <c r="N60" s="457"/>
      <c r="O60" s="457"/>
      <c r="P60" s="457"/>
      <c r="Q60" s="457"/>
      <c r="R60" s="457"/>
      <c r="S60" s="457"/>
      <c r="T60" s="457"/>
      <c r="U60" s="457"/>
      <c r="V60" s="457"/>
      <c r="W60" s="457"/>
      <c r="X60" s="457"/>
      <c r="Y60" s="457"/>
      <c r="Z60" s="458"/>
    </row>
    <row r="61" spans="2:26" ht="23.1" customHeight="1">
      <c r="B61" s="119"/>
      <c r="C61" s="1042"/>
      <c r="D61" s="1042"/>
      <c r="E61" s="1042"/>
      <c r="F61" s="1042"/>
      <c r="G61" s="1042"/>
      <c r="H61" s="1042"/>
      <c r="I61" s="1042"/>
      <c r="J61" s="1042"/>
      <c r="K61" s="108"/>
      <c r="M61" s="455"/>
      <c r="N61" s="457"/>
      <c r="O61" s="457"/>
      <c r="P61" s="457"/>
      <c r="Q61" s="457"/>
      <c r="R61" s="457"/>
      <c r="S61" s="457"/>
      <c r="T61" s="457"/>
      <c r="U61" s="457"/>
      <c r="V61" s="457"/>
      <c r="W61" s="457"/>
      <c r="X61" s="457"/>
      <c r="Y61" s="457"/>
      <c r="Z61" s="458"/>
    </row>
    <row r="62" spans="2:26" ht="23.1" customHeight="1">
      <c r="B62" s="119"/>
      <c r="C62" s="1043" t="s">
        <v>856</v>
      </c>
      <c r="D62" s="1042"/>
      <c r="E62" s="1042"/>
      <c r="F62" s="1042"/>
      <c r="G62" s="1042"/>
      <c r="H62" s="1042"/>
      <c r="I62" s="1042"/>
      <c r="J62" s="1042"/>
      <c r="K62" s="108"/>
      <c r="M62" s="455"/>
      <c r="N62" s="457"/>
      <c r="O62" s="457"/>
      <c r="P62" s="457"/>
      <c r="Q62" s="457"/>
      <c r="R62" s="457"/>
      <c r="S62" s="457"/>
      <c r="T62" s="457"/>
      <c r="U62" s="457"/>
      <c r="V62" s="457"/>
      <c r="W62" s="457"/>
      <c r="X62" s="457"/>
      <c r="Y62" s="457"/>
      <c r="Z62" s="458"/>
    </row>
    <row r="63" spans="2:26" ht="23.1" customHeight="1">
      <c r="B63" s="119"/>
      <c r="C63" s="1044" t="s">
        <v>882</v>
      </c>
      <c r="D63" s="1042"/>
      <c r="E63" s="1042"/>
      <c r="F63" s="1042"/>
      <c r="G63" s="1042"/>
      <c r="H63" s="1042"/>
      <c r="I63" s="1042"/>
      <c r="J63" s="1042"/>
      <c r="K63" s="108"/>
      <c r="M63" s="455"/>
      <c r="N63" s="457"/>
      <c r="O63" s="457"/>
      <c r="P63" s="457"/>
      <c r="Q63" s="457"/>
      <c r="R63" s="457"/>
      <c r="S63" s="457"/>
      <c r="T63" s="457"/>
      <c r="U63" s="457"/>
      <c r="V63" s="457"/>
      <c r="W63" s="457"/>
      <c r="X63" s="457"/>
      <c r="Y63" s="457"/>
      <c r="Z63" s="458"/>
    </row>
    <row r="64" spans="2:26" ht="23.1" customHeight="1">
      <c r="B64" s="119"/>
      <c r="C64" s="1042"/>
      <c r="D64" s="1042"/>
      <c r="E64" s="1042"/>
      <c r="F64" s="1042"/>
      <c r="G64" s="1042"/>
      <c r="H64" s="1042"/>
      <c r="I64" s="1042"/>
      <c r="J64" s="1042"/>
      <c r="K64" s="108"/>
      <c r="M64" s="455"/>
      <c r="N64" s="457"/>
      <c r="O64" s="457"/>
      <c r="P64" s="457"/>
      <c r="Q64" s="457"/>
      <c r="R64" s="457"/>
      <c r="S64" s="457"/>
      <c r="T64" s="457"/>
      <c r="U64" s="457"/>
      <c r="V64" s="457"/>
      <c r="W64" s="457"/>
      <c r="X64" s="457"/>
      <c r="Y64" s="457"/>
      <c r="Z64" s="458"/>
    </row>
    <row r="65" spans="2:26" ht="23.1" customHeight="1" thickBot="1">
      <c r="B65" s="123"/>
      <c r="C65" s="57"/>
      <c r="D65" s="1134"/>
      <c r="E65" s="1134"/>
      <c r="F65" s="57"/>
      <c r="G65" s="57"/>
      <c r="H65" s="57"/>
      <c r="I65" s="57"/>
      <c r="J65" s="124"/>
      <c r="K65" s="125"/>
      <c r="M65" s="449"/>
      <c r="N65" s="450"/>
      <c r="O65" s="450"/>
      <c r="P65" s="450"/>
      <c r="Q65" s="450"/>
      <c r="R65" s="450"/>
      <c r="S65" s="450"/>
      <c r="T65" s="450"/>
      <c r="U65" s="450"/>
      <c r="V65" s="450"/>
      <c r="W65" s="450"/>
      <c r="X65" s="450"/>
      <c r="Y65" s="450"/>
      <c r="Z65" s="451"/>
    </row>
    <row r="66" spans="2:26" ht="23.1" customHeight="1">
      <c r="D66" s="106"/>
      <c r="E66" s="106"/>
      <c r="F66" s="107"/>
      <c r="G66" s="107"/>
      <c r="H66" s="107"/>
      <c r="I66" s="107"/>
      <c r="J66" s="107"/>
    </row>
    <row r="67" spans="2:26" ht="13.2">
      <c r="D67" s="126" t="s">
        <v>77</v>
      </c>
      <c r="E67" s="106"/>
      <c r="F67" s="107"/>
      <c r="G67" s="107"/>
      <c r="H67" s="107"/>
      <c r="I67" s="107"/>
      <c r="J67" s="97" t="s">
        <v>61</v>
      </c>
    </row>
    <row r="68" spans="2:26" ht="13.2">
      <c r="D68" s="127" t="s">
        <v>78</v>
      </c>
      <c r="E68" s="106"/>
      <c r="F68" s="107"/>
      <c r="G68" s="107"/>
      <c r="H68" s="107"/>
      <c r="I68" s="107"/>
      <c r="J68" s="107"/>
    </row>
    <row r="69" spans="2:26" ht="13.2">
      <c r="D69" s="127" t="s">
        <v>79</v>
      </c>
      <c r="E69" s="106"/>
      <c r="F69" s="107"/>
      <c r="G69" s="107"/>
      <c r="H69" s="107"/>
      <c r="I69" s="107"/>
      <c r="J69" s="107"/>
    </row>
    <row r="70" spans="2:26" ht="13.2">
      <c r="D70" s="127" t="s">
        <v>80</v>
      </c>
      <c r="E70" s="106"/>
      <c r="F70" s="107"/>
      <c r="G70" s="107"/>
      <c r="H70" s="107"/>
      <c r="I70" s="107"/>
      <c r="J70" s="107"/>
    </row>
    <row r="71" spans="2:26" ht="13.2">
      <c r="D71" s="127" t="s">
        <v>81</v>
      </c>
      <c r="E71" s="106"/>
      <c r="F71" s="107"/>
      <c r="G71" s="107"/>
      <c r="H71" s="107"/>
      <c r="I71" s="107"/>
      <c r="J71" s="107"/>
    </row>
    <row r="72" spans="2:26" ht="23.1" customHeight="1">
      <c r="D72" s="106"/>
      <c r="E72" s="106"/>
      <c r="F72" s="107"/>
      <c r="G72" s="107"/>
      <c r="H72" s="107"/>
      <c r="I72" s="107"/>
      <c r="J72" s="107"/>
    </row>
    <row r="73" spans="2:26" ht="23.1" customHeight="1">
      <c r="D73" s="106"/>
      <c r="E73" s="106"/>
      <c r="F73" s="107"/>
      <c r="G73" s="107"/>
      <c r="H73" s="107"/>
      <c r="I73" s="107"/>
      <c r="J73" s="107"/>
    </row>
    <row r="74" spans="2:26" ht="23.1" customHeight="1">
      <c r="D74" s="106"/>
      <c r="E74" s="106"/>
      <c r="F74" s="107"/>
      <c r="G74" s="107"/>
      <c r="H74" s="107"/>
      <c r="I74" s="107"/>
      <c r="J74" s="107"/>
    </row>
    <row r="75" spans="2:26" ht="23.1" customHeight="1">
      <c r="D75" s="106"/>
      <c r="E75" s="106"/>
      <c r="F75" s="107"/>
      <c r="G75" s="107"/>
      <c r="H75" s="107"/>
      <c r="I75" s="107"/>
      <c r="J75" s="107"/>
    </row>
    <row r="76" spans="2:26" ht="23.1" customHeight="1">
      <c r="F76" s="107"/>
      <c r="G76" s="107"/>
      <c r="H76" s="107"/>
      <c r="I76" s="107"/>
      <c r="J76" s="107"/>
    </row>
  </sheetData>
  <sheetProtection password="E059" sheet="1" objects="1" scenarios="1"/>
  <mergeCells count="10">
    <mergeCell ref="J6:J7"/>
    <mergeCell ref="C12:D12"/>
    <mergeCell ref="C45:D45"/>
    <mergeCell ref="D65:E65"/>
    <mergeCell ref="E9:J9"/>
    <mergeCell ref="C37:D37"/>
    <mergeCell ref="C38:D38"/>
    <mergeCell ref="F36:J36"/>
    <mergeCell ref="C50:E50"/>
    <mergeCell ref="C53:D53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4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86"/>
  <sheetViews>
    <sheetView zoomScale="40" zoomScaleNormal="40" zoomScalePageLayoutView="85" workbookViewId="0">
      <selection activeCell="AG66" sqref="AG66"/>
    </sheetView>
  </sheetViews>
  <sheetFormatPr baseColWidth="10" defaultColWidth="10.90625" defaultRowHeight="23.1" customHeight="1"/>
  <cols>
    <col min="1" max="2" width="3.08984375" style="99" customWidth="1"/>
    <col min="3" max="3" width="13.54296875" style="99" customWidth="1"/>
    <col min="4" max="4" width="66.08984375" style="99" customWidth="1"/>
    <col min="5" max="5" width="14.08984375" style="100" customWidth="1"/>
    <col min="6" max="6" width="2.90625" style="100" customWidth="1"/>
    <col min="7" max="7" width="79.08984375" style="100" customWidth="1"/>
    <col min="8" max="8" width="14.08984375" style="100" customWidth="1"/>
    <col min="9" max="9" width="3.08984375" style="99" customWidth="1"/>
    <col min="10" max="16384" width="10.90625" style="99"/>
  </cols>
  <sheetData>
    <row r="2" spans="2:24" ht="23.1" customHeight="1">
      <c r="D2" s="221" t="s">
        <v>379</v>
      </c>
    </row>
    <row r="3" spans="2:24" ht="23.1" customHeight="1">
      <c r="D3" s="221" t="s">
        <v>380</v>
      </c>
    </row>
    <row r="4" spans="2:24" ht="23.1" customHeight="1" thickBot="1"/>
    <row r="5" spans="2:24" ht="9" customHeight="1">
      <c r="B5" s="101"/>
      <c r="C5" s="102"/>
      <c r="D5" s="102"/>
      <c r="E5" s="103"/>
      <c r="F5" s="103"/>
      <c r="G5" s="103"/>
      <c r="H5" s="103"/>
      <c r="I5" s="104"/>
      <c r="K5" s="452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3"/>
      <c r="W5" s="453"/>
      <c r="X5" s="454"/>
    </row>
    <row r="6" spans="2:24" ht="30" customHeight="1">
      <c r="B6" s="105"/>
      <c r="C6" s="69" t="s">
        <v>0</v>
      </c>
      <c r="D6" s="106"/>
      <c r="E6" s="107"/>
      <c r="F6" s="107"/>
      <c r="G6" s="107"/>
      <c r="H6" s="1111">
        <f>ejercicio</f>
        <v>2018</v>
      </c>
      <c r="I6" s="108"/>
      <c r="K6" s="455"/>
      <c r="L6" s="456" t="s">
        <v>707</v>
      </c>
      <c r="M6" s="456"/>
      <c r="N6" s="456"/>
      <c r="O6" s="456"/>
      <c r="P6" s="457"/>
      <c r="Q6" s="457"/>
      <c r="R6" s="457"/>
      <c r="S6" s="457"/>
      <c r="T6" s="457"/>
      <c r="U6" s="457"/>
      <c r="V6" s="457"/>
      <c r="W6" s="457"/>
      <c r="X6" s="458"/>
    </row>
    <row r="7" spans="2:24" ht="30" customHeight="1">
      <c r="B7" s="105"/>
      <c r="C7" s="69" t="s">
        <v>1</v>
      </c>
      <c r="D7" s="106"/>
      <c r="E7" s="107"/>
      <c r="F7" s="107"/>
      <c r="G7" s="107"/>
      <c r="H7" s="1111"/>
      <c r="I7" s="108"/>
      <c r="K7" s="455"/>
      <c r="L7" s="457"/>
      <c r="M7" s="457"/>
      <c r="N7" s="457"/>
      <c r="O7" s="457"/>
      <c r="P7" s="457"/>
      <c r="Q7" s="457"/>
      <c r="R7" s="457"/>
      <c r="S7" s="457"/>
      <c r="T7" s="457"/>
      <c r="U7" s="457"/>
      <c r="V7" s="457"/>
      <c r="W7" s="457"/>
      <c r="X7" s="458"/>
    </row>
    <row r="8" spans="2:24" ht="30" customHeight="1">
      <c r="B8" s="105"/>
      <c r="C8" s="109"/>
      <c r="D8" s="106"/>
      <c r="E8" s="107"/>
      <c r="F8" s="107"/>
      <c r="G8" s="107"/>
      <c r="H8" s="110"/>
      <c r="I8" s="108"/>
      <c r="K8" s="455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7"/>
      <c r="W8" s="457"/>
      <c r="X8" s="458"/>
    </row>
    <row r="9" spans="2:24" s="194" customFormat="1" ht="30" customHeight="1">
      <c r="B9" s="192"/>
      <c r="C9" s="56" t="s">
        <v>2</v>
      </c>
      <c r="D9" s="1135" t="str">
        <f>Entidad</f>
        <v>SPET, Turismo de Tenerife, S.A.</v>
      </c>
      <c r="E9" s="1135"/>
      <c r="F9" s="1135"/>
      <c r="G9" s="1135"/>
      <c r="H9" s="1135"/>
      <c r="I9" s="193"/>
      <c r="K9" s="455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7"/>
      <c r="W9" s="457"/>
      <c r="X9" s="458"/>
    </row>
    <row r="10" spans="2:24" ht="7.35" customHeight="1">
      <c r="B10" s="105"/>
      <c r="C10" s="106"/>
      <c r="D10" s="106"/>
      <c r="E10" s="107"/>
      <c r="F10" s="107"/>
      <c r="G10" s="107"/>
      <c r="H10" s="107"/>
      <c r="I10" s="108"/>
      <c r="K10" s="455"/>
      <c r="L10" s="457"/>
      <c r="M10" s="457"/>
      <c r="N10" s="457"/>
      <c r="O10" s="457"/>
      <c r="P10" s="457"/>
      <c r="Q10" s="457"/>
      <c r="R10" s="457"/>
      <c r="S10" s="457"/>
      <c r="T10" s="457"/>
      <c r="U10" s="457"/>
      <c r="V10" s="457"/>
      <c r="W10" s="457"/>
      <c r="X10" s="458"/>
    </row>
    <row r="11" spans="2:24" s="117" customFormat="1" ht="30" customHeight="1">
      <c r="B11" s="113"/>
      <c r="C11" s="114" t="s">
        <v>527</v>
      </c>
      <c r="D11" s="114"/>
      <c r="E11" s="115"/>
      <c r="F11" s="115"/>
      <c r="G11" s="115"/>
      <c r="H11" s="115"/>
      <c r="I11" s="116"/>
      <c r="K11" s="455"/>
      <c r="L11" s="457"/>
      <c r="M11" s="457"/>
      <c r="N11" s="457"/>
      <c r="O11" s="457"/>
      <c r="P11" s="457"/>
      <c r="Q11" s="457"/>
      <c r="R11" s="457"/>
      <c r="S11" s="457"/>
      <c r="T11" s="457"/>
      <c r="U11" s="457"/>
      <c r="V11" s="457"/>
      <c r="W11" s="457"/>
      <c r="X11" s="458"/>
    </row>
    <row r="12" spans="2:24" s="117" customFormat="1" ht="30" customHeight="1">
      <c r="B12" s="113"/>
      <c r="C12" s="1177"/>
      <c r="D12" s="1177"/>
      <c r="E12" s="98"/>
      <c r="F12" s="98"/>
      <c r="G12" s="98"/>
      <c r="H12" s="98"/>
      <c r="I12" s="116"/>
      <c r="K12" s="455"/>
      <c r="L12" s="457"/>
      <c r="M12" s="457"/>
      <c r="N12" s="457"/>
      <c r="O12" s="457"/>
      <c r="P12" s="457"/>
      <c r="Q12" s="457"/>
      <c r="R12" s="457"/>
      <c r="S12" s="457"/>
      <c r="T12" s="457"/>
      <c r="U12" s="457"/>
      <c r="V12" s="457"/>
      <c r="W12" s="457"/>
      <c r="X12" s="458"/>
    </row>
    <row r="13" spans="2:24" ht="29.1" customHeight="1">
      <c r="B13" s="119"/>
      <c r="C13" s="1217" t="s">
        <v>528</v>
      </c>
      <c r="D13" s="1218"/>
      <c r="E13" s="1218"/>
      <c r="F13" s="1218"/>
      <c r="G13" s="1218"/>
      <c r="H13" s="1219"/>
      <c r="I13" s="108"/>
      <c r="K13" s="455"/>
      <c r="L13" s="457"/>
      <c r="M13" s="457"/>
      <c r="N13" s="457"/>
      <c r="O13" s="457"/>
      <c r="P13" s="457"/>
      <c r="Q13" s="457"/>
      <c r="R13" s="457"/>
      <c r="S13" s="457"/>
      <c r="T13" s="457"/>
      <c r="U13" s="457"/>
      <c r="V13" s="457"/>
      <c r="W13" s="457"/>
      <c r="X13" s="458"/>
    </row>
    <row r="14" spans="2:24" ht="9" customHeight="1">
      <c r="B14" s="119"/>
      <c r="C14" s="159"/>
      <c r="D14" s="159"/>
      <c r="E14" s="98"/>
      <c r="F14" s="98"/>
      <c r="G14" s="98"/>
      <c r="H14" s="98"/>
      <c r="I14" s="108"/>
      <c r="K14" s="455"/>
      <c r="L14" s="457"/>
      <c r="M14" s="457"/>
      <c r="N14" s="457"/>
      <c r="O14" s="457"/>
      <c r="P14" s="457"/>
      <c r="Q14" s="457"/>
      <c r="R14" s="457"/>
      <c r="S14" s="457"/>
      <c r="T14" s="457"/>
      <c r="U14" s="457"/>
      <c r="V14" s="457"/>
      <c r="W14" s="457"/>
      <c r="X14" s="458"/>
    </row>
    <row r="15" spans="2:24" s="258" customFormat="1" ht="23.1" customHeight="1">
      <c r="B15" s="255"/>
      <c r="C15" s="1166" t="s">
        <v>531</v>
      </c>
      <c r="D15" s="1167"/>
      <c r="E15" s="1168"/>
      <c r="F15" s="155"/>
      <c r="G15" s="1166" t="s">
        <v>532</v>
      </c>
      <c r="H15" s="1168"/>
      <c r="I15" s="257"/>
      <c r="K15" s="455"/>
      <c r="L15" s="457"/>
      <c r="M15" s="457"/>
      <c r="N15" s="457"/>
      <c r="O15" s="457"/>
      <c r="P15" s="457"/>
      <c r="Q15" s="457"/>
      <c r="R15" s="457"/>
      <c r="S15" s="457"/>
      <c r="T15" s="457"/>
      <c r="U15" s="457"/>
      <c r="V15" s="457"/>
      <c r="W15" s="457"/>
      <c r="X15" s="458"/>
    </row>
    <row r="16" spans="2:24" s="258" customFormat="1" ht="24" customHeight="1">
      <c r="B16" s="255"/>
      <c r="C16" s="1166" t="s">
        <v>446</v>
      </c>
      <c r="D16" s="1168"/>
      <c r="E16" s="275" t="s">
        <v>484</v>
      </c>
      <c r="F16" s="155"/>
      <c r="G16" s="275" t="s">
        <v>446</v>
      </c>
      <c r="H16" s="259" t="s">
        <v>484</v>
      </c>
      <c r="I16" s="257"/>
      <c r="K16" s="455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7"/>
      <c r="W16" s="457"/>
      <c r="X16" s="458"/>
    </row>
    <row r="17" spans="2:24" s="122" customFormat="1" ht="23.1" customHeight="1">
      <c r="B17" s="119"/>
      <c r="C17" s="289" t="s">
        <v>533</v>
      </c>
      <c r="D17" s="290"/>
      <c r="E17" s="559"/>
      <c r="F17" s="292"/>
      <c r="G17" s="291" t="str">
        <f>C17</f>
        <v>CABILDO INSULAR DE TENERIFE</v>
      </c>
      <c r="H17" s="559"/>
      <c r="I17" s="120"/>
      <c r="K17" s="455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  <c r="W17" s="457"/>
      <c r="X17" s="458"/>
    </row>
    <row r="18" spans="2:24" s="122" customFormat="1" ht="23.1" customHeight="1">
      <c r="B18" s="119"/>
      <c r="C18" s="293" t="s">
        <v>534</v>
      </c>
      <c r="D18" s="294"/>
      <c r="E18" s="559">
        <v>186.44</v>
      </c>
      <c r="F18" s="292"/>
      <c r="G18" s="291" t="str">
        <f t="shared" ref="G18:G55" si="0">C18</f>
        <v>O.A. DE MUSEOS Y CENTROS</v>
      </c>
      <c r="H18" s="559"/>
      <c r="I18" s="120"/>
      <c r="K18" s="455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8"/>
    </row>
    <row r="19" spans="2:24" s="122" customFormat="1" ht="23.1" customHeight="1">
      <c r="B19" s="119"/>
      <c r="C19" s="293" t="s">
        <v>535</v>
      </c>
      <c r="D19" s="294"/>
      <c r="E19" s="559"/>
      <c r="F19" s="292"/>
      <c r="G19" s="291" t="str">
        <f t="shared" si="0"/>
        <v>O.A. INST. INS. ATENCIÓN SOC. Y SOCIOSAN.</v>
      </c>
      <c r="H19" s="559"/>
      <c r="I19" s="120"/>
      <c r="K19" s="455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7"/>
      <c r="X19" s="458"/>
    </row>
    <row r="20" spans="2:24" s="122" customFormat="1" ht="23.1" customHeight="1">
      <c r="B20" s="119"/>
      <c r="C20" s="293" t="s">
        <v>536</v>
      </c>
      <c r="D20" s="294"/>
      <c r="E20" s="559"/>
      <c r="F20" s="292"/>
      <c r="G20" s="291" t="str">
        <f t="shared" si="0"/>
        <v>O.A. PATRONATO INSULAR DE MUSICA</v>
      </c>
      <c r="H20" s="559"/>
      <c r="I20" s="120"/>
      <c r="K20" s="455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7"/>
      <c r="X20" s="458"/>
    </row>
    <row r="21" spans="2:24" s="122" customFormat="1" ht="23.1" customHeight="1">
      <c r="B21" s="119"/>
      <c r="C21" s="293" t="s">
        <v>537</v>
      </c>
      <c r="D21" s="294"/>
      <c r="E21" s="559"/>
      <c r="F21" s="292"/>
      <c r="G21" s="291" t="str">
        <f t="shared" si="0"/>
        <v>O.A. CONSEJO INSULAR DE AGUAS</v>
      </c>
      <c r="H21" s="559"/>
      <c r="I21" s="120"/>
      <c r="K21" s="455"/>
      <c r="L21" s="457"/>
      <c r="M21" s="457"/>
      <c r="N21" s="457"/>
      <c r="O21" s="457"/>
      <c r="P21" s="457"/>
      <c r="Q21" s="457"/>
      <c r="R21" s="457"/>
      <c r="S21" s="457"/>
      <c r="T21" s="457"/>
      <c r="U21" s="457"/>
      <c r="V21" s="457"/>
      <c r="W21" s="457"/>
      <c r="X21" s="458"/>
    </row>
    <row r="22" spans="2:24" s="122" customFormat="1" ht="23.1" customHeight="1">
      <c r="B22" s="119"/>
      <c r="C22" s="293" t="s">
        <v>538</v>
      </c>
      <c r="D22" s="294"/>
      <c r="E22" s="559"/>
      <c r="F22" s="292"/>
      <c r="G22" s="291" t="str">
        <f t="shared" si="0"/>
        <v>EPEL. BALSAS DE TENERIFE</v>
      </c>
      <c r="H22" s="559"/>
      <c r="I22" s="120"/>
      <c r="K22" s="455"/>
      <c r="L22" s="457"/>
      <c r="M22" s="457"/>
      <c r="N22" s="457"/>
      <c r="O22" s="457"/>
      <c r="P22" s="457"/>
      <c r="Q22" s="457"/>
      <c r="R22" s="457"/>
      <c r="S22" s="457"/>
      <c r="T22" s="457"/>
      <c r="U22" s="457"/>
      <c r="V22" s="457"/>
      <c r="W22" s="457"/>
      <c r="X22" s="458"/>
    </row>
    <row r="23" spans="2:24" s="122" customFormat="1" ht="23.1" customHeight="1">
      <c r="B23" s="119"/>
      <c r="C23" s="293" t="s">
        <v>850</v>
      </c>
      <c r="D23" s="294"/>
      <c r="E23" s="559"/>
      <c r="F23" s="292"/>
      <c r="G23" s="291" t="str">
        <f t="shared" si="0"/>
        <v>EPEL TEA, TENERFE ESPACIO DE LAS ARTES</v>
      </c>
      <c r="H23" s="559"/>
      <c r="I23" s="120"/>
      <c r="K23" s="455"/>
      <c r="L23" s="457"/>
      <c r="M23" s="457"/>
      <c r="N23" s="457"/>
      <c r="O23" s="457"/>
      <c r="P23" s="457"/>
      <c r="Q23" s="457"/>
      <c r="R23" s="457"/>
      <c r="S23" s="457"/>
      <c r="T23" s="457"/>
      <c r="U23" s="457"/>
      <c r="V23" s="457"/>
      <c r="W23" s="457"/>
      <c r="X23" s="458"/>
    </row>
    <row r="24" spans="2:24" s="122" customFormat="1" ht="23.1" customHeight="1">
      <c r="B24" s="119"/>
      <c r="C24" s="293" t="s">
        <v>539</v>
      </c>
      <c r="D24" s="294"/>
      <c r="E24" s="559"/>
      <c r="F24" s="292"/>
      <c r="G24" s="291" t="str">
        <f t="shared" si="0"/>
        <v>EPEL AGROTEIDE ENTIDAD INSULAR DESARROLLO AGRICOLA Y GANADERO</v>
      </c>
      <c r="H24" s="559"/>
      <c r="I24" s="120"/>
      <c r="K24" s="455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7"/>
      <c r="W24" s="457"/>
      <c r="X24" s="458"/>
    </row>
    <row r="25" spans="2:24" s="122" customFormat="1" ht="23.1" customHeight="1">
      <c r="B25" s="119"/>
      <c r="C25" s="293" t="s">
        <v>540</v>
      </c>
      <c r="D25" s="294"/>
      <c r="E25" s="559"/>
      <c r="F25" s="292"/>
      <c r="G25" s="291" t="str">
        <f t="shared" si="0"/>
        <v>CASINO DE TAORO, SA</v>
      </c>
      <c r="H25" s="559"/>
      <c r="I25" s="120"/>
      <c r="K25" s="455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8"/>
    </row>
    <row r="26" spans="2:24" s="122" customFormat="1" ht="23.1" customHeight="1">
      <c r="B26" s="119"/>
      <c r="C26" s="293" t="s">
        <v>541</v>
      </c>
      <c r="D26" s="294"/>
      <c r="E26" s="559"/>
      <c r="F26" s="292"/>
      <c r="G26" s="291" t="str">
        <f t="shared" si="0"/>
        <v>CASINO DE PLAYA DE LAS AMÉRICAS, SA</v>
      </c>
      <c r="H26" s="559"/>
      <c r="I26" s="120"/>
      <c r="K26" s="455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7"/>
      <c r="W26" s="457"/>
      <c r="X26" s="458"/>
    </row>
    <row r="27" spans="2:24" s="122" customFormat="1" ht="23.1" customHeight="1">
      <c r="B27" s="119"/>
      <c r="C27" s="293" t="s">
        <v>542</v>
      </c>
      <c r="D27" s="294"/>
      <c r="E27" s="559"/>
      <c r="F27" s="292"/>
      <c r="G27" s="291" t="str">
        <f t="shared" si="0"/>
        <v>CASINO DE SANTA CRUZ, SA</v>
      </c>
      <c r="H27" s="559"/>
      <c r="I27" s="120"/>
      <c r="K27" s="455"/>
      <c r="L27" s="457"/>
      <c r="M27" s="457"/>
      <c r="N27" s="457"/>
      <c r="O27" s="457"/>
      <c r="P27" s="457"/>
      <c r="Q27" s="457"/>
      <c r="R27" s="457"/>
      <c r="S27" s="457"/>
      <c r="T27" s="457"/>
      <c r="U27" s="457"/>
      <c r="V27" s="457"/>
      <c r="W27" s="457"/>
      <c r="X27" s="458"/>
    </row>
    <row r="28" spans="2:24" s="122" customFormat="1" ht="23.1" customHeight="1">
      <c r="B28" s="119"/>
      <c r="C28" s="293" t="s">
        <v>543</v>
      </c>
      <c r="D28" s="294"/>
      <c r="E28" s="559"/>
      <c r="F28" s="292"/>
      <c r="G28" s="291" t="str">
        <f t="shared" si="0"/>
        <v>INSTIT.FERIAL DE TENERIFE, SA</v>
      </c>
      <c r="H28" s="559">
        <f>5903.76*1.07*12</f>
        <v>75804.27840000001</v>
      </c>
      <c r="I28" s="120"/>
      <c r="K28" s="455"/>
      <c r="L28" s="457"/>
      <c r="M28" s="457"/>
      <c r="N28" s="457"/>
      <c r="O28" s="457"/>
      <c r="P28" s="457"/>
      <c r="Q28" s="457"/>
      <c r="R28" s="457"/>
      <c r="S28" s="457"/>
      <c r="T28" s="457"/>
      <c r="U28" s="457"/>
      <c r="V28" s="457"/>
      <c r="W28" s="457"/>
      <c r="X28" s="458"/>
    </row>
    <row r="29" spans="2:24" s="122" customFormat="1" ht="23.1" customHeight="1">
      <c r="B29" s="119"/>
      <c r="C29" s="293" t="s">
        <v>544</v>
      </c>
      <c r="D29" s="294"/>
      <c r="E29" s="559"/>
      <c r="F29" s="292"/>
      <c r="G29" s="291" t="str">
        <f t="shared" si="0"/>
        <v>EMPRESA INSULAR DE ARTESANÍA, SA</v>
      </c>
      <c r="H29" s="559"/>
      <c r="I29" s="120"/>
      <c r="K29" s="455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8"/>
    </row>
    <row r="30" spans="2:24" s="122" customFormat="1" ht="23.1" customHeight="1">
      <c r="B30" s="119"/>
      <c r="C30" s="293" t="s">
        <v>545</v>
      </c>
      <c r="D30" s="294"/>
      <c r="E30" s="559"/>
      <c r="F30" s="292"/>
      <c r="G30" s="291" t="str">
        <f t="shared" si="0"/>
        <v>SINPROMI.S.L.</v>
      </c>
      <c r="H30" s="559"/>
      <c r="I30" s="120"/>
      <c r="K30" s="455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7"/>
      <c r="W30" s="457"/>
      <c r="X30" s="458"/>
    </row>
    <row r="31" spans="2:24" s="122" customFormat="1" ht="23.1" customHeight="1">
      <c r="B31" s="119"/>
      <c r="C31" s="293" t="s">
        <v>546</v>
      </c>
      <c r="D31" s="294"/>
      <c r="E31" s="559"/>
      <c r="F31" s="292"/>
      <c r="G31" s="291" t="str">
        <f t="shared" si="0"/>
        <v>AUDITORIO DE TENERIFE, SA</v>
      </c>
      <c r="H31" s="559"/>
      <c r="I31" s="120"/>
      <c r="K31" s="455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7"/>
      <c r="X31" s="458"/>
    </row>
    <row r="32" spans="2:24" s="122" customFormat="1" ht="23.1" customHeight="1">
      <c r="B32" s="119"/>
      <c r="C32" s="293" t="s">
        <v>547</v>
      </c>
      <c r="D32" s="294"/>
      <c r="E32" s="559"/>
      <c r="F32" s="292"/>
      <c r="G32" s="291" t="str">
        <f t="shared" si="0"/>
        <v>GEST. INS. DEPORTE, CULT.Y OCIO, SA (IDECO)</v>
      </c>
      <c r="H32" s="559"/>
      <c r="I32" s="120"/>
      <c r="K32" s="455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7"/>
      <c r="X32" s="458"/>
    </row>
    <row r="33" spans="2:24" s="122" customFormat="1" ht="23.1" customHeight="1">
      <c r="B33" s="119"/>
      <c r="C33" s="293" t="s">
        <v>548</v>
      </c>
      <c r="D33" s="294"/>
      <c r="E33" s="559"/>
      <c r="F33" s="292"/>
      <c r="G33" s="291" t="str">
        <f t="shared" si="0"/>
        <v>TITSA</v>
      </c>
      <c r="H33" s="559"/>
      <c r="I33" s="120"/>
      <c r="K33" s="455"/>
      <c r="L33" s="457"/>
      <c r="M33" s="457"/>
      <c r="N33" s="457"/>
      <c r="O33" s="457"/>
      <c r="P33" s="457"/>
      <c r="Q33" s="457"/>
      <c r="R33" s="457"/>
      <c r="S33" s="457"/>
      <c r="T33" s="457"/>
      <c r="U33" s="457"/>
      <c r="V33" s="457"/>
      <c r="W33" s="457"/>
      <c r="X33" s="458"/>
    </row>
    <row r="34" spans="2:24" s="122" customFormat="1" ht="23.1" customHeight="1">
      <c r="B34" s="119"/>
      <c r="C34" s="293" t="s">
        <v>549</v>
      </c>
      <c r="D34" s="294"/>
      <c r="E34" s="559"/>
      <c r="F34" s="292"/>
      <c r="G34" s="291" t="str">
        <f t="shared" si="0"/>
        <v>SPET, TURISMO DE TENERIFE, S.A.</v>
      </c>
      <c r="H34" s="559"/>
      <c r="I34" s="120"/>
      <c r="K34" s="455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7"/>
      <c r="W34" s="457"/>
      <c r="X34" s="458"/>
    </row>
    <row r="35" spans="2:24" s="122" customFormat="1" ht="23.1" customHeight="1">
      <c r="B35" s="119"/>
      <c r="C35" s="293" t="s">
        <v>550</v>
      </c>
      <c r="D35" s="294"/>
      <c r="E35" s="559"/>
      <c r="F35" s="292"/>
      <c r="G35" s="291" t="str">
        <f t="shared" si="0"/>
        <v>INSTITUTO MEDICO TINERFEÑO, S.A. (IMETISA)</v>
      </c>
      <c r="H35" s="559"/>
      <c r="I35" s="120"/>
      <c r="K35" s="455"/>
      <c r="L35" s="457"/>
      <c r="M35" s="457"/>
      <c r="N35" s="457"/>
      <c r="O35" s="457"/>
      <c r="P35" s="457"/>
      <c r="Q35" s="457"/>
      <c r="R35" s="457"/>
      <c r="S35" s="457"/>
      <c r="T35" s="457"/>
      <c r="U35" s="457"/>
      <c r="V35" s="457"/>
      <c r="W35" s="457"/>
      <c r="X35" s="458"/>
    </row>
    <row r="36" spans="2:24" s="122" customFormat="1" ht="23.1" customHeight="1">
      <c r="B36" s="119"/>
      <c r="C36" s="293" t="s">
        <v>551</v>
      </c>
      <c r="D36" s="294"/>
      <c r="E36" s="559"/>
      <c r="F36" s="292"/>
      <c r="G36" s="291" t="str">
        <f t="shared" si="0"/>
        <v>METROPOLITANO DE TENERIFE, S.A.</v>
      </c>
      <c r="H36" s="559"/>
      <c r="I36" s="120"/>
      <c r="K36" s="455"/>
      <c r="L36" s="457"/>
      <c r="M36" s="457"/>
      <c r="N36" s="457"/>
      <c r="O36" s="457"/>
      <c r="P36" s="457"/>
      <c r="Q36" s="457"/>
      <c r="R36" s="457"/>
      <c r="S36" s="457"/>
      <c r="T36" s="457"/>
      <c r="U36" s="457"/>
      <c r="V36" s="457"/>
      <c r="W36" s="457"/>
      <c r="X36" s="458"/>
    </row>
    <row r="37" spans="2:24" s="122" customFormat="1" ht="23.1" customHeight="1">
      <c r="B37" s="119"/>
      <c r="C37" s="293" t="s">
        <v>552</v>
      </c>
      <c r="D37" s="294"/>
      <c r="E37" s="559"/>
      <c r="F37" s="292"/>
      <c r="G37" s="291" t="str">
        <f t="shared" si="0"/>
        <v>INST. TECNOL. Y DE ENERGIAS RENOVABLES, S.A. (ITER)</v>
      </c>
      <c r="H37" s="559"/>
      <c r="I37" s="120"/>
      <c r="K37" s="455"/>
      <c r="L37" s="457"/>
      <c r="M37" s="457"/>
      <c r="N37" s="457"/>
      <c r="O37" s="457"/>
      <c r="P37" s="457"/>
      <c r="Q37" s="457"/>
      <c r="R37" s="457"/>
      <c r="S37" s="457"/>
      <c r="T37" s="457"/>
      <c r="U37" s="457"/>
      <c r="V37" s="457"/>
      <c r="W37" s="457"/>
      <c r="X37" s="458"/>
    </row>
    <row r="38" spans="2:24" s="122" customFormat="1" ht="23.1" customHeight="1">
      <c r="B38" s="119"/>
      <c r="C38" s="293" t="s">
        <v>553</v>
      </c>
      <c r="D38" s="294"/>
      <c r="E38" s="559"/>
      <c r="F38" s="292"/>
      <c r="G38" s="291" t="str">
        <f t="shared" si="0"/>
        <v>CULTIVOS Y TECNOLOGÍAS AGRARIAS DE TENERIFE, S.A (CULTESA)</v>
      </c>
      <c r="H38" s="559"/>
      <c r="I38" s="120"/>
      <c r="K38" s="455"/>
      <c r="L38" s="457"/>
      <c r="M38" s="457"/>
      <c r="N38" s="457"/>
      <c r="O38" s="457"/>
      <c r="P38" s="457"/>
      <c r="Q38" s="457"/>
      <c r="R38" s="457"/>
      <c r="S38" s="457"/>
      <c r="T38" s="457"/>
      <c r="U38" s="457"/>
      <c r="V38" s="457"/>
      <c r="W38" s="457"/>
      <c r="X38" s="458"/>
    </row>
    <row r="39" spans="2:24" s="122" customFormat="1" ht="23.1" customHeight="1">
      <c r="B39" s="119"/>
      <c r="C39" s="293" t="s">
        <v>554</v>
      </c>
      <c r="D39" s="294"/>
      <c r="E39" s="559"/>
      <c r="F39" s="292"/>
      <c r="G39" s="291" t="str">
        <f t="shared" si="0"/>
        <v>BUENAVISTA GOLF, S.A.</v>
      </c>
      <c r="H39" s="559"/>
      <c r="I39" s="120"/>
      <c r="K39" s="455"/>
      <c r="L39" s="457"/>
      <c r="M39" s="457"/>
      <c r="N39" s="457"/>
      <c r="O39" s="457"/>
      <c r="P39" s="457"/>
      <c r="Q39" s="457"/>
      <c r="R39" s="457"/>
      <c r="S39" s="457"/>
      <c r="T39" s="457"/>
      <c r="U39" s="457"/>
      <c r="V39" s="457"/>
      <c r="W39" s="457"/>
      <c r="X39" s="458"/>
    </row>
    <row r="40" spans="2:24" s="122" customFormat="1" ht="23.1" customHeight="1">
      <c r="B40" s="119"/>
      <c r="C40" s="293" t="s">
        <v>555</v>
      </c>
      <c r="D40" s="294"/>
      <c r="E40" s="559"/>
      <c r="F40" s="292"/>
      <c r="G40" s="291" t="str">
        <f t="shared" si="0"/>
        <v>PARQUE CIENTÍFICO Y TECNOLÓGICO DE TENERIFE, S.A.</v>
      </c>
      <c r="H40" s="559"/>
      <c r="I40" s="120"/>
      <c r="K40" s="455"/>
      <c r="L40" s="457"/>
      <c r="M40" s="457"/>
      <c r="N40" s="457"/>
      <c r="O40" s="457"/>
      <c r="P40" s="457"/>
      <c r="Q40" s="457"/>
      <c r="R40" s="457"/>
      <c r="S40" s="457"/>
      <c r="T40" s="457"/>
      <c r="U40" s="457"/>
      <c r="V40" s="457"/>
      <c r="W40" s="457"/>
      <c r="X40" s="458"/>
    </row>
    <row r="41" spans="2:24" s="122" customFormat="1" ht="23.1" customHeight="1">
      <c r="B41" s="119"/>
      <c r="C41" s="293" t="s">
        <v>556</v>
      </c>
      <c r="D41" s="294"/>
      <c r="E41" s="559"/>
      <c r="F41" s="292"/>
      <c r="G41" s="291" t="str">
        <f t="shared" si="0"/>
        <v>INSTITUTO TECNOLÓGICO Y DE COMUNICACIONES DE TENERIFE, S.L. (IT3)</v>
      </c>
      <c r="H41" s="559"/>
      <c r="I41" s="120"/>
      <c r="K41" s="455"/>
      <c r="L41" s="457"/>
      <c r="M41" s="457"/>
      <c r="N41" s="457"/>
      <c r="O41" s="457"/>
      <c r="P41" s="457"/>
      <c r="Q41" s="457"/>
      <c r="R41" s="457"/>
      <c r="S41" s="457"/>
      <c r="T41" s="457"/>
      <c r="U41" s="457"/>
      <c r="V41" s="457"/>
      <c r="W41" s="457"/>
      <c r="X41" s="458"/>
    </row>
    <row r="42" spans="2:24" s="122" customFormat="1" ht="23.1" customHeight="1">
      <c r="B42" s="119"/>
      <c r="C42" s="293" t="s">
        <v>557</v>
      </c>
      <c r="D42" s="294"/>
      <c r="E42" s="559"/>
      <c r="F42" s="292"/>
      <c r="G42" s="291" t="str">
        <f t="shared" si="0"/>
        <v>INSTITUTO VULCANOLÓGICO DE CANARIAS S.A.</v>
      </c>
      <c r="H42" s="559"/>
      <c r="I42" s="120"/>
      <c r="K42" s="455"/>
      <c r="L42" s="457"/>
      <c r="M42" s="457"/>
      <c r="N42" s="457"/>
      <c r="O42" s="457"/>
      <c r="P42" s="457"/>
      <c r="Q42" s="457"/>
      <c r="R42" s="457"/>
      <c r="S42" s="457"/>
      <c r="T42" s="457"/>
      <c r="U42" s="457"/>
      <c r="V42" s="457"/>
      <c r="W42" s="457"/>
      <c r="X42" s="458"/>
    </row>
    <row r="43" spans="2:24" s="122" customFormat="1" ht="23.1" customHeight="1">
      <c r="B43" s="119"/>
      <c r="C43" s="293" t="s">
        <v>558</v>
      </c>
      <c r="D43" s="294"/>
      <c r="E43" s="559"/>
      <c r="F43" s="292"/>
      <c r="G43" s="291" t="str">
        <f t="shared" si="0"/>
        <v>CANARIAS SUBMARINE LINK, S.L. (Canalink)</v>
      </c>
      <c r="H43" s="559"/>
      <c r="I43" s="120"/>
      <c r="K43" s="455"/>
      <c r="L43" s="457"/>
      <c r="M43" s="457"/>
      <c r="N43" s="457"/>
      <c r="O43" s="457"/>
      <c r="P43" s="457"/>
      <c r="Q43" s="457"/>
      <c r="R43" s="457"/>
      <c r="S43" s="457"/>
      <c r="T43" s="457"/>
      <c r="U43" s="457"/>
      <c r="V43" s="457"/>
      <c r="W43" s="457"/>
      <c r="X43" s="458"/>
    </row>
    <row r="44" spans="2:24" s="122" customFormat="1" ht="23.1" customHeight="1">
      <c r="B44" s="119"/>
      <c r="C44" s="293" t="s">
        <v>559</v>
      </c>
      <c r="D44" s="294"/>
      <c r="E44" s="559"/>
      <c r="F44" s="292"/>
      <c r="G44" s="291" t="str">
        <f t="shared" si="0"/>
        <v>CANALINK AFRICA, S.L.</v>
      </c>
      <c r="H44" s="559"/>
      <c r="I44" s="120"/>
      <c r="K44" s="455"/>
      <c r="L44" s="457"/>
      <c r="M44" s="457"/>
      <c r="N44" s="457"/>
      <c r="O44" s="457"/>
      <c r="P44" s="457"/>
      <c r="Q44" s="457"/>
      <c r="R44" s="457"/>
      <c r="S44" s="457"/>
      <c r="T44" s="457"/>
      <c r="U44" s="457"/>
      <c r="V44" s="457"/>
      <c r="W44" s="457"/>
      <c r="X44" s="458"/>
    </row>
    <row r="45" spans="2:24" s="122" customFormat="1" ht="23.1" customHeight="1">
      <c r="B45" s="119"/>
      <c r="C45" s="293" t="s">
        <v>560</v>
      </c>
      <c r="D45" s="294"/>
      <c r="E45" s="559"/>
      <c r="F45" s="292"/>
      <c r="G45" s="291" t="str">
        <f t="shared" si="0"/>
        <v>CANALINK BAHARICOM, S.L.</v>
      </c>
      <c r="H45" s="559"/>
      <c r="I45" s="120"/>
      <c r="K45" s="455"/>
      <c r="L45" s="457"/>
      <c r="M45" s="457"/>
      <c r="N45" s="457"/>
      <c r="O45" s="457"/>
      <c r="P45" s="457"/>
      <c r="Q45" s="457"/>
      <c r="R45" s="457"/>
      <c r="S45" s="457"/>
      <c r="T45" s="457"/>
      <c r="U45" s="457"/>
      <c r="V45" s="457"/>
      <c r="W45" s="457"/>
      <c r="X45" s="458"/>
    </row>
    <row r="46" spans="2:24" s="122" customFormat="1" ht="23.1" customHeight="1">
      <c r="B46" s="119"/>
      <c r="C46" s="293" t="s">
        <v>561</v>
      </c>
      <c r="D46" s="294"/>
      <c r="E46" s="559"/>
      <c r="F46" s="292"/>
      <c r="G46" s="291" t="str">
        <f t="shared" si="0"/>
        <v>GESTIÓN INSULAR DE AGUAS DE TENERIFE, S.A. (GESTA)</v>
      </c>
      <c r="H46" s="559"/>
      <c r="I46" s="120"/>
      <c r="K46" s="455"/>
      <c r="L46" s="457"/>
      <c r="M46" s="457"/>
      <c r="N46" s="457"/>
      <c r="O46" s="457"/>
      <c r="P46" s="457"/>
      <c r="Q46" s="457"/>
      <c r="R46" s="457"/>
      <c r="S46" s="457"/>
      <c r="T46" s="457"/>
      <c r="U46" s="457"/>
      <c r="V46" s="457"/>
      <c r="W46" s="457"/>
      <c r="X46" s="458"/>
    </row>
    <row r="47" spans="2:24" s="122" customFormat="1" ht="23.1" customHeight="1">
      <c r="B47" s="119"/>
      <c r="C47" s="293" t="s">
        <v>562</v>
      </c>
      <c r="D47" s="294"/>
      <c r="E47" s="559"/>
      <c r="F47" s="292"/>
      <c r="G47" s="291" t="str">
        <f t="shared" si="0"/>
        <v>FUNDACION TENERIFE RURAL</v>
      </c>
      <c r="H47" s="559"/>
      <c r="I47" s="120"/>
      <c r="K47" s="455"/>
      <c r="L47" s="457"/>
      <c r="M47" s="457"/>
      <c r="N47" s="457"/>
      <c r="O47" s="457"/>
      <c r="P47" s="457"/>
      <c r="Q47" s="457"/>
      <c r="R47" s="457"/>
      <c r="S47" s="457"/>
      <c r="T47" s="457"/>
      <c r="U47" s="457"/>
      <c r="V47" s="457"/>
      <c r="W47" s="457"/>
      <c r="X47" s="458"/>
    </row>
    <row r="48" spans="2:24" s="122" customFormat="1" ht="23.1" customHeight="1">
      <c r="B48" s="119"/>
      <c r="C48" s="293" t="s">
        <v>563</v>
      </c>
      <c r="D48" s="294"/>
      <c r="E48" s="559"/>
      <c r="F48" s="292"/>
      <c r="G48" s="291" t="str">
        <f t="shared" si="0"/>
        <v>FUNDACIÓN  ITB</v>
      </c>
      <c r="H48" s="559"/>
      <c r="I48" s="120"/>
      <c r="K48" s="455"/>
      <c r="L48" s="457"/>
      <c r="M48" s="457"/>
      <c r="N48" s="457"/>
      <c r="O48" s="457"/>
      <c r="P48" s="457"/>
      <c r="Q48" s="457"/>
      <c r="R48" s="457"/>
      <c r="S48" s="457"/>
      <c r="T48" s="457"/>
      <c r="U48" s="457"/>
      <c r="V48" s="457"/>
      <c r="W48" s="457"/>
      <c r="X48" s="458"/>
    </row>
    <row r="49" spans="2:24" s="122" customFormat="1" ht="23.1" customHeight="1">
      <c r="B49" s="119"/>
      <c r="C49" s="293" t="s">
        <v>564</v>
      </c>
      <c r="D49" s="294"/>
      <c r="E49" s="559"/>
      <c r="F49" s="292"/>
      <c r="G49" s="291" t="str">
        <f t="shared" si="0"/>
        <v>FIFEDE</v>
      </c>
      <c r="H49" s="559"/>
      <c r="I49" s="120"/>
      <c r="K49" s="455"/>
      <c r="L49" s="457"/>
      <c r="M49" s="457"/>
      <c r="N49" s="457"/>
      <c r="O49" s="457"/>
      <c r="P49" s="457"/>
      <c r="Q49" s="457"/>
      <c r="R49" s="457"/>
      <c r="S49" s="457"/>
      <c r="T49" s="457"/>
      <c r="U49" s="457"/>
      <c r="V49" s="457"/>
      <c r="W49" s="457"/>
      <c r="X49" s="458"/>
    </row>
    <row r="50" spans="2:24" s="122" customFormat="1" ht="23.1" customHeight="1">
      <c r="B50" s="119"/>
      <c r="C50" s="293" t="s">
        <v>565</v>
      </c>
      <c r="D50" s="294"/>
      <c r="E50" s="559"/>
      <c r="F50" s="292"/>
      <c r="G50" s="291" t="str">
        <f t="shared" si="0"/>
        <v>AGENCIA INSULAR DE LA ENERGIA</v>
      </c>
      <c r="H50" s="559"/>
      <c r="I50" s="120"/>
      <c r="K50" s="455"/>
      <c r="L50" s="457"/>
      <c r="M50" s="457"/>
      <c r="N50" s="457"/>
      <c r="O50" s="457"/>
      <c r="P50" s="457"/>
      <c r="Q50" s="457"/>
      <c r="R50" s="457"/>
      <c r="S50" s="457"/>
      <c r="T50" s="457"/>
      <c r="U50" s="457"/>
      <c r="V50" s="457"/>
      <c r="W50" s="457"/>
      <c r="X50" s="458"/>
    </row>
    <row r="51" spans="2:24" s="122" customFormat="1" ht="23.1" customHeight="1">
      <c r="B51" s="119"/>
      <c r="C51" s="293" t="s">
        <v>566</v>
      </c>
      <c r="D51" s="294"/>
      <c r="E51" s="559"/>
      <c r="F51" s="292"/>
      <c r="G51" s="291" t="str">
        <f t="shared" si="0"/>
        <v>FUNDACIÓN CANARIAS FACTORÍA DE LA INNOVACIÓN TURÍSTICA</v>
      </c>
      <c r="H51" s="559"/>
      <c r="I51" s="120"/>
      <c r="K51" s="455"/>
      <c r="L51" s="457"/>
      <c r="M51" s="457"/>
      <c r="N51" s="457"/>
      <c r="O51" s="457"/>
      <c r="P51" s="457"/>
      <c r="Q51" s="457"/>
      <c r="R51" s="457"/>
      <c r="S51" s="457"/>
      <c r="T51" s="457"/>
      <c r="U51" s="457"/>
      <c r="V51" s="457"/>
      <c r="W51" s="457"/>
      <c r="X51" s="458"/>
    </row>
    <row r="52" spans="2:24" s="122" customFormat="1" ht="23.1" customHeight="1">
      <c r="B52" s="119"/>
      <c r="C52" s="293" t="s">
        <v>567</v>
      </c>
      <c r="D52" s="294"/>
      <c r="E52" s="559"/>
      <c r="F52" s="292"/>
      <c r="G52" s="291" t="str">
        <f t="shared" si="0"/>
        <v>CONSORCIO PREVENSIÓN, EXTINCIÓN INCENDIOS Y SALVAMENTO DE LA ISLA DE TENERIFE</v>
      </c>
      <c r="H52" s="559"/>
      <c r="I52" s="120"/>
      <c r="K52" s="455"/>
      <c r="L52" s="457"/>
      <c r="M52" s="457"/>
      <c r="N52" s="457"/>
      <c r="O52" s="457"/>
      <c r="P52" s="457"/>
      <c r="Q52" s="457"/>
      <c r="R52" s="457"/>
      <c r="S52" s="457"/>
      <c r="T52" s="457"/>
      <c r="U52" s="457"/>
      <c r="V52" s="457"/>
      <c r="W52" s="457"/>
      <c r="X52" s="458"/>
    </row>
    <row r="53" spans="2:24" s="122" customFormat="1" ht="23.1" customHeight="1">
      <c r="B53" s="119"/>
      <c r="C53" s="293" t="s">
        <v>568</v>
      </c>
      <c r="D53" s="294"/>
      <c r="E53" s="559"/>
      <c r="F53" s="292"/>
      <c r="G53" s="291" t="str">
        <f t="shared" si="0"/>
        <v>CONSORCIO DE TRIBUTOS DE LA ISLA DE TENERIFE</v>
      </c>
      <c r="H53" s="559"/>
      <c r="I53" s="120"/>
      <c r="K53" s="455"/>
      <c r="L53" s="457"/>
      <c r="M53" s="457"/>
      <c r="N53" s="457"/>
      <c r="O53" s="457"/>
      <c r="P53" s="457"/>
      <c r="Q53" s="457"/>
      <c r="R53" s="457"/>
      <c r="S53" s="457"/>
      <c r="T53" s="457"/>
      <c r="U53" s="457"/>
      <c r="V53" s="457"/>
      <c r="W53" s="457"/>
      <c r="X53" s="458"/>
    </row>
    <row r="54" spans="2:24" s="122" customFormat="1" ht="23.1" customHeight="1">
      <c r="B54" s="119"/>
      <c r="C54" s="293" t="s">
        <v>569</v>
      </c>
      <c r="D54" s="294"/>
      <c r="E54" s="559"/>
      <c r="F54" s="292"/>
      <c r="G54" s="291" t="str">
        <f t="shared" si="0"/>
        <v>CONSORCIO ISLA BAJA</v>
      </c>
      <c r="H54" s="559"/>
      <c r="I54" s="120"/>
      <c r="K54" s="455"/>
      <c r="L54" s="457"/>
      <c r="M54" s="457"/>
      <c r="N54" s="457"/>
      <c r="O54" s="457"/>
      <c r="P54" s="457"/>
      <c r="Q54" s="457"/>
      <c r="R54" s="457"/>
      <c r="S54" s="457"/>
      <c r="T54" s="457"/>
      <c r="U54" s="457"/>
      <c r="V54" s="457"/>
      <c r="W54" s="457"/>
      <c r="X54" s="458"/>
    </row>
    <row r="55" spans="2:24" s="122" customFormat="1" ht="23.1" customHeight="1">
      <c r="B55" s="119"/>
      <c r="C55" s="295" t="s">
        <v>570</v>
      </c>
      <c r="D55" s="296"/>
      <c r="E55" s="560"/>
      <c r="F55" s="292"/>
      <c r="G55" s="291" t="str">
        <f t="shared" si="0"/>
        <v>CONSORCIO URBANÍSTICO PARA LA REHABILITACIÓN DEL PTO. DE LA CRUZ</v>
      </c>
      <c r="H55" s="560"/>
      <c r="I55" s="120"/>
      <c r="K55" s="455"/>
      <c r="L55" s="457"/>
      <c r="M55" s="457"/>
      <c r="N55" s="457"/>
      <c r="O55" s="457"/>
      <c r="P55" s="457"/>
      <c r="Q55" s="457"/>
      <c r="R55" s="457"/>
      <c r="S55" s="457"/>
      <c r="T55" s="457"/>
      <c r="U55" s="457"/>
      <c r="V55" s="457"/>
      <c r="W55" s="457"/>
      <c r="X55" s="458"/>
    </row>
    <row r="56" spans="2:24" s="194" customFormat="1" ht="23.1" customHeight="1" thickBot="1">
      <c r="B56" s="192"/>
      <c r="C56" s="1199" t="s">
        <v>486</v>
      </c>
      <c r="D56" s="1201"/>
      <c r="E56" s="179">
        <f>SUM(E17:E55)</f>
        <v>186.44</v>
      </c>
      <c r="F56" s="155"/>
      <c r="G56" s="225" t="s">
        <v>486</v>
      </c>
      <c r="H56" s="179">
        <f>SUM(H17:H55)</f>
        <v>75804.27840000001</v>
      </c>
      <c r="I56" s="193"/>
      <c r="K56" s="455"/>
      <c r="L56" s="457"/>
      <c r="M56" s="457"/>
      <c r="N56" s="457"/>
      <c r="O56" s="457"/>
      <c r="P56" s="457"/>
      <c r="Q56" s="457"/>
      <c r="R56" s="457"/>
      <c r="S56" s="457"/>
      <c r="T56" s="457"/>
      <c r="U56" s="457"/>
      <c r="V56" s="457"/>
      <c r="W56" s="457"/>
      <c r="X56" s="458"/>
    </row>
    <row r="57" spans="2:24" ht="23.1" customHeight="1">
      <c r="B57" s="119"/>
      <c r="C57" s="221"/>
      <c r="D57" s="221"/>
      <c r="E57" s="222"/>
      <c r="F57" s="98"/>
      <c r="G57" s="222"/>
      <c r="H57" s="98"/>
      <c r="I57" s="108"/>
      <c r="K57" s="455"/>
      <c r="L57" s="457"/>
      <c r="M57" s="457"/>
      <c r="N57" s="457"/>
      <c r="O57" s="457"/>
      <c r="P57" s="457"/>
      <c r="Q57" s="457"/>
      <c r="R57" s="457"/>
      <c r="S57" s="457"/>
      <c r="T57" s="457"/>
      <c r="U57" s="457"/>
      <c r="V57" s="457"/>
      <c r="W57" s="457"/>
      <c r="X57" s="458"/>
    </row>
    <row r="58" spans="2:24" ht="23.1" customHeight="1">
      <c r="B58" s="119"/>
      <c r="C58" s="1217" t="s">
        <v>851</v>
      </c>
      <c r="D58" s="1218"/>
      <c r="E58" s="1218"/>
      <c r="F58" s="1218"/>
      <c r="G58" s="1218"/>
      <c r="H58" s="1219"/>
      <c r="I58" s="108"/>
      <c r="K58" s="455"/>
      <c r="L58" s="457"/>
      <c r="M58" s="457"/>
      <c r="N58" s="457"/>
      <c r="O58" s="457"/>
      <c r="P58" s="457"/>
      <c r="Q58" s="457"/>
      <c r="R58" s="457"/>
      <c r="S58" s="457"/>
      <c r="T58" s="457"/>
      <c r="U58" s="457"/>
      <c r="V58" s="457"/>
      <c r="W58" s="457"/>
      <c r="X58" s="458"/>
    </row>
    <row r="59" spans="2:24" s="106" customFormat="1" ht="9" customHeight="1">
      <c r="B59" s="119"/>
      <c r="C59" s="32"/>
      <c r="D59" s="32"/>
      <c r="E59" s="32"/>
      <c r="F59" s="32"/>
      <c r="G59" s="32"/>
      <c r="H59" s="32"/>
      <c r="I59" s="108"/>
      <c r="K59" s="455"/>
      <c r="L59" s="457"/>
      <c r="M59" s="457"/>
      <c r="N59" s="457"/>
      <c r="O59" s="457"/>
      <c r="P59" s="457"/>
      <c r="Q59" s="457"/>
      <c r="R59" s="457"/>
      <c r="S59" s="457"/>
      <c r="T59" s="457"/>
      <c r="U59" s="457"/>
      <c r="V59" s="457"/>
      <c r="W59" s="457"/>
      <c r="X59" s="458"/>
    </row>
    <row r="60" spans="2:24" ht="23.1" customHeight="1">
      <c r="B60" s="119"/>
      <c r="C60" s="1217" t="s">
        <v>528</v>
      </c>
      <c r="D60" s="1218"/>
      <c r="E60" s="1218"/>
      <c r="F60" s="1218"/>
      <c r="G60" s="1218"/>
      <c r="H60" s="1219"/>
      <c r="I60" s="108"/>
      <c r="K60" s="455"/>
      <c r="L60" s="457"/>
      <c r="M60" s="457"/>
      <c r="N60" s="457"/>
      <c r="O60" s="457"/>
      <c r="P60" s="457"/>
      <c r="Q60" s="457"/>
      <c r="R60" s="457"/>
      <c r="S60" s="457"/>
      <c r="T60" s="457"/>
      <c r="U60" s="457"/>
      <c r="V60" s="457"/>
      <c r="W60" s="457"/>
      <c r="X60" s="458"/>
    </row>
    <row r="61" spans="2:24" s="106" customFormat="1" ht="9" customHeight="1">
      <c r="B61" s="119"/>
      <c r="C61" s="32"/>
      <c r="D61" s="32"/>
      <c r="E61" s="32"/>
      <c r="F61" s="32"/>
      <c r="G61" s="32"/>
      <c r="H61" s="32"/>
      <c r="I61" s="108"/>
      <c r="K61" s="455"/>
      <c r="L61" s="457"/>
      <c r="M61" s="457"/>
      <c r="N61" s="457"/>
      <c r="O61" s="457"/>
      <c r="P61" s="457"/>
      <c r="Q61" s="457"/>
      <c r="R61" s="457"/>
      <c r="S61" s="457"/>
      <c r="T61" s="457"/>
      <c r="U61" s="457"/>
      <c r="V61" s="457"/>
      <c r="W61" s="457"/>
      <c r="X61" s="458"/>
    </row>
    <row r="62" spans="2:24" ht="23.1" customHeight="1">
      <c r="B62" s="119"/>
      <c r="C62" s="1166" t="s">
        <v>531</v>
      </c>
      <c r="D62" s="1167"/>
      <c r="E62" s="1168"/>
      <c r="F62" s="155"/>
      <c r="G62" s="1166" t="s">
        <v>532</v>
      </c>
      <c r="H62" s="1168"/>
      <c r="I62" s="108"/>
      <c r="K62" s="455"/>
      <c r="L62" s="457"/>
      <c r="M62" s="457"/>
      <c r="N62" s="457"/>
      <c r="O62" s="457"/>
      <c r="P62" s="457"/>
      <c r="Q62" s="457"/>
      <c r="R62" s="457"/>
      <c r="S62" s="457"/>
      <c r="T62" s="457"/>
      <c r="U62" s="457"/>
      <c r="V62" s="457"/>
      <c r="W62" s="457"/>
      <c r="X62" s="458"/>
    </row>
    <row r="63" spans="2:24" ht="23.1" customHeight="1">
      <c r="B63" s="119"/>
      <c r="C63" s="1166" t="s">
        <v>446</v>
      </c>
      <c r="D63" s="1168"/>
      <c r="E63" s="275" t="s">
        <v>484</v>
      </c>
      <c r="F63" s="155"/>
      <c r="G63" s="275" t="s">
        <v>446</v>
      </c>
      <c r="H63" s="259" t="s">
        <v>484</v>
      </c>
      <c r="I63" s="108"/>
      <c r="K63" s="455"/>
      <c r="L63" s="457"/>
      <c r="M63" s="457"/>
      <c r="N63" s="457"/>
      <c r="O63" s="457"/>
      <c r="P63" s="457"/>
      <c r="Q63" s="457"/>
      <c r="R63" s="457"/>
      <c r="S63" s="457"/>
      <c r="T63" s="457"/>
      <c r="U63" s="457"/>
      <c r="V63" s="457"/>
      <c r="W63" s="457"/>
      <c r="X63" s="458"/>
    </row>
    <row r="64" spans="2:24" ht="23.1" customHeight="1">
      <c r="B64" s="119"/>
      <c r="C64" s="289" t="s">
        <v>571</v>
      </c>
      <c r="D64" s="290"/>
      <c r="E64" s="559"/>
      <c r="F64" s="292"/>
      <c r="G64" s="291" t="str">
        <f>C64</f>
        <v>A.M.C. POLÍGONO INDUSTRIAL DE GÜIMAR</v>
      </c>
      <c r="H64" s="559"/>
      <c r="I64" s="108"/>
      <c r="K64" s="455"/>
      <c r="L64" s="457"/>
      <c r="M64" s="457"/>
      <c r="N64" s="457"/>
      <c r="O64" s="457"/>
      <c r="P64" s="457"/>
      <c r="Q64" s="457"/>
      <c r="R64" s="457"/>
      <c r="S64" s="457"/>
      <c r="T64" s="457"/>
      <c r="U64" s="457"/>
      <c r="V64" s="457"/>
      <c r="W64" s="457"/>
      <c r="X64" s="458"/>
    </row>
    <row r="65" spans="2:24" ht="23.1" customHeight="1">
      <c r="B65" s="119"/>
      <c r="C65" s="293" t="s">
        <v>572</v>
      </c>
      <c r="D65" s="294"/>
      <c r="E65" s="559"/>
      <c r="F65" s="292"/>
      <c r="G65" s="291" t="str">
        <f t="shared" ref="G65:G68" si="1">C65</f>
        <v>MERCATENERIFE, S.A.</v>
      </c>
      <c r="H65" s="559"/>
      <c r="I65" s="108"/>
      <c r="K65" s="455"/>
      <c r="L65" s="457"/>
      <c r="M65" s="457"/>
      <c r="N65" s="457"/>
      <c r="O65" s="457"/>
      <c r="P65" s="457"/>
      <c r="Q65" s="457"/>
      <c r="R65" s="457"/>
      <c r="S65" s="457"/>
      <c r="T65" s="457"/>
      <c r="U65" s="457"/>
      <c r="V65" s="457"/>
      <c r="W65" s="457"/>
      <c r="X65" s="458"/>
    </row>
    <row r="66" spans="2:24" ht="23.1" customHeight="1">
      <c r="B66" s="119"/>
      <c r="C66" s="293" t="s">
        <v>573</v>
      </c>
      <c r="D66" s="294"/>
      <c r="E66" s="559"/>
      <c r="F66" s="292"/>
      <c r="G66" s="291" t="str">
        <f t="shared" si="1"/>
        <v>POLÍGONO INDUSTRIAL DE GRANADILLA-PARQUE TECNOLÓGICO DE TENERIFE, S.A.</v>
      </c>
      <c r="H66" s="559"/>
      <c r="I66" s="108"/>
      <c r="K66" s="455"/>
      <c r="L66" s="457"/>
      <c r="M66" s="457"/>
      <c r="N66" s="457"/>
      <c r="O66" s="457"/>
      <c r="P66" s="457"/>
      <c r="Q66" s="457"/>
      <c r="R66" s="457"/>
      <c r="S66" s="457"/>
      <c r="T66" s="457"/>
      <c r="U66" s="457"/>
      <c r="V66" s="457"/>
      <c r="W66" s="457"/>
      <c r="X66" s="458"/>
    </row>
    <row r="67" spans="2:24" ht="23.1" customHeight="1">
      <c r="B67" s="119"/>
      <c r="C67" s="293" t="s">
        <v>574</v>
      </c>
      <c r="D67" s="294"/>
      <c r="E67" s="559"/>
      <c r="F67" s="292"/>
      <c r="G67" s="291" t="str">
        <f t="shared" si="1"/>
        <v>PARQUES EÓLICOS DE GRANADILLA, A.I.E.</v>
      </c>
      <c r="H67" s="559"/>
      <c r="I67" s="108"/>
      <c r="K67" s="455"/>
      <c r="L67" s="457"/>
      <c r="M67" s="457"/>
      <c r="N67" s="457"/>
      <c r="O67" s="457"/>
      <c r="P67" s="457"/>
      <c r="Q67" s="457"/>
      <c r="R67" s="457"/>
      <c r="S67" s="457"/>
      <c r="T67" s="457"/>
      <c r="U67" s="457"/>
      <c r="V67" s="457"/>
      <c r="W67" s="457"/>
      <c r="X67" s="458"/>
    </row>
    <row r="68" spans="2:24" ht="23.1" customHeight="1">
      <c r="B68" s="119"/>
      <c r="C68" s="293" t="s">
        <v>575</v>
      </c>
      <c r="D68" s="294"/>
      <c r="E68" s="559"/>
      <c r="F68" s="292"/>
      <c r="G68" s="291" t="str">
        <f t="shared" si="1"/>
        <v>EÓLICAS DE TENERIFE, A.I.E.</v>
      </c>
      <c r="H68" s="559"/>
      <c r="I68" s="108"/>
      <c r="K68" s="455"/>
      <c r="L68" s="457"/>
      <c r="M68" s="457"/>
      <c r="N68" s="457"/>
      <c r="O68" s="457"/>
      <c r="P68" s="457"/>
      <c r="Q68" s="457"/>
      <c r="R68" s="457"/>
      <c r="S68" s="457"/>
      <c r="T68" s="457"/>
      <c r="U68" s="457"/>
      <c r="V68" s="457"/>
      <c r="W68" s="457"/>
      <c r="X68" s="458"/>
    </row>
    <row r="69" spans="2:24" s="194" customFormat="1" ht="23.1" customHeight="1" thickBot="1">
      <c r="B69" s="192"/>
      <c r="C69" s="1199" t="s">
        <v>486</v>
      </c>
      <c r="D69" s="1201"/>
      <c r="E69" s="179">
        <f>SUM(E64:E68)</f>
        <v>0</v>
      </c>
      <c r="F69" s="155"/>
      <c r="G69" s="225" t="s">
        <v>486</v>
      </c>
      <c r="H69" s="179">
        <f>SUM(H64:H68)</f>
        <v>0</v>
      </c>
      <c r="I69" s="193"/>
      <c r="K69" s="455"/>
      <c r="L69" s="457"/>
      <c r="M69" s="457"/>
      <c r="N69" s="457"/>
      <c r="O69" s="457"/>
      <c r="P69" s="457"/>
      <c r="Q69" s="457"/>
      <c r="R69" s="457"/>
      <c r="S69" s="457"/>
      <c r="T69" s="457"/>
      <c r="U69" s="457"/>
      <c r="V69" s="457"/>
      <c r="W69" s="457"/>
      <c r="X69" s="458"/>
    </row>
    <row r="70" spans="2:24" ht="23.1" customHeight="1">
      <c r="B70" s="119"/>
      <c r="C70" s="221"/>
      <c r="D70" s="221"/>
      <c r="E70" s="222"/>
      <c r="F70" s="98"/>
      <c r="G70" s="222"/>
      <c r="H70" s="98"/>
      <c r="I70" s="108"/>
      <c r="K70" s="455"/>
      <c r="L70" s="457"/>
      <c r="M70" s="457"/>
      <c r="N70" s="457"/>
      <c r="O70" s="457"/>
      <c r="P70" s="457"/>
      <c r="Q70" s="457"/>
      <c r="R70" s="457"/>
      <c r="S70" s="457"/>
      <c r="T70" s="457"/>
      <c r="U70" s="457"/>
      <c r="V70" s="457"/>
      <c r="W70" s="457"/>
      <c r="X70" s="458"/>
    </row>
    <row r="71" spans="2:24" ht="23.1" customHeight="1">
      <c r="B71" s="119"/>
      <c r="C71" s="175" t="s">
        <v>416</v>
      </c>
      <c r="D71" s="221"/>
      <c r="E71" s="222"/>
      <c r="F71" s="98"/>
      <c r="G71" s="222"/>
      <c r="H71" s="98"/>
      <c r="I71" s="108"/>
      <c r="K71" s="455"/>
      <c r="L71" s="457"/>
      <c r="M71" s="457"/>
      <c r="N71" s="457"/>
      <c r="O71" s="457"/>
      <c r="P71" s="457"/>
      <c r="Q71" s="457"/>
      <c r="R71" s="457"/>
      <c r="S71" s="457"/>
      <c r="T71" s="457"/>
      <c r="U71" s="457"/>
      <c r="V71" s="457"/>
      <c r="W71" s="457"/>
      <c r="X71" s="458"/>
    </row>
    <row r="72" spans="2:24" ht="16.350000000000001" customHeight="1">
      <c r="B72" s="119"/>
      <c r="C72" s="173" t="s">
        <v>576</v>
      </c>
      <c r="D72" s="221"/>
      <c r="E72" s="222"/>
      <c r="F72" s="98"/>
      <c r="G72" s="222"/>
      <c r="H72" s="98"/>
      <c r="I72" s="108"/>
      <c r="K72" s="455"/>
      <c r="L72" s="457"/>
      <c r="M72" s="457"/>
      <c r="N72" s="457"/>
      <c r="O72" s="457"/>
      <c r="P72" s="457"/>
      <c r="Q72" s="457"/>
      <c r="R72" s="457"/>
      <c r="S72" s="457"/>
      <c r="T72" s="457"/>
      <c r="U72" s="457"/>
      <c r="V72" s="457"/>
      <c r="W72" s="457"/>
      <c r="X72" s="458"/>
    </row>
    <row r="73" spans="2:24" ht="16.350000000000001" customHeight="1">
      <c r="B73" s="119"/>
      <c r="C73" s="172"/>
      <c r="D73" s="221"/>
      <c r="E73" s="222"/>
      <c r="F73" s="222"/>
      <c r="G73" s="222"/>
      <c r="H73" s="98"/>
      <c r="I73" s="108"/>
      <c r="K73" s="455"/>
      <c r="L73" s="457"/>
      <c r="M73" s="457"/>
      <c r="N73" s="457"/>
      <c r="O73" s="457"/>
      <c r="P73" s="457"/>
      <c r="Q73" s="457"/>
      <c r="R73" s="457"/>
      <c r="S73" s="457"/>
      <c r="T73" s="457"/>
      <c r="U73" s="457"/>
      <c r="V73" s="457"/>
      <c r="W73" s="457"/>
      <c r="X73" s="458"/>
    </row>
    <row r="74" spans="2:24" ht="16.350000000000001" customHeight="1">
      <c r="B74" s="119"/>
      <c r="C74" s="260"/>
      <c r="D74" s="173"/>
      <c r="E74" s="174"/>
      <c r="F74" s="174"/>
      <c r="G74" s="174"/>
      <c r="H74" s="98"/>
      <c r="I74" s="108"/>
      <c r="K74" s="455"/>
      <c r="L74" s="457"/>
      <c r="M74" s="457"/>
      <c r="N74" s="457"/>
      <c r="O74" s="457"/>
      <c r="P74" s="457"/>
      <c r="Q74" s="457"/>
      <c r="R74" s="457"/>
      <c r="S74" s="457"/>
      <c r="T74" s="457"/>
      <c r="U74" s="457"/>
      <c r="V74" s="457"/>
      <c r="W74" s="457"/>
      <c r="X74" s="458"/>
    </row>
    <row r="75" spans="2:24" ht="23.1" customHeight="1" thickBot="1">
      <c r="B75" s="123"/>
      <c r="C75" s="1134"/>
      <c r="D75" s="1134"/>
      <c r="E75" s="57"/>
      <c r="F75" s="57"/>
      <c r="G75" s="57"/>
      <c r="H75" s="124"/>
      <c r="I75" s="125"/>
      <c r="K75" s="449"/>
      <c r="L75" s="450"/>
      <c r="M75" s="450"/>
      <c r="N75" s="450"/>
      <c r="O75" s="450"/>
      <c r="P75" s="450"/>
      <c r="Q75" s="450"/>
      <c r="R75" s="450"/>
      <c r="S75" s="450"/>
      <c r="T75" s="450"/>
      <c r="U75" s="450"/>
      <c r="V75" s="450"/>
      <c r="W75" s="450"/>
      <c r="X75" s="451"/>
    </row>
    <row r="76" spans="2:24" ht="23.1" customHeight="1">
      <c r="C76" s="106"/>
      <c r="D76" s="106"/>
      <c r="E76" s="107"/>
      <c r="F76" s="107"/>
      <c r="G76" s="107"/>
      <c r="H76" s="107"/>
    </row>
    <row r="77" spans="2:24" ht="13.2">
      <c r="C77" s="126" t="s">
        <v>77</v>
      </c>
      <c r="D77" s="106"/>
      <c r="E77" s="107"/>
      <c r="F77" s="107"/>
      <c r="G77" s="107"/>
      <c r="H77" s="97" t="s">
        <v>525</v>
      </c>
    </row>
    <row r="78" spans="2:24" ht="13.2">
      <c r="C78" s="127" t="s">
        <v>78</v>
      </c>
      <c r="D78" s="106"/>
      <c r="E78" s="107"/>
      <c r="F78" s="107"/>
      <c r="G78" s="107"/>
      <c r="H78" s="107"/>
    </row>
    <row r="79" spans="2:24" ht="13.2">
      <c r="C79" s="127" t="s">
        <v>79</v>
      </c>
      <c r="D79" s="106"/>
      <c r="E79" s="107"/>
      <c r="F79" s="107"/>
      <c r="G79" s="107"/>
      <c r="H79" s="107"/>
    </row>
    <row r="80" spans="2:24" ht="13.2">
      <c r="C80" s="127" t="s">
        <v>80</v>
      </c>
      <c r="D80" s="106"/>
      <c r="E80" s="107"/>
      <c r="F80" s="107"/>
      <c r="G80" s="107"/>
      <c r="H80" s="107"/>
    </row>
    <row r="81" spans="3:8" ht="13.2">
      <c r="C81" s="127" t="s">
        <v>81</v>
      </c>
      <c r="D81" s="106"/>
      <c r="E81" s="107"/>
      <c r="F81" s="107"/>
      <c r="G81" s="107"/>
      <c r="H81" s="107"/>
    </row>
    <row r="82" spans="3:8" ht="23.1" customHeight="1">
      <c r="C82" s="106"/>
      <c r="D82" s="106"/>
      <c r="E82" s="107"/>
      <c r="F82" s="107"/>
      <c r="G82" s="107"/>
      <c r="H82" s="107"/>
    </row>
    <row r="83" spans="3:8" ht="23.1" customHeight="1">
      <c r="C83" s="106"/>
      <c r="D83" s="106"/>
      <c r="E83" s="107"/>
      <c r="F83" s="107"/>
      <c r="G83" s="107"/>
      <c r="H83" s="107"/>
    </row>
    <row r="84" spans="3:8" ht="23.1" customHeight="1">
      <c r="C84" s="106"/>
      <c r="D84" s="106"/>
      <c r="E84" s="107"/>
      <c r="F84" s="107"/>
      <c r="G84" s="107"/>
      <c r="H84" s="107"/>
    </row>
    <row r="85" spans="3:8" ht="23.1" customHeight="1">
      <c r="C85" s="106"/>
      <c r="D85" s="106"/>
      <c r="E85" s="107"/>
      <c r="F85" s="107"/>
      <c r="G85" s="107"/>
      <c r="H85" s="107"/>
    </row>
    <row r="86" spans="3:8" ht="23.1" customHeight="1">
      <c r="E86" s="107"/>
      <c r="F86" s="107"/>
      <c r="G86" s="107"/>
      <c r="H86" s="107"/>
    </row>
  </sheetData>
  <sheetProtection password="E059" sheet="1" objects="1" scenarios="1"/>
  <mergeCells count="15">
    <mergeCell ref="H6:H7"/>
    <mergeCell ref="D9:H9"/>
    <mergeCell ref="C12:D12"/>
    <mergeCell ref="C69:D69"/>
    <mergeCell ref="C75:D75"/>
    <mergeCell ref="C13:H13"/>
    <mergeCell ref="C15:E15"/>
    <mergeCell ref="G15:H15"/>
    <mergeCell ref="C16:D16"/>
    <mergeCell ref="C56:D56"/>
    <mergeCell ref="C60:H60"/>
    <mergeCell ref="C62:E62"/>
    <mergeCell ref="G62:H62"/>
    <mergeCell ref="C63:D63"/>
    <mergeCell ref="C58:H58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2:M56"/>
  <sheetViews>
    <sheetView zoomScale="70" zoomScaleNormal="70" zoomScalePageLayoutView="70" workbookViewId="0">
      <pane ySplit="14" topLeftCell="A15" activePane="bottomLeft" state="frozen"/>
      <selection activeCell="D13" sqref="D13:M13"/>
      <selection pane="bottomLeft" activeCell="D13" sqref="D13:M13"/>
    </sheetView>
  </sheetViews>
  <sheetFormatPr baseColWidth="10" defaultColWidth="10.90625" defaultRowHeight="23.1" customHeight="1"/>
  <cols>
    <col min="1" max="1" width="3" style="286" customWidth="1"/>
    <col min="2" max="2" width="3.08984375" style="286" customWidth="1"/>
    <col min="3" max="3" width="12.08984375" style="286" customWidth="1"/>
    <col min="4" max="4" width="68" style="286" customWidth="1"/>
    <col min="5" max="7" width="39.08984375" style="286" customWidth="1"/>
    <col min="8" max="8" width="3.54296875" style="286" customWidth="1"/>
    <col min="9" max="9" width="10.90625" style="286"/>
    <col min="10" max="12" width="4.08984375" style="286" customWidth="1"/>
    <col min="13" max="13" width="11.54296875" style="286" bestFit="1" customWidth="1"/>
    <col min="14" max="16384" width="10.90625" style="286"/>
  </cols>
  <sheetData>
    <row r="2" spans="2:13" ht="23.1" customHeight="1">
      <c r="D2" s="321" t="s">
        <v>31</v>
      </c>
    </row>
    <row r="3" spans="2:13" ht="23.1" customHeight="1">
      <c r="D3" s="321" t="s">
        <v>32</v>
      </c>
    </row>
    <row r="4" spans="2:13" ht="23.1" customHeight="1" thickBot="1"/>
    <row r="5" spans="2:13" ht="9" customHeight="1">
      <c r="B5" s="1004" t="s">
        <v>849</v>
      </c>
      <c r="C5" s="378"/>
      <c r="D5" s="378"/>
      <c r="E5" s="378"/>
      <c r="F5" s="378"/>
      <c r="G5" s="378"/>
      <c r="H5" s="379"/>
    </row>
    <row r="6" spans="2:13" ht="30" customHeight="1">
      <c r="B6" s="380"/>
      <c r="C6" s="1" t="s">
        <v>0</v>
      </c>
      <c r="D6" s="23"/>
      <c r="E6" s="23"/>
      <c r="F6" s="377"/>
      <c r="G6" s="1111">
        <f>ejercicio</f>
        <v>2018</v>
      </c>
      <c r="H6" s="381"/>
    </row>
    <row r="7" spans="2:13" ht="30" customHeight="1">
      <c r="B7" s="380"/>
      <c r="C7" s="1" t="s">
        <v>1</v>
      </c>
      <c r="D7" s="377"/>
      <c r="E7" s="377"/>
      <c r="F7" s="377"/>
      <c r="G7" s="1111">
        <v>2018</v>
      </c>
      <c r="H7" s="381"/>
    </row>
    <row r="8" spans="2:13" ht="30" customHeight="1">
      <c r="B8" s="380"/>
      <c r="C8" s="377"/>
      <c r="D8" s="377"/>
      <c r="E8" s="377"/>
      <c r="F8" s="377"/>
      <c r="G8" s="16"/>
      <c r="H8" s="381"/>
      <c r="J8" s="382"/>
    </row>
    <row r="9" spans="2:13" ht="30" customHeight="1">
      <c r="B9" s="380"/>
      <c r="C9" s="39" t="s">
        <v>2</v>
      </c>
      <c r="D9" s="1116" t="str">
        <f>Entidad</f>
        <v>SPET, Turismo de Tenerife, S.A.</v>
      </c>
      <c r="E9" s="1116"/>
      <c r="F9" s="1116"/>
      <c r="G9" s="1116"/>
      <c r="H9" s="381"/>
    </row>
    <row r="10" spans="2:13" ht="7.35" customHeight="1">
      <c r="B10" s="380"/>
      <c r="C10" s="377"/>
      <c r="D10" s="377"/>
      <c r="E10" s="377"/>
      <c r="F10" s="377"/>
      <c r="G10" s="383"/>
      <c r="H10" s="381"/>
    </row>
    <row r="11" spans="2:13" s="12" customFormat="1" ht="30" customHeight="1">
      <c r="B11" s="24"/>
      <c r="C11" s="1002" t="s">
        <v>848</v>
      </c>
      <c r="D11" s="1003"/>
      <c r="E11" s="1003"/>
      <c r="F11" s="1003"/>
      <c r="G11" s="1003"/>
      <c r="H11" s="25"/>
    </row>
    <row r="12" spans="2:13" ht="23.1" customHeight="1">
      <c r="B12" s="380"/>
      <c r="C12" s="377"/>
      <c r="D12" s="377"/>
      <c r="E12" s="377"/>
      <c r="F12" s="377"/>
      <c r="G12" s="377"/>
      <c r="H12" s="381"/>
    </row>
    <row r="13" spans="2:13" ht="23.1" customHeight="1">
      <c r="B13" s="380"/>
      <c r="C13" s="377"/>
      <c r="D13" s="377"/>
      <c r="E13" s="977" t="s">
        <v>805</v>
      </c>
      <c r="F13" s="977" t="s">
        <v>804</v>
      </c>
      <c r="G13" s="977" t="s">
        <v>806</v>
      </c>
      <c r="H13" s="381"/>
    </row>
    <row r="14" spans="2:13" ht="23.1" customHeight="1">
      <c r="B14" s="380"/>
      <c r="D14" s="377"/>
      <c r="E14" s="978">
        <f>ejercicio-2</f>
        <v>2016</v>
      </c>
      <c r="F14" s="978">
        <f>ejercicio-1</f>
        <v>2017</v>
      </c>
      <c r="G14" s="978">
        <f>ejercicio</f>
        <v>2018</v>
      </c>
      <c r="H14" s="381"/>
    </row>
    <row r="15" spans="2:13" s="983" customFormat="1" ht="30" customHeight="1">
      <c r="B15" s="979"/>
      <c r="C15" s="980" t="s">
        <v>675</v>
      </c>
      <c r="D15" s="980"/>
      <c r="E15" s="981" t="str">
        <f>IF(ROUND('FC-4_ACTIVO'!E94-'FC-4_PASIVO'!E86,2)=0,"Ok","Mal, revisa FC-4")</f>
        <v>Ok</v>
      </c>
      <c r="F15" s="981" t="str">
        <f>IF(ROUND('FC-4_ACTIVO'!F94-'FC-4_PASIVO'!F86,2)=0,"Ok","Mal, revisa FC-4")</f>
        <v>Ok</v>
      </c>
      <c r="G15" s="981" t="str">
        <f>IF(ROUND('FC-4_ACTIVO'!G94-'FC-4_PASIVO'!G86,2)=0,"Ok","Mal, revisa FC-4")</f>
        <v>Ok</v>
      </c>
      <c r="H15" s="982"/>
      <c r="J15" s="984">
        <f>IF(E15="Ok",0,1)</f>
        <v>0</v>
      </c>
      <c r="K15" s="984">
        <f>IF(F15="Ok",0,1)</f>
        <v>0</v>
      </c>
      <c r="L15" s="984">
        <f>IF(G15="Ok",0,1)</f>
        <v>0</v>
      </c>
      <c r="M15" s="984">
        <f>SUM(J15:L15)</f>
        <v>0</v>
      </c>
    </row>
    <row r="16" spans="2:13" s="983" customFormat="1" ht="30" customHeight="1">
      <c r="B16" s="979"/>
      <c r="C16" s="985" t="s">
        <v>677</v>
      </c>
      <c r="D16" s="985"/>
      <c r="E16" s="986" t="str">
        <f>IF(ROUND(('FC-3_CPyG'!E84-'FC-4_PASIVO'!E32),2)=0,"Ok","Mal, revisa FC-3 y FC-4")</f>
        <v>Ok</v>
      </c>
      <c r="F16" s="986" t="str">
        <f>IF(ROUND(('FC-3_CPyG'!F84-'FC-4_PASIVO'!F32),2)=0,"Ok","Mal, revisa FC-3 y FC-4")</f>
        <v>Ok</v>
      </c>
      <c r="G16" s="986" t="str">
        <f>IF(ROUND(('FC-3_CPyG'!G84-'FC-4_PASIVO'!G32),2)=0,"Ok","Mal, revisa FC-3 y FC-4")</f>
        <v>Ok</v>
      </c>
      <c r="H16" s="982"/>
      <c r="J16" s="984">
        <f t="shared" ref="J16:J21" si="0">IF(E16="Ok",0,1)</f>
        <v>0</v>
      </c>
      <c r="K16" s="984">
        <f t="shared" ref="K16:K21" si="1">IF(F16="Ok",0,1)</f>
        <v>0</v>
      </c>
      <c r="L16" s="984">
        <f t="shared" ref="L16:L22" si="2">IF(G16="Ok",0,1)</f>
        <v>0</v>
      </c>
      <c r="M16" s="984">
        <f t="shared" ref="M16:M42" si="3">SUM(J16:L16)</f>
        <v>0</v>
      </c>
    </row>
    <row r="17" spans="2:13" s="983" customFormat="1" ht="30" customHeight="1">
      <c r="B17" s="979"/>
      <c r="C17" s="985" t="s">
        <v>678</v>
      </c>
      <c r="D17" s="985"/>
      <c r="E17" s="986" t="str">
        <f>IF(ROUND('FC-5_EFE'!F92,2)=ROUND(('FC-5_EFE'!F95-'FC-5_EFE'!F94),2),"Ok","Mal, revisa FC-5")</f>
        <v>Ok</v>
      </c>
      <c r="F17" s="986" t="str">
        <f>IF(ROUND('FC-5_EFE'!G92,2)=ROUND(('FC-5_EFE'!G95-'FC-5_EFE'!G94),2),"Ok","Mal, revisa FC-5")</f>
        <v>Ok</v>
      </c>
      <c r="G17" s="986" t="str">
        <f>IF(ROUND('FC-5_EFE'!H92,2)=ROUND(('FC-5_EFE'!H95-'FC-5_EFE'!H94),2),"Ok","Mal, revisa FC-5")</f>
        <v>Ok</v>
      </c>
      <c r="H17" s="982"/>
      <c r="J17" s="984">
        <f t="shared" si="0"/>
        <v>0</v>
      </c>
      <c r="K17" s="984">
        <f t="shared" si="1"/>
        <v>0</v>
      </c>
      <c r="L17" s="984">
        <f t="shared" si="2"/>
        <v>0</v>
      </c>
      <c r="M17" s="984">
        <f t="shared" si="3"/>
        <v>0</v>
      </c>
    </row>
    <row r="18" spans="2:13" s="983" customFormat="1" ht="30" customHeight="1">
      <c r="B18" s="979"/>
      <c r="C18" s="987" t="s">
        <v>749</v>
      </c>
      <c r="D18" s="985"/>
      <c r="E18" s="986" t="str">
        <f>IF(ROUND('FC-3_CPyG'!E16-'FC-3_1_INF_ADIC_CPyG'!E43,2)=0,"Ok","Mal, revisa datos en FC-3 PyG y FC3.1")</f>
        <v>Ok</v>
      </c>
      <c r="F18" s="986" t="str">
        <f>IF(ROUND('FC-3_CPyG'!F16-'FC-3_1_INF_ADIC_CPyG'!H43,2)=0,"Ok","Mal, revisa datos en FC-3 PyG y FC3.1")</f>
        <v>Ok</v>
      </c>
      <c r="G18" s="986" t="str">
        <f>IF(ROUND('FC-3_CPyG'!G16-'FC-3_1_INF_ADIC_CPyG'!K43,2)=0,"Ok","Mal, revisa datos en FC-3 PyG y FC3.1")</f>
        <v>Ok</v>
      </c>
      <c r="H18" s="982"/>
      <c r="J18" s="984">
        <f t="shared" si="0"/>
        <v>0</v>
      </c>
      <c r="K18" s="984">
        <f t="shared" si="1"/>
        <v>0</v>
      </c>
      <c r="L18" s="984">
        <f t="shared" si="2"/>
        <v>0</v>
      </c>
      <c r="M18" s="984">
        <f t="shared" si="3"/>
        <v>0</v>
      </c>
    </row>
    <row r="19" spans="2:13" s="983" customFormat="1" ht="30" customHeight="1">
      <c r="B19" s="979"/>
      <c r="C19" s="987" t="s">
        <v>752</v>
      </c>
      <c r="D19" s="985"/>
      <c r="E19" s="986" t="str">
        <f>IF(ROUND('FC-3_CPyG'!E48-'FC-3_1_INF_ADIC_CPyG'!E47-'FC-3_1_INF_ADIC_CPyG'!E55,2)=0,"Ok","Mal, revisa datos en FC-3 CPYG y FC-3.1")</f>
        <v>Ok</v>
      </c>
      <c r="F19" s="986" t="str">
        <f>IF(ROUND('FC-3_CPyG'!F48-'FC-3_1_INF_ADIC_CPyG'!F47-'FC-3_1_INF_ADIC_CPyG'!F55,2)=0,"Ok","Mal, revisa datos en FC-3 CPYG y FC-3.1")</f>
        <v>Ok</v>
      </c>
      <c r="G19" s="986" t="str">
        <f>IF(ROUND('FC-3_CPyG'!G48-'FC-3_1_INF_ADIC_CPyG'!G47-'FC-3_1_INF_ADIC_CPyG'!G55,2)=0,"Ok","Mal, revisa datos en FC-3 CPYG y FC-3.1")</f>
        <v>Ok</v>
      </c>
      <c r="H19" s="982"/>
      <c r="J19" s="984">
        <f t="shared" si="0"/>
        <v>0</v>
      </c>
      <c r="K19" s="984">
        <f t="shared" si="1"/>
        <v>0</v>
      </c>
      <c r="L19" s="984">
        <f t="shared" si="2"/>
        <v>0</v>
      </c>
      <c r="M19" s="984">
        <f t="shared" si="3"/>
        <v>0</v>
      </c>
    </row>
    <row r="20" spans="2:13" s="983" customFormat="1" ht="30" customHeight="1">
      <c r="B20" s="979"/>
      <c r="C20" s="987" t="s">
        <v>753</v>
      </c>
      <c r="D20" s="985"/>
      <c r="E20" s="986" t="str">
        <f>IF(ROUND('FC-3_CPyG'!E28-'FC-3_1_INF_ADIC_CPyG'!E71,2)=0,"Ok","Mal, revísa datos en FC-3 y FC-3.1")</f>
        <v>Ok</v>
      </c>
      <c r="F20" s="986" t="str">
        <f>IF(ROUND('FC-3_CPyG'!F28-'FC-3_1_INF_ADIC_CPyG'!F71,2)=0,"Ok","Mal, revísa datos en FC-3 y FC-3.1")</f>
        <v>Ok</v>
      </c>
      <c r="G20" s="986" t="str">
        <f>IF(ROUND('FC-3_CPyG'!G28-'FC-3_1_INF_ADIC_CPyG'!G71,2)=0,"Ok","Mal, revísa datos en FC-3 y FC-3.1")</f>
        <v>Ok</v>
      </c>
      <c r="H20" s="982"/>
      <c r="J20" s="984">
        <f t="shared" si="0"/>
        <v>0</v>
      </c>
      <c r="K20" s="984">
        <f t="shared" si="1"/>
        <v>0</v>
      </c>
      <c r="L20" s="984">
        <f t="shared" si="2"/>
        <v>0</v>
      </c>
      <c r="M20" s="984">
        <f t="shared" si="3"/>
        <v>0</v>
      </c>
    </row>
    <row r="21" spans="2:13" s="983" customFormat="1" ht="30" customHeight="1">
      <c r="B21" s="979"/>
      <c r="C21" s="987" t="s">
        <v>754</v>
      </c>
      <c r="D21" s="985"/>
      <c r="E21" s="986" t="str">
        <f>IF(ROUND('FC-3_CPyG'!E29-'FC-3_1_INF_ADIC_CPyG'!E75,2)=0,"Ok","Mal, revisa datos en FC-3 CPyG y FC-3.1")</f>
        <v>Ok</v>
      </c>
      <c r="F21" s="986" t="str">
        <f>IF(ROUND('FC-3_CPyG'!F29-'FC-3_1_INF_ADIC_CPyG'!F75,2)=0,"Ok","Mal, revisa datos en FC-3 CPyG y FC-3.1")</f>
        <v>Ok</v>
      </c>
      <c r="G21" s="986" t="str">
        <f>IF(ROUND('FC-3_CPyG'!G29-'FC-3_1_INF_ADIC_CPyG'!G75,2)=0,"Ok","Mal, revisa datos en FC-3 CPyG y FC-3.1")</f>
        <v>Ok</v>
      </c>
      <c r="H21" s="982"/>
      <c r="J21" s="984">
        <f t="shared" si="0"/>
        <v>0</v>
      </c>
      <c r="K21" s="984">
        <f t="shared" si="1"/>
        <v>0</v>
      </c>
      <c r="L21" s="984">
        <f t="shared" si="2"/>
        <v>0</v>
      </c>
      <c r="M21" s="984">
        <f t="shared" si="3"/>
        <v>0</v>
      </c>
    </row>
    <row r="22" spans="2:13" s="983" customFormat="1" ht="30" customHeight="1">
      <c r="B22" s="979"/>
      <c r="C22" s="987" t="s">
        <v>748</v>
      </c>
      <c r="D22" s="985"/>
      <c r="E22" s="988"/>
      <c r="F22" s="988"/>
      <c r="G22" s="986" t="str">
        <f>IF(ROUND('FC-6_Inversiones'!G46-SUM('FC-6_Inversiones'!H46:M46),2)=0,"Ok","Mal, revisa totales FC-6")</f>
        <v>Ok</v>
      </c>
      <c r="H22" s="982"/>
      <c r="J22" s="984"/>
      <c r="K22" s="984"/>
      <c r="L22" s="984">
        <f t="shared" si="2"/>
        <v>0</v>
      </c>
      <c r="M22" s="984">
        <f t="shared" si="3"/>
        <v>0</v>
      </c>
    </row>
    <row r="23" spans="2:13" s="983" customFormat="1" ht="30" customHeight="1">
      <c r="B23" s="979"/>
      <c r="C23" s="985" t="s">
        <v>680</v>
      </c>
      <c r="D23" s="985"/>
      <c r="E23" s="988"/>
      <c r="F23" s="986" t="str">
        <f>IF(ROUND('FC-4_ACTIVO'!F17-'FC-7_INF'!M15,2)=0,"Ok","Mal, revisa FC-4 ACTIVO y FC-7")</f>
        <v>Ok</v>
      </c>
      <c r="G23" s="986" t="str">
        <f>IF(ROUND('FC-4_ACTIVO'!G17-'FC-7_INF'!M26,2)=0,"Ok","Mal, revisa FC-4 ACTIVO y FC-7")</f>
        <v>Ok</v>
      </c>
      <c r="H23" s="982"/>
      <c r="J23" s="984"/>
      <c r="K23" s="984">
        <f t="shared" ref="K23:K27" si="4">IF(F23="Ok",0,1)</f>
        <v>0</v>
      </c>
      <c r="L23" s="984">
        <f t="shared" ref="L23:L27" si="5">IF(G23="Ok",0,1)</f>
        <v>0</v>
      </c>
      <c r="M23" s="984">
        <f t="shared" si="3"/>
        <v>0</v>
      </c>
    </row>
    <row r="24" spans="2:13" s="983" customFormat="1" ht="30" customHeight="1">
      <c r="B24" s="979"/>
      <c r="C24" s="985" t="s">
        <v>679</v>
      </c>
      <c r="D24" s="985"/>
      <c r="E24" s="988"/>
      <c r="F24" s="986" t="str">
        <f>IF(ROUND('FC-4_ACTIVO'!F26-'FC-7_INF'!M16-'FC-7_INF'!M17,2)=0,"Ok","Mal, revisa FC-4 ACTIVO y FC-7")</f>
        <v>Ok</v>
      </c>
      <c r="G24" s="986" t="str">
        <f>IF(ROUND('FC-4_ACTIVO'!G26-'FC-7_INF'!M27-'FC-7_INF'!M28,2)=0,"Ok","Mal, revisa FC-4 ACTIVO y FC-7")</f>
        <v>Ok</v>
      </c>
      <c r="H24" s="982"/>
      <c r="J24" s="984"/>
      <c r="K24" s="984">
        <f t="shared" si="4"/>
        <v>0</v>
      </c>
      <c r="L24" s="984">
        <f t="shared" si="5"/>
        <v>0</v>
      </c>
      <c r="M24" s="984">
        <f t="shared" si="3"/>
        <v>0</v>
      </c>
    </row>
    <row r="25" spans="2:13" s="983" customFormat="1" ht="30" customHeight="1">
      <c r="B25" s="979"/>
      <c r="C25" s="985" t="s">
        <v>681</v>
      </c>
      <c r="D25" s="985"/>
      <c r="E25" s="988"/>
      <c r="F25" s="986" t="str">
        <f>IF(ROUND(('FC-4_ACTIVO'!F30-'FC-7_INF'!M18-'FC-7_INF'!M19),2)=0,"Ok","Mal, revisa FC-4 ACTIVO y FC-7")</f>
        <v>Ok</v>
      </c>
      <c r="G25" s="986" t="str">
        <f>IF(ROUND(('FC-4_ACTIVO'!G30-'FC-7_INF'!M29-'FC-7_INF'!M30),2)=0,"Ok","Mal, revisa FC-4 ACTIVO y FC-7")</f>
        <v>Ok</v>
      </c>
      <c r="H25" s="982"/>
      <c r="J25" s="984"/>
      <c r="K25" s="984">
        <f t="shared" si="4"/>
        <v>0</v>
      </c>
      <c r="L25" s="984">
        <f t="shared" si="5"/>
        <v>0</v>
      </c>
      <c r="M25" s="984">
        <f t="shared" si="3"/>
        <v>0</v>
      </c>
    </row>
    <row r="26" spans="2:13" s="983" customFormat="1" ht="30" customHeight="1">
      <c r="B26" s="979"/>
      <c r="C26" s="987" t="s">
        <v>726</v>
      </c>
      <c r="D26" s="985"/>
      <c r="E26" s="988"/>
      <c r="F26" s="989" t="str">
        <f>IF(ROUND('FC-7_INF'!M22-'FC-4_ACTIVO'!F52,2)=0,"Ok","Mal, revisa FC-4 ACTIVO y FC-7")</f>
        <v>Ok</v>
      </c>
      <c r="G26" s="989" t="str">
        <f>IF(ROUND('FC-7_INF'!M33-'FC-4_ACTIVO'!G52,2)=0,"Ok","Mal, revisa FC-4 ACTIVO y FC-7")</f>
        <v>Ok</v>
      </c>
      <c r="H26" s="982"/>
      <c r="J26" s="984"/>
      <c r="K26" s="984">
        <f t="shared" si="4"/>
        <v>0</v>
      </c>
      <c r="L26" s="984">
        <f t="shared" si="5"/>
        <v>0</v>
      </c>
      <c r="M26" s="984">
        <f t="shared" si="3"/>
        <v>0</v>
      </c>
    </row>
    <row r="27" spans="2:13" s="983" customFormat="1" ht="30" customHeight="1">
      <c r="B27" s="979"/>
      <c r="C27" s="987" t="s">
        <v>727</v>
      </c>
      <c r="D27" s="985"/>
      <c r="E27" s="988"/>
      <c r="F27" s="986" t="str">
        <f>IF(ROUND('FC-3_CPyG'!F40-'FC-7_INF'!I20,2)=0,"Ok","Mal, revisa datos en FC-3 y FC-7")</f>
        <v>Ok</v>
      </c>
      <c r="G27" s="986" t="str">
        <f>IF(ROUND('FC-3_CPyG'!G40-'FC-7_INF'!I31,2)=0,"Ok","Mal, revisa datos en FC-3 y FC-7")</f>
        <v>Ok</v>
      </c>
      <c r="H27" s="982"/>
      <c r="J27" s="984"/>
      <c r="K27" s="984">
        <f t="shared" si="4"/>
        <v>0</v>
      </c>
      <c r="L27" s="984">
        <f t="shared" si="5"/>
        <v>0</v>
      </c>
      <c r="M27" s="984">
        <f t="shared" si="3"/>
        <v>0</v>
      </c>
    </row>
    <row r="28" spans="2:13" s="983" customFormat="1" ht="30" customHeight="1">
      <c r="B28" s="979"/>
      <c r="C28" s="990" t="s">
        <v>803</v>
      </c>
      <c r="D28" s="985"/>
      <c r="E28" s="988"/>
      <c r="F28" s="988"/>
      <c r="G28" s="986" t="str">
        <f>IF(ROUND('FC-6_Inversiones'!I46-'FC-7_INF'!F31,2)=0,"Ok","Mal, revisa I46 en FC-6 y F31 en FC-7")</f>
        <v>Ok</v>
      </c>
      <c r="H28" s="982"/>
      <c r="J28" s="984"/>
      <c r="K28" s="984"/>
      <c r="L28" s="984"/>
      <c r="M28" s="984"/>
    </row>
    <row r="29" spans="2:13" s="983" customFormat="1" ht="30" customHeight="1">
      <c r="B29" s="979"/>
      <c r="C29" s="991" t="s">
        <v>842</v>
      </c>
      <c r="D29" s="991"/>
      <c r="E29" s="992"/>
      <c r="F29" s="992"/>
      <c r="G29" s="993" t="str">
        <f>IF(ROUND(('FC-4_ACTIVO'!G34+'FC-4_ACTIVO'!G76)-'FC-8_INV_FINANCIERAS'!J25,2)=0,"Ok","Mal, revisa datos en FC-4 Activo y FC-8")</f>
        <v>Ok</v>
      </c>
      <c r="H29" s="982"/>
      <c r="J29" s="984"/>
      <c r="K29" s="984"/>
      <c r="L29" s="984"/>
      <c r="M29" s="984"/>
    </row>
    <row r="30" spans="2:13" s="983" customFormat="1" ht="30" customHeight="1">
      <c r="B30" s="979"/>
      <c r="C30" s="991" t="s">
        <v>844</v>
      </c>
      <c r="D30" s="991"/>
      <c r="E30" s="992"/>
      <c r="F30" s="992"/>
      <c r="G30" s="993" t="str">
        <f>IF(ROUND((SUM('FC-4_ACTIVO'!G35:G39)+SUM('FC-4_ACTIVO'!G77:G81))-('FC-8_INV_FINANCIERAS'!J34),2)=0,"Ok","Mal, revisa datos en FC-4 Activo y FC-8")</f>
        <v>Ok</v>
      </c>
      <c r="H30" s="982"/>
      <c r="J30" s="984"/>
      <c r="K30" s="984"/>
      <c r="L30" s="984"/>
      <c r="M30" s="984"/>
    </row>
    <row r="31" spans="2:13" s="983" customFormat="1" ht="30" customHeight="1">
      <c r="B31" s="979"/>
      <c r="C31" s="991" t="s">
        <v>843</v>
      </c>
      <c r="D31" s="991"/>
      <c r="E31" s="992"/>
      <c r="F31" s="992"/>
      <c r="G31" s="993" t="str">
        <f>IF(ROUND(('FC-4_ACTIVO'!G41+'FC-4_ACTIVO'!G83)-'FC-8_INV_FINANCIERAS'!J49,2)=0,"Ok","Mal, revisa datos en FC-4 ACTIVO y FC-8")</f>
        <v>Ok</v>
      </c>
      <c r="H31" s="982"/>
      <c r="J31" s="984"/>
      <c r="K31" s="984"/>
      <c r="L31" s="984"/>
      <c r="M31" s="984"/>
    </row>
    <row r="32" spans="2:13" s="983" customFormat="1" ht="30" customHeight="1">
      <c r="B32" s="979"/>
      <c r="C32" s="991" t="s">
        <v>845</v>
      </c>
      <c r="D32" s="991"/>
      <c r="E32" s="992"/>
      <c r="F32" s="992"/>
      <c r="G32" s="993" t="str">
        <f>IF(ROUND((SUM('FC-4_ACTIVO'!G42:G46)+SUM('FC-4_ACTIVO'!G84:G88))-'FC-8_INV_FINANCIERAS'!J58,2)=0,"Ok","Mal, revisa datos en FC-4 Activo y en FC-8")</f>
        <v>Ok</v>
      </c>
      <c r="H32" s="982"/>
      <c r="J32" s="984"/>
      <c r="K32" s="984"/>
      <c r="L32" s="984"/>
      <c r="M32" s="984"/>
    </row>
    <row r="33" spans="2:13" s="983" customFormat="1" ht="30" customHeight="1">
      <c r="B33" s="979"/>
      <c r="C33" s="987" t="s">
        <v>730</v>
      </c>
      <c r="D33" s="985"/>
      <c r="E33" s="988"/>
      <c r="F33" s="986" t="str">
        <f>IF(ROUND('FC-4_PASIVO'!F41-'FC-9_TRANS_SUBV'!F35,2)=0,"Ok","Mal, revisa FC-4 PASIVO y FC-9")</f>
        <v>Ok</v>
      </c>
      <c r="G33" s="986" t="str">
        <f>IF(ROUND('FC-4_PASIVO'!G41-'FC-9_TRANS_SUBV'!G35,2)=0,"Ok","Mal, revisa FC-4 PASIVO y FC-9")</f>
        <v>Ok</v>
      </c>
      <c r="H33" s="982"/>
      <c r="J33" s="984"/>
      <c r="K33" s="984">
        <f t="shared" ref="K33:K38" si="6">IF(F33="Ok",0,1)</f>
        <v>0</v>
      </c>
      <c r="L33" s="984">
        <f t="shared" ref="L33:L42" si="7">IF(G33="Ok",0,1)</f>
        <v>0</v>
      </c>
      <c r="M33" s="984">
        <f t="shared" si="3"/>
        <v>0</v>
      </c>
    </row>
    <row r="34" spans="2:13" s="1045" customFormat="1" ht="30" customHeight="1">
      <c r="B34" s="1046"/>
      <c r="C34" s="1047" t="s">
        <v>886</v>
      </c>
      <c r="D34" s="1047"/>
      <c r="E34" s="1048"/>
      <c r="F34" s="1049" t="str">
        <f>IF(ROUND('FC-3_CPyG'!F41+('FC-9_TRANS_SUBV'!F33),2)=0,"Ok","Mal, revisa datos FC-3 epígr. A) 9. y FC-9 celda F33")</f>
        <v>Ok</v>
      </c>
      <c r="G34" s="1049" t="str">
        <f>IF(ROUND('FC-3_CPyG'!G41+('FC-9_TRANS_SUBV'!G33),2)=0,"Ok","Mal, revisa datos FC-3 epígr. A) 9. y FC-9 celda G33")</f>
        <v>Ok</v>
      </c>
      <c r="H34" s="1050"/>
      <c r="J34" s="984"/>
      <c r="K34" s="984"/>
      <c r="L34" s="984"/>
      <c r="M34" s="984"/>
    </row>
    <row r="35" spans="2:13" s="983" customFormat="1" ht="30" customHeight="1">
      <c r="B35" s="979"/>
      <c r="C35" s="987" t="s">
        <v>731</v>
      </c>
      <c r="D35" s="985"/>
      <c r="E35" s="988"/>
      <c r="F35" s="986" t="str">
        <f>IF('FC-3_CPyG'!F29-'FC-9_TRANS_SUBV'!F68=0,"Ok","Mal, revisa dato en FC-3 y FC-9")</f>
        <v>Ok</v>
      </c>
      <c r="G35" s="986" t="str">
        <f>IF('FC-3_CPyG'!G29-'FC-9_TRANS_SUBV'!G68=0,"Ok","Mal, revisa dato en FC-3 y FC-9")</f>
        <v>Ok</v>
      </c>
      <c r="H35" s="982"/>
      <c r="J35" s="984"/>
      <c r="K35" s="984">
        <f t="shared" si="6"/>
        <v>0</v>
      </c>
      <c r="L35" s="984">
        <f t="shared" si="7"/>
        <v>0</v>
      </c>
      <c r="M35" s="984">
        <f t="shared" si="3"/>
        <v>0</v>
      </c>
    </row>
    <row r="36" spans="2:13" s="983" customFormat="1" ht="30" customHeight="1">
      <c r="B36" s="979"/>
      <c r="C36" s="987" t="s">
        <v>734</v>
      </c>
      <c r="D36" s="985"/>
      <c r="E36" s="988"/>
      <c r="F36" s="1117" t="s">
        <v>959</v>
      </c>
      <c r="G36" s="1118"/>
      <c r="H36" s="982"/>
      <c r="J36" s="984"/>
      <c r="K36" s="984">
        <f t="shared" si="6"/>
        <v>1</v>
      </c>
      <c r="L36" s="984">
        <f t="shared" si="7"/>
        <v>1</v>
      </c>
      <c r="M36" s="984">
        <f t="shared" si="3"/>
        <v>2</v>
      </c>
    </row>
    <row r="37" spans="2:13" s="1074" customFormat="1" ht="30" customHeight="1">
      <c r="B37" s="1075"/>
      <c r="C37" s="1076" t="s">
        <v>958</v>
      </c>
      <c r="D37" s="1076"/>
      <c r="E37" s="1077"/>
      <c r="F37" s="1078" t="str">
        <f>IF(ROUND(('FC-4_PASIVO'!F31-'FC-4_PASIVO'!E31-'FC-4_PASIVO'!E32-'FC-9_TRANS_SUBV'!F83),2)=0,"Ok","Mal, revisa FC-4 PASIVO y FC-9")</f>
        <v>Ok</v>
      </c>
      <c r="G37" s="1078" t="str">
        <f>IF(ROUND(('FC-4_PASIVO'!G31-'FC-4_PASIVO'!F31-'FC-4_PASIVO'!F32-'FC-9_TRANS_SUBV'!G83),2)=0,"Ok","Mal, revisa FC-4 PASIVO y FC-9")</f>
        <v>Ok</v>
      </c>
      <c r="H37" s="1079"/>
      <c r="J37" s="984"/>
      <c r="K37" s="984">
        <f t="shared" si="6"/>
        <v>0</v>
      </c>
      <c r="L37" s="984">
        <f t="shared" si="7"/>
        <v>0</v>
      </c>
      <c r="M37" s="984">
        <f t="shared" si="3"/>
        <v>0</v>
      </c>
    </row>
    <row r="38" spans="2:13" s="983" customFormat="1" ht="30" customHeight="1">
      <c r="B38" s="979"/>
      <c r="C38" s="987" t="s">
        <v>736</v>
      </c>
      <c r="D38" s="985"/>
      <c r="E38" s="988"/>
      <c r="F38" s="986" t="str">
        <f>IF(ROUND(('FC-4_PASIVO'!F51+'FC-4_PASIVO'!F52+'FC-4_PASIVO'!F68+'FC-4_PASIVO'!F69)-('FC-10_DEUDAS'!L42+'FC-10_DEUDAS'!L74),2)=0,"Ok","Mal, revisa datos en FC-4 PASIVO y FC-10")</f>
        <v>Ok</v>
      </c>
      <c r="G38" s="986" t="str">
        <f>IF(ROUND(('FC-4_PASIVO'!G51+'FC-4_PASIVO'!G52+'FC-4_PASIVO'!G68+'FC-4_PASIVO'!G69)-('FC-10_DEUDAS'!Q42+'FC-10_DEUDAS'!Q74),2)=0,"Ok","Mal, revisa datos en FC-4 PASIVO y FC-10")</f>
        <v>Ok</v>
      </c>
      <c r="H38" s="982"/>
      <c r="J38" s="984"/>
      <c r="K38" s="984">
        <f t="shared" si="6"/>
        <v>0</v>
      </c>
      <c r="L38" s="984">
        <f t="shared" si="7"/>
        <v>0</v>
      </c>
      <c r="M38" s="984">
        <f t="shared" si="3"/>
        <v>0</v>
      </c>
    </row>
    <row r="39" spans="2:13" s="983" customFormat="1" ht="30" customHeight="1">
      <c r="B39" s="979"/>
      <c r="C39" s="987" t="s">
        <v>737</v>
      </c>
      <c r="D39" s="985"/>
      <c r="E39" s="988"/>
      <c r="F39" s="988"/>
      <c r="G39" s="986" t="str">
        <f>IF(ROUND('FC-10_DEUDAS'!Q74-'FC-10_DEUDAS'!R74-'FC-10_DEUDAS'!S74,2)=0,"Ok","Mal, revisa datos, celdas Q74=R74+S74 en FC-10")</f>
        <v>Ok</v>
      </c>
      <c r="H39" s="982"/>
      <c r="J39" s="984"/>
      <c r="K39" s="984"/>
      <c r="L39" s="984">
        <f t="shared" si="7"/>
        <v>0</v>
      </c>
      <c r="M39" s="984">
        <f t="shared" si="3"/>
        <v>0</v>
      </c>
    </row>
    <row r="40" spans="2:13" s="983" customFormat="1" ht="30" customHeight="1">
      <c r="B40" s="979"/>
      <c r="C40" s="994" t="s">
        <v>738</v>
      </c>
      <c r="D40" s="995"/>
      <c r="E40" s="996"/>
      <c r="F40" s="996"/>
      <c r="G40" s="997" t="str">
        <f>IF(ROUND(-'FC-3_CPyG'!G30-'FC-13_PERSONAL'!F31,2)=0,"Ok","Mal, revísa dato en FC-3 CPyG y FC-13")</f>
        <v>Ok</v>
      </c>
      <c r="H40" s="982"/>
      <c r="J40" s="984"/>
      <c r="K40" s="984"/>
      <c r="L40" s="984">
        <f t="shared" si="7"/>
        <v>0</v>
      </c>
      <c r="M40" s="984">
        <f t="shared" si="3"/>
        <v>0</v>
      </c>
    </row>
    <row r="41" spans="2:13" ht="30" customHeight="1">
      <c r="B41" s="380"/>
      <c r="C41" s="377"/>
      <c r="D41" s="377"/>
      <c r="E41" s="377"/>
      <c r="F41" s="377"/>
      <c r="G41" s="377"/>
      <c r="H41" s="381"/>
      <c r="J41" s="897"/>
      <c r="K41" s="897"/>
      <c r="L41" s="897"/>
      <c r="M41" s="897"/>
    </row>
    <row r="42" spans="2:13" ht="30" customHeight="1">
      <c r="B42" s="380"/>
      <c r="C42" s="998" t="s">
        <v>740</v>
      </c>
      <c r="D42" s="999"/>
      <c r="E42" s="1000"/>
      <c r="F42" s="1000"/>
      <c r="G42" s="1001" t="str">
        <f>IF(ROUND('FC-3_CPyG'!G84-'FC-92_PRESUPUESTO_PYG'!E59,2)=0,"Ok","Mal, revisa resultado en F-3 y FC-92")</f>
        <v>Ok</v>
      </c>
      <c r="H42" s="381"/>
      <c r="J42" s="897"/>
      <c r="K42" s="897"/>
      <c r="L42" s="897">
        <f t="shared" si="7"/>
        <v>0</v>
      </c>
      <c r="M42" s="897">
        <f t="shared" si="3"/>
        <v>0</v>
      </c>
    </row>
    <row r="43" spans="2:13" ht="23.1" customHeight="1" thickBot="1">
      <c r="B43" s="384"/>
      <c r="C43" s="385"/>
      <c r="D43" s="385"/>
      <c r="E43" s="385"/>
      <c r="F43" s="386"/>
      <c r="G43" s="385"/>
      <c r="H43" s="387"/>
    </row>
    <row r="44" spans="2:13" ht="23.1" customHeight="1">
      <c r="F44" s="388"/>
    </row>
    <row r="45" spans="2:13" s="42" customFormat="1" ht="13.2">
      <c r="C45" s="37" t="s">
        <v>77</v>
      </c>
      <c r="F45" s="43"/>
      <c r="G45" s="41"/>
    </row>
    <row r="46" spans="2:13" s="42" customFormat="1" ht="13.2">
      <c r="C46" s="38" t="s">
        <v>78</v>
      </c>
      <c r="F46" s="43"/>
    </row>
    <row r="47" spans="2:13" s="42" customFormat="1" ht="13.2">
      <c r="C47" s="38" t="s">
        <v>79</v>
      </c>
      <c r="F47" s="43"/>
    </row>
    <row r="48" spans="2:13" s="42" customFormat="1" ht="13.2">
      <c r="C48" s="38" t="s">
        <v>80</v>
      </c>
      <c r="F48" s="43"/>
    </row>
    <row r="49" spans="3:6" s="42" customFormat="1" ht="13.2">
      <c r="C49" s="38" t="s">
        <v>81</v>
      </c>
      <c r="F49" s="43"/>
    </row>
    <row r="50" spans="3:6" ht="23.1" customHeight="1">
      <c r="F50" s="388"/>
    </row>
    <row r="51" spans="3:6" ht="23.1" customHeight="1">
      <c r="F51" s="388"/>
    </row>
    <row r="52" spans="3:6" ht="23.1" customHeight="1">
      <c r="F52" s="388"/>
    </row>
    <row r="53" spans="3:6" ht="23.1" customHeight="1">
      <c r="F53" s="388"/>
    </row>
    <row r="54" spans="3:6" ht="23.1" customHeight="1">
      <c r="F54" s="388"/>
    </row>
    <row r="55" spans="3:6" ht="23.1" customHeight="1">
      <c r="F55" s="388"/>
    </row>
    <row r="56" spans="3:6" ht="23.1" customHeight="1">
      <c r="F56" s="388"/>
    </row>
  </sheetData>
  <sheetProtection password="E059" sheet="1" objects="1" scenarios="1"/>
  <mergeCells count="3">
    <mergeCell ref="G6:G7"/>
    <mergeCell ref="D9:G9"/>
    <mergeCell ref="F36:G36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47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46"/>
  <sheetViews>
    <sheetView zoomScale="40" zoomScaleNormal="40" zoomScalePageLayoutView="85" workbookViewId="0">
      <selection activeCell="AG67" sqref="AG67"/>
    </sheetView>
  </sheetViews>
  <sheetFormatPr baseColWidth="10" defaultColWidth="10.90625" defaultRowHeight="23.1" customHeight="1"/>
  <cols>
    <col min="1" max="2" width="3.08984375" style="99" customWidth="1"/>
    <col min="3" max="3" width="13.54296875" style="99" customWidth="1"/>
    <col min="4" max="4" width="99.54296875" style="99" customWidth="1"/>
    <col min="5" max="7" width="17.90625" style="100" customWidth="1"/>
    <col min="8" max="8" width="3.08984375" style="99" customWidth="1"/>
    <col min="9" max="16384" width="10.90625" style="99"/>
  </cols>
  <sheetData>
    <row r="2" spans="2:23" ht="23.1" customHeight="1">
      <c r="D2" s="221" t="s">
        <v>379</v>
      </c>
    </row>
    <row r="3" spans="2:23" ht="23.1" customHeight="1">
      <c r="D3" s="221" t="s">
        <v>380</v>
      </c>
    </row>
    <row r="4" spans="2:23" ht="23.1" customHeight="1" thickBot="1"/>
    <row r="5" spans="2:23" ht="9" customHeight="1">
      <c r="B5" s="101"/>
      <c r="C5" s="102"/>
      <c r="D5" s="102"/>
      <c r="E5" s="103"/>
      <c r="F5" s="103"/>
      <c r="G5" s="103"/>
      <c r="H5" s="104"/>
      <c r="J5" s="452"/>
      <c r="K5" s="453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3"/>
      <c r="W5" s="454"/>
    </row>
    <row r="6" spans="2:23" ht="30" customHeight="1">
      <c r="B6" s="105"/>
      <c r="C6" s="69" t="s">
        <v>0</v>
      </c>
      <c r="D6" s="106"/>
      <c r="E6" s="107"/>
      <c r="F6" s="107"/>
      <c r="G6" s="1111">
        <f>ejercicio</f>
        <v>2018</v>
      </c>
      <c r="H6" s="108"/>
      <c r="J6" s="455"/>
      <c r="K6" s="456" t="s">
        <v>707</v>
      </c>
      <c r="L6" s="456"/>
      <c r="M6" s="456"/>
      <c r="N6" s="456"/>
      <c r="O6" s="457"/>
      <c r="P6" s="457"/>
      <c r="Q6" s="457"/>
      <c r="R6" s="457"/>
      <c r="S6" s="457"/>
      <c r="T6" s="457"/>
      <c r="U6" s="457"/>
      <c r="V6" s="457"/>
      <c r="W6" s="458"/>
    </row>
    <row r="7" spans="2:23" ht="30" customHeight="1">
      <c r="B7" s="105"/>
      <c r="C7" s="69" t="s">
        <v>1</v>
      </c>
      <c r="D7" s="106"/>
      <c r="E7" s="107"/>
      <c r="F7" s="107"/>
      <c r="G7" s="1111"/>
      <c r="H7" s="108"/>
      <c r="J7" s="455"/>
      <c r="K7" s="457"/>
      <c r="L7" s="457"/>
      <c r="M7" s="457"/>
      <c r="N7" s="457"/>
      <c r="O7" s="457"/>
      <c r="P7" s="457"/>
      <c r="Q7" s="457"/>
      <c r="R7" s="457"/>
      <c r="S7" s="457"/>
      <c r="T7" s="457"/>
      <c r="U7" s="457"/>
      <c r="V7" s="457"/>
      <c r="W7" s="458"/>
    </row>
    <row r="8" spans="2:23" ht="30" customHeight="1">
      <c r="B8" s="105"/>
      <c r="C8" s="109"/>
      <c r="D8" s="106"/>
      <c r="E8" s="107"/>
      <c r="F8" s="107"/>
      <c r="G8" s="110"/>
      <c r="H8" s="108"/>
      <c r="J8" s="455"/>
      <c r="K8" s="457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7"/>
      <c r="W8" s="458"/>
    </row>
    <row r="9" spans="2:23" s="194" customFormat="1" ht="30" customHeight="1">
      <c r="B9" s="192"/>
      <c r="C9" s="56" t="s">
        <v>2</v>
      </c>
      <c r="D9" s="1135" t="str">
        <f>Entidad</f>
        <v>SPET, Turismo de Tenerife, S.A.</v>
      </c>
      <c r="E9" s="1135"/>
      <c r="F9" s="1135"/>
      <c r="G9" s="1135"/>
      <c r="H9" s="193"/>
      <c r="J9" s="455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7"/>
      <c r="W9" s="458"/>
    </row>
    <row r="10" spans="2:23" ht="7.35" customHeight="1">
      <c r="B10" s="105"/>
      <c r="C10" s="106"/>
      <c r="D10" s="106"/>
      <c r="E10" s="107"/>
      <c r="F10" s="107"/>
      <c r="G10" s="107"/>
      <c r="H10" s="108"/>
      <c r="J10" s="455"/>
      <c r="K10" s="457"/>
      <c r="L10" s="457"/>
      <c r="M10" s="457"/>
      <c r="N10" s="457"/>
      <c r="O10" s="457"/>
      <c r="P10" s="457"/>
      <c r="Q10" s="457"/>
      <c r="R10" s="457"/>
      <c r="S10" s="457"/>
      <c r="T10" s="457"/>
      <c r="U10" s="457"/>
      <c r="V10" s="457"/>
      <c r="W10" s="458"/>
    </row>
    <row r="11" spans="2:23" s="117" customFormat="1" ht="30" customHeight="1">
      <c r="B11" s="113"/>
      <c r="C11" s="114" t="s">
        <v>577</v>
      </c>
      <c r="D11" s="114"/>
      <c r="E11" s="115"/>
      <c r="F11" s="115"/>
      <c r="G11" s="115"/>
      <c r="H11" s="116"/>
      <c r="J11" s="455"/>
      <c r="K11" s="457"/>
      <c r="L11" s="457"/>
      <c r="M11" s="457"/>
      <c r="N11" s="457"/>
      <c r="O11" s="457"/>
      <c r="P11" s="457"/>
      <c r="Q11" s="457"/>
      <c r="R11" s="457"/>
      <c r="S11" s="457"/>
      <c r="T11" s="457"/>
      <c r="U11" s="457"/>
      <c r="V11" s="457"/>
      <c r="W11" s="458"/>
    </row>
    <row r="12" spans="2:23" s="117" customFormat="1" ht="30" customHeight="1">
      <c r="B12" s="113"/>
      <c r="C12" s="1177"/>
      <c r="D12" s="1177"/>
      <c r="E12" s="98"/>
      <c r="F12" s="98"/>
      <c r="G12" s="98"/>
      <c r="H12" s="116"/>
      <c r="J12" s="455"/>
      <c r="K12" s="457"/>
      <c r="L12" s="457"/>
      <c r="M12" s="457"/>
      <c r="N12" s="457"/>
      <c r="O12" s="457"/>
      <c r="P12" s="457"/>
      <c r="Q12" s="457"/>
      <c r="R12" s="457"/>
      <c r="S12" s="457"/>
      <c r="T12" s="457"/>
      <c r="U12" s="457"/>
      <c r="V12" s="457"/>
      <c r="W12" s="458"/>
    </row>
    <row r="13" spans="2:23" ht="29.1" customHeight="1">
      <c r="B13" s="119"/>
      <c r="C13" s="68" t="s">
        <v>578</v>
      </c>
      <c r="D13" s="159"/>
      <c r="E13" s="98"/>
      <c r="F13" s="98"/>
      <c r="G13" s="262"/>
      <c r="H13" s="108"/>
      <c r="J13" s="455"/>
      <c r="K13" s="457"/>
      <c r="L13" s="457"/>
      <c r="M13" s="457"/>
      <c r="N13" s="457"/>
      <c r="O13" s="457"/>
      <c r="P13" s="457"/>
      <c r="Q13" s="457"/>
      <c r="R13" s="457"/>
      <c r="S13" s="457"/>
      <c r="T13" s="457"/>
      <c r="U13" s="457"/>
      <c r="V13" s="457"/>
      <c r="W13" s="458"/>
    </row>
    <row r="14" spans="2:23" ht="9" customHeight="1">
      <c r="B14" s="119"/>
      <c r="C14" s="159"/>
      <c r="D14" s="159"/>
      <c r="E14" s="98"/>
      <c r="F14" s="98"/>
      <c r="G14" s="98"/>
      <c r="H14" s="108"/>
      <c r="J14" s="455"/>
      <c r="K14" s="457"/>
      <c r="L14" s="457"/>
      <c r="M14" s="457"/>
      <c r="N14" s="457"/>
      <c r="O14" s="457"/>
      <c r="P14" s="457"/>
      <c r="Q14" s="457"/>
      <c r="R14" s="457"/>
      <c r="S14" s="457"/>
      <c r="T14" s="457"/>
      <c r="U14" s="457"/>
      <c r="V14" s="457"/>
      <c r="W14" s="458"/>
    </row>
    <row r="15" spans="2:23" s="247" customFormat="1" ht="23.1" customHeight="1">
      <c r="B15" s="248"/>
      <c r="C15" s="202"/>
      <c r="D15" s="249"/>
      <c r="E15" s="202" t="s">
        <v>484</v>
      </c>
      <c r="F15" s="202" t="s">
        <v>580</v>
      </c>
      <c r="G15" s="202"/>
      <c r="H15" s="250"/>
      <c r="J15" s="455"/>
      <c r="K15" s="457"/>
      <c r="L15" s="457"/>
      <c r="M15" s="457"/>
      <c r="N15" s="457"/>
      <c r="O15" s="457"/>
      <c r="P15" s="457"/>
      <c r="Q15" s="457"/>
      <c r="R15" s="457"/>
      <c r="S15" s="457"/>
      <c r="T15" s="457"/>
      <c r="U15" s="457"/>
      <c r="V15" s="457"/>
      <c r="W15" s="458"/>
    </row>
    <row r="16" spans="2:23" s="247" customFormat="1" ht="24" customHeight="1">
      <c r="B16" s="248"/>
      <c r="C16" s="253" t="s">
        <v>447</v>
      </c>
      <c r="D16" s="254" t="s">
        <v>457</v>
      </c>
      <c r="E16" s="253" t="s">
        <v>579</v>
      </c>
      <c r="F16" s="253">
        <f>ejercicio</f>
        <v>2018</v>
      </c>
      <c r="G16" s="253" t="s">
        <v>581</v>
      </c>
      <c r="H16" s="250"/>
      <c r="J16" s="455"/>
      <c r="K16" s="457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7"/>
      <c r="W16" s="458"/>
    </row>
    <row r="17" spans="2:23" ht="23.1" customHeight="1">
      <c r="B17" s="119"/>
      <c r="C17" s="545" t="s">
        <v>919</v>
      </c>
      <c r="D17" s="539" t="s">
        <v>917</v>
      </c>
      <c r="E17" s="535">
        <v>120000</v>
      </c>
      <c r="F17" s="535">
        <v>120000</v>
      </c>
      <c r="G17" s="1060" t="s">
        <v>918</v>
      </c>
      <c r="H17" s="108"/>
      <c r="J17" s="455"/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  <c r="W17" s="458"/>
    </row>
    <row r="18" spans="2:23" ht="23.1" customHeight="1">
      <c r="B18" s="119"/>
      <c r="C18" s="545"/>
      <c r="D18" s="539"/>
      <c r="E18" s="535"/>
      <c r="F18" s="535"/>
      <c r="G18" s="633"/>
      <c r="H18" s="108"/>
      <c r="J18" s="455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8"/>
    </row>
    <row r="19" spans="2:23" ht="23.1" customHeight="1">
      <c r="B19" s="119"/>
      <c r="C19" s="545"/>
      <c r="D19" s="539"/>
      <c r="E19" s="535"/>
      <c r="F19" s="535"/>
      <c r="G19" s="633"/>
      <c r="H19" s="108"/>
      <c r="J19" s="455"/>
      <c r="K19" s="457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8"/>
    </row>
    <row r="20" spans="2:23" ht="23.1" customHeight="1">
      <c r="B20" s="119"/>
      <c r="C20" s="545"/>
      <c r="D20" s="539"/>
      <c r="E20" s="535"/>
      <c r="F20" s="535"/>
      <c r="G20" s="633"/>
      <c r="H20" s="108"/>
      <c r="J20" s="455"/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8"/>
    </row>
    <row r="21" spans="2:23" ht="23.1" customHeight="1">
      <c r="B21" s="119"/>
      <c r="C21" s="545"/>
      <c r="D21" s="539"/>
      <c r="E21" s="535"/>
      <c r="F21" s="535"/>
      <c r="G21" s="633"/>
      <c r="H21" s="108"/>
      <c r="J21" s="455"/>
      <c r="K21" s="457"/>
      <c r="L21" s="457"/>
      <c r="M21" s="457"/>
      <c r="N21" s="457"/>
      <c r="O21" s="457"/>
      <c r="P21" s="457"/>
      <c r="Q21" s="457"/>
      <c r="R21" s="457"/>
      <c r="S21" s="457"/>
      <c r="T21" s="457"/>
      <c r="U21" s="457"/>
      <c r="V21" s="457"/>
      <c r="W21" s="458"/>
    </row>
    <row r="22" spans="2:23" ht="23.1" customHeight="1">
      <c r="B22" s="119"/>
      <c r="C22" s="545"/>
      <c r="D22" s="539"/>
      <c r="E22" s="535"/>
      <c r="F22" s="535"/>
      <c r="G22" s="633"/>
      <c r="H22" s="108"/>
      <c r="J22" s="455"/>
      <c r="K22" s="457"/>
      <c r="L22" s="457"/>
      <c r="M22" s="457"/>
      <c r="N22" s="457"/>
      <c r="O22" s="457"/>
      <c r="P22" s="457"/>
      <c r="Q22" s="457"/>
      <c r="R22" s="457"/>
      <c r="S22" s="457"/>
      <c r="T22" s="457"/>
      <c r="U22" s="457"/>
      <c r="V22" s="457"/>
      <c r="W22" s="458"/>
    </row>
    <row r="23" spans="2:23" ht="23.1" customHeight="1">
      <c r="B23" s="119"/>
      <c r="C23" s="545"/>
      <c r="D23" s="539"/>
      <c r="E23" s="535"/>
      <c r="F23" s="535"/>
      <c r="G23" s="633"/>
      <c r="H23" s="108"/>
      <c r="J23" s="455"/>
      <c r="K23" s="457"/>
      <c r="L23" s="457"/>
      <c r="M23" s="457"/>
      <c r="N23" s="457"/>
      <c r="O23" s="457"/>
      <c r="P23" s="457"/>
      <c r="Q23" s="457"/>
      <c r="R23" s="457"/>
      <c r="S23" s="457"/>
      <c r="T23" s="457"/>
      <c r="U23" s="457"/>
      <c r="V23" s="457"/>
      <c r="W23" s="458"/>
    </row>
    <row r="24" spans="2:23" ht="23.1" customHeight="1">
      <c r="B24" s="119"/>
      <c r="C24" s="545"/>
      <c r="D24" s="539"/>
      <c r="E24" s="535"/>
      <c r="F24" s="535"/>
      <c r="G24" s="633"/>
      <c r="H24" s="108"/>
      <c r="J24" s="455"/>
      <c r="K24" s="457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7"/>
      <c r="W24" s="458"/>
    </row>
    <row r="25" spans="2:23" ht="23.1" customHeight="1">
      <c r="B25" s="119"/>
      <c r="C25" s="545"/>
      <c r="D25" s="539"/>
      <c r="E25" s="535"/>
      <c r="F25" s="535"/>
      <c r="G25" s="633"/>
      <c r="H25" s="108"/>
      <c r="J25" s="455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8"/>
    </row>
    <row r="26" spans="2:23" ht="23.1" customHeight="1">
      <c r="B26" s="119"/>
      <c r="C26" s="545"/>
      <c r="D26" s="539"/>
      <c r="E26" s="535"/>
      <c r="F26" s="535"/>
      <c r="G26" s="633"/>
      <c r="H26" s="108"/>
      <c r="J26" s="455"/>
      <c r="K26" s="457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7"/>
      <c r="W26" s="458"/>
    </row>
    <row r="27" spans="2:23" ht="23.1" customHeight="1">
      <c r="B27" s="119"/>
      <c r="C27" s="545"/>
      <c r="D27" s="539"/>
      <c r="E27" s="535"/>
      <c r="F27" s="535"/>
      <c r="G27" s="633"/>
      <c r="H27" s="108"/>
      <c r="J27" s="455"/>
      <c r="K27" s="457"/>
      <c r="L27" s="457"/>
      <c r="M27" s="457"/>
      <c r="N27" s="457"/>
      <c r="O27" s="457"/>
      <c r="P27" s="457"/>
      <c r="Q27" s="457"/>
      <c r="R27" s="457"/>
      <c r="S27" s="457"/>
      <c r="T27" s="457"/>
      <c r="U27" s="457"/>
      <c r="V27" s="457"/>
      <c r="W27" s="458"/>
    </row>
    <row r="28" spans="2:23" ht="23.1" customHeight="1">
      <c r="B28" s="119"/>
      <c r="C28" s="545"/>
      <c r="D28" s="539"/>
      <c r="E28" s="535"/>
      <c r="F28" s="535"/>
      <c r="G28" s="633"/>
      <c r="H28" s="108"/>
      <c r="J28" s="455"/>
      <c r="K28" s="457"/>
      <c r="L28" s="457"/>
      <c r="M28" s="457"/>
      <c r="N28" s="457"/>
      <c r="O28" s="457"/>
      <c r="P28" s="457"/>
      <c r="Q28" s="457"/>
      <c r="R28" s="457"/>
      <c r="S28" s="457"/>
      <c r="T28" s="457"/>
      <c r="U28" s="457"/>
      <c r="V28" s="457"/>
      <c r="W28" s="458"/>
    </row>
    <row r="29" spans="2:23" ht="23.1" customHeight="1">
      <c r="B29" s="119"/>
      <c r="C29" s="545"/>
      <c r="D29" s="539"/>
      <c r="E29" s="535"/>
      <c r="F29" s="535"/>
      <c r="G29" s="633"/>
      <c r="H29" s="108"/>
      <c r="J29" s="455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8"/>
    </row>
    <row r="30" spans="2:23" ht="23.1" customHeight="1">
      <c r="B30" s="119"/>
      <c r="C30" s="545"/>
      <c r="D30" s="539"/>
      <c r="E30" s="535"/>
      <c r="F30" s="535"/>
      <c r="G30" s="633"/>
      <c r="H30" s="108"/>
      <c r="J30" s="455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7"/>
      <c r="W30" s="458"/>
    </row>
    <row r="31" spans="2:23" ht="23.1" customHeight="1">
      <c r="B31" s="119"/>
      <c r="C31" s="546"/>
      <c r="D31" s="540"/>
      <c r="E31" s="536"/>
      <c r="F31" s="536"/>
      <c r="G31" s="634"/>
      <c r="H31" s="108"/>
      <c r="J31" s="455"/>
      <c r="K31" s="457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8"/>
    </row>
    <row r="32" spans="2:23" ht="23.1" customHeight="1">
      <c r="B32" s="119"/>
      <c r="C32" s="547"/>
      <c r="D32" s="541"/>
      <c r="E32" s="538"/>
      <c r="F32" s="538"/>
      <c r="G32" s="635"/>
      <c r="H32" s="108"/>
      <c r="J32" s="455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8"/>
    </row>
    <row r="33" spans="2:23" ht="23.1" customHeight="1" thickBot="1">
      <c r="B33" s="119"/>
      <c r="C33" s="221"/>
      <c r="D33" s="225" t="s">
        <v>405</v>
      </c>
      <c r="E33" s="179">
        <f>SUM(E17:E32)</f>
        <v>120000</v>
      </c>
      <c r="F33" s="179">
        <f>SUM(F17:F32)</f>
        <v>120000</v>
      </c>
      <c r="G33" s="98"/>
      <c r="H33" s="108"/>
      <c r="J33" s="455"/>
      <c r="K33" s="457"/>
      <c r="L33" s="457"/>
      <c r="M33" s="457"/>
      <c r="N33" s="457"/>
      <c r="O33" s="457"/>
      <c r="P33" s="457"/>
      <c r="Q33" s="457"/>
      <c r="R33" s="457"/>
      <c r="S33" s="457"/>
      <c r="T33" s="457"/>
      <c r="U33" s="457"/>
      <c r="V33" s="457"/>
      <c r="W33" s="458"/>
    </row>
    <row r="34" spans="2:23" ht="23.1" customHeight="1">
      <c r="B34" s="119"/>
      <c r="C34" s="221"/>
      <c r="D34" s="221"/>
      <c r="E34" s="222"/>
      <c r="F34" s="222"/>
      <c r="G34" s="98"/>
      <c r="H34" s="108"/>
      <c r="J34" s="455"/>
      <c r="K34" s="457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7"/>
      <c r="W34" s="458"/>
    </row>
    <row r="35" spans="2:23" ht="23.1" customHeight="1" thickBot="1">
      <c r="B35" s="123"/>
      <c r="C35" s="1134"/>
      <c r="D35" s="1134"/>
      <c r="E35" s="57"/>
      <c r="F35" s="57"/>
      <c r="G35" s="124"/>
      <c r="H35" s="125"/>
      <c r="J35" s="449"/>
      <c r="K35" s="450"/>
      <c r="L35" s="450"/>
      <c r="M35" s="450"/>
      <c r="N35" s="450"/>
      <c r="O35" s="450"/>
      <c r="P35" s="450"/>
      <c r="Q35" s="450"/>
      <c r="R35" s="450"/>
      <c r="S35" s="450"/>
      <c r="T35" s="450"/>
      <c r="U35" s="450"/>
      <c r="V35" s="450"/>
      <c r="W35" s="451"/>
    </row>
    <row r="36" spans="2:23" ht="23.1" customHeight="1">
      <c r="C36" s="106"/>
      <c r="D36" s="106"/>
      <c r="E36" s="107"/>
      <c r="F36" s="107"/>
      <c r="G36" s="107"/>
    </row>
    <row r="37" spans="2:23" ht="13.2">
      <c r="C37" s="126" t="s">
        <v>77</v>
      </c>
      <c r="D37" s="106"/>
      <c r="E37" s="107"/>
      <c r="F37" s="107"/>
      <c r="G37" s="97" t="s">
        <v>526</v>
      </c>
    </row>
    <row r="38" spans="2:23" ht="13.2">
      <c r="C38" s="127" t="s">
        <v>78</v>
      </c>
      <c r="D38" s="106"/>
      <c r="E38" s="107"/>
      <c r="F38" s="107"/>
      <c r="G38" s="107"/>
    </row>
    <row r="39" spans="2:23" ht="13.2">
      <c r="C39" s="127" t="s">
        <v>79</v>
      </c>
      <c r="D39" s="106"/>
      <c r="E39" s="107"/>
      <c r="F39" s="107"/>
      <c r="G39" s="107"/>
    </row>
    <row r="40" spans="2:23" ht="13.2">
      <c r="C40" s="127" t="s">
        <v>80</v>
      </c>
      <c r="D40" s="106"/>
      <c r="E40" s="107"/>
      <c r="F40" s="107"/>
      <c r="G40" s="107"/>
    </row>
    <row r="41" spans="2:23" ht="13.2">
      <c r="C41" s="127" t="s">
        <v>81</v>
      </c>
      <c r="D41" s="106"/>
      <c r="E41" s="107"/>
      <c r="F41" s="107"/>
      <c r="G41" s="107"/>
    </row>
    <row r="42" spans="2:23" ht="23.1" customHeight="1">
      <c r="C42" s="106"/>
      <c r="D42" s="106"/>
      <c r="E42" s="107"/>
      <c r="F42" s="107"/>
      <c r="G42" s="107"/>
    </row>
    <row r="43" spans="2:23" ht="23.1" customHeight="1">
      <c r="C43" s="106"/>
      <c r="D43" s="106"/>
      <c r="E43" s="107"/>
      <c r="F43" s="107"/>
      <c r="G43" s="107"/>
    </row>
    <row r="44" spans="2:23" ht="23.1" customHeight="1">
      <c r="C44" s="106"/>
      <c r="D44" s="106"/>
      <c r="E44" s="107"/>
      <c r="F44" s="107"/>
      <c r="G44" s="107"/>
    </row>
    <row r="45" spans="2:23" ht="23.1" customHeight="1">
      <c r="C45" s="106"/>
      <c r="D45" s="106"/>
      <c r="E45" s="107"/>
      <c r="F45" s="107"/>
      <c r="G45" s="107"/>
    </row>
    <row r="46" spans="2:23" ht="23.1" customHeight="1">
      <c r="E46" s="107"/>
      <c r="F46" s="107"/>
      <c r="G46" s="107"/>
    </row>
  </sheetData>
  <sheetProtection password="E059" sheet="1" objects="1" scenarios="1" insertRows="0"/>
  <mergeCells count="4">
    <mergeCell ref="C35:D35"/>
    <mergeCell ref="G6:G7"/>
    <mergeCell ref="D9:G9"/>
    <mergeCell ref="C12:D12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60"/>
  <sheetViews>
    <sheetView topLeftCell="A31" zoomScale="70" zoomScaleNormal="70" workbookViewId="0">
      <selection activeCell="D13" sqref="D13:M13"/>
    </sheetView>
  </sheetViews>
  <sheetFormatPr baseColWidth="10" defaultColWidth="10.90625" defaultRowHeight="23.1" customHeight="1"/>
  <cols>
    <col min="1" max="2" width="3.08984375" style="99" customWidth="1"/>
    <col min="3" max="3" width="13.08984375" style="99" customWidth="1"/>
    <col min="4" max="4" width="68" style="99" customWidth="1"/>
    <col min="5" max="5" width="17.90625" style="100" customWidth="1"/>
    <col min="6" max="6" width="44.90625" style="100" customWidth="1"/>
    <col min="7" max="7" width="10.90625" style="100" customWidth="1"/>
    <col min="8" max="8" width="3.08984375" style="99" customWidth="1"/>
    <col min="9" max="16384" width="10.90625" style="99"/>
  </cols>
  <sheetData>
    <row r="2" spans="2:23" ht="23.1" customHeight="1">
      <c r="D2" s="221" t="s">
        <v>379</v>
      </c>
    </row>
    <row r="3" spans="2:23" ht="23.1" customHeight="1">
      <c r="D3" s="221" t="s">
        <v>380</v>
      </c>
    </row>
    <row r="4" spans="2:23" ht="23.1" customHeight="1" thickBot="1"/>
    <row r="5" spans="2:23" ht="9" customHeight="1">
      <c r="B5" s="101"/>
      <c r="C5" s="102"/>
      <c r="D5" s="102"/>
      <c r="E5" s="103"/>
      <c r="F5" s="103"/>
      <c r="G5" s="103"/>
      <c r="H5" s="104"/>
      <c r="J5" s="452"/>
      <c r="K5" s="453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3"/>
      <c r="W5" s="454"/>
    </row>
    <row r="6" spans="2:23" ht="30" customHeight="1">
      <c r="B6" s="105"/>
      <c r="C6" s="69" t="s">
        <v>0</v>
      </c>
      <c r="D6" s="106"/>
      <c r="E6" s="107"/>
      <c r="F6" s="107"/>
      <c r="G6" s="1111">
        <f>ejercicio</f>
        <v>2018</v>
      </c>
      <c r="H6" s="108"/>
      <c r="J6" s="455"/>
      <c r="K6" s="456" t="s">
        <v>707</v>
      </c>
      <c r="L6" s="456"/>
      <c r="M6" s="456"/>
      <c r="N6" s="456"/>
      <c r="O6" s="457"/>
      <c r="P6" s="457"/>
      <c r="Q6" s="457"/>
      <c r="R6" s="457"/>
      <c r="S6" s="457"/>
      <c r="T6" s="457"/>
      <c r="U6" s="457"/>
      <c r="V6" s="457"/>
      <c r="W6" s="458"/>
    </row>
    <row r="7" spans="2:23" ht="30" customHeight="1">
      <c r="B7" s="105"/>
      <c r="C7" s="69" t="s">
        <v>1</v>
      </c>
      <c r="D7" s="106"/>
      <c r="E7" s="107"/>
      <c r="F7" s="107"/>
      <c r="G7" s="1111"/>
      <c r="H7" s="108"/>
      <c r="J7" s="455"/>
      <c r="K7" s="457"/>
      <c r="L7" s="457"/>
      <c r="M7" s="457"/>
      <c r="N7" s="457"/>
      <c r="O7" s="457"/>
      <c r="P7" s="457"/>
      <c r="Q7" s="457"/>
      <c r="R7" s="457"/>
      <c r="S7" s="457"/>
      <c r="T7" s="457"/>
      <c r="U7" s="457"/>
      <c r="V7" s="457"/>
      <c r="W7" s="458"/>
    </row>
    <row r="8" spans="2:23" ht="30" customHeight="1">
      <c r="B8" s="105"/>
      <c r="C8" s="109"/>
      <c r="D8" s="106"/>
      <c r="E8" s="107"/>
      <c r="F8" s="107"/>
      <c r="G8" s="110"/>
      <c r="H8" s="108"/>
      <c r="J8" s="455"/>
      <c r="K8" s="457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7"/>
      <c r="W8" s="458"/>
    </row>
    <row r="9" spans="2:23" s="194" customFormat="1" ht="30" customHeight="1">
      <c r="B9" s="192"/>
      <c r="C9" s="56" t="s">
        <v>2</v>
      </c>
      <c r="D9" s="1135" t="str">
        <f>Entidad</f>
        <v>SPET, Turismo de Tenerife, S.A.</v>
      </c>
      <c r="E9" s="1135"/>
      <c r="F9" s="1135"/>
      <c r="G9" s="1135"/>
      <c r="H9" s="193"/>
      <c r="J9" s="455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7"/>
      <c r="W9" s="458"/>
    </row>
    <row r="10" spans="2:23" ht="7.35" customHeight="1">
      <c r="B10" s="105"/>
      <c r="C10" s="106"/>
      <c r="D10" s="106"/>
      <c r="E10" s="107"/>
      <c r="F10" s="107"/>
      <c r="G10" s="107"/>
      <c r="H10" s="108"/>
      <c r="J10" s="455"/>
      <c r="K10" s="457"/>
      <c r="L10" s="457"/>
      <c r="M10" s="457"/>
      <c r="N10" s="457"/>
      <c r="O10" s="457"/>
      <c r="P10" s="457"/>
      <c r="Q10" s="457"/>
      <c r="R10" s="457"/>
      <c r="S10" s="457"/>
      <c r="T10" s="457"/>
      <c r="U10" s="457"/>
      <c r="V10" s="457"/>
      <c r="W10" s="458"/>
    </row>
    <row r="11" spans="2:23" s="117" customFormat="1" ht="30" customHeight="1">
      <c r="B11" s="113"/>
      <c r="C11" s="114" t="s">
        <v>586</v>
      </c>
      <c r="D11" s="114"/>
      <c r="E11" s="115"/>
      <c r="F11" s="115"/>
      <c r="G11" s="115"/>
      <c r="H11" s="116"/>
      <c r="J11" s="455"/>
      <c r="K11" s="457"/>
      <c r="L11" s="457"/>
      <c r="M11" s="457"/>
      <c r="N11" s="457"/>
      <c r="O11" s="457"/>
      <c r="P11" s="457"/>
      <c r="Q11" s="457"/>
      <c r="R11" s="457"/>
      <c r="S11" s="457"/>
      <c r="T11" s="457"/>
      <c r="U11" s="457"/>
      <c r="V11" s="457"/>
      <c r="W11" s="458"/>
    </row>
    <row r="12" spans="2:23" s="117" customFormat="1" ht="30" customHeight="1">
      <c r="B12" s="113"/>
      <c r="C12" s="1177"/>
      <c r="D12" s="1177"/>
      <c r="E12" s="98"/>
      <c r="F12" s="98"/>
      <c r="G12" s="98"/>
      <c r="H12" s="116"/>
      <c r="J12" s="455"/>
      <c r="K12" s="457"/>
      <c r="L12" s="457"/>
      <c r="M12" s="457"/>
      <c r="N12" s="457"/>
      <c r="O12" s="457"/>
      <c r="P12" s="457"/>
      <c r="Q12" s="457"/>
      <c r="R12" s="457"/>
      <c r="S12" s="457"/>
      <c r="T12" s="457"/>
      <c r="U12" s="457"/>
      <c r="V12" s="457"/>
      <c r="W12" s="458"/>
    </row>
    <row r="13" spans="2:23" ht="29.1" customHeight="1">
      <c r="B13" s="119"/>
      <c r="C13" s="68"/>
      <c r="D13" s="159"/>
      <c r="E13" s="98"/>
      <c r="F13" s="98"/>
      <c r="G13" s="262"/>
      <c r="H13" s="108"/>
      <c r="J13" s="455"/>
      <c r="K13" s="457"/>
      <c r="L13" s="457"/>
      <c r="M13" s="457"/>
      <c r="N13" s="457"/>
      <c r="O13" s="457"/>
      <c r="P13" s="457"/>
      <c r="Q13" s="457"/>
      <c r="R13" s="457"/>
      <c r="S13" s="457"/>
      <c r="T13" s="457"/>
      <c r="U13" s="457"/>
      <c r="V13" s="457"/>
      <c r="W13" s="458"/>
    </row>
    <row r="14" spans="2:23" ht="9" customHeight="1">
      <c r="B14" s="119"/>
      <c r="C14" s="159"/>
      <c r="D14" s="159"/>
      <c r="E14" s="98"/>
      <c r="F14" s="98"/>
      <c r="G14" s="98"/>
      <c r="H14" s="108"/>
      <c r="J14" s="455"/>
      <c r="K14" s="457"/>
      <c r="L14" s="457"/>
      <c r="M14" s="457"/>
      <c r="N14" s="457"/>
      <c r="O14" s="457"/>
      <c r="P14" s="457"/>
      <c r="Q14" s="457"/>
      <c r="R14" s="457"/>
      <c r="S14" s="457"/>
      <c r="T14" s="457"/>
      <c r="U14" s="457"/>
      <c r="V14" s="457"/>
      <c r="W14" s="458"/>
    </row>
    <row r="15" spans="2:23" s="247" customFormat="1" ht="23.1" customHeight="1">
      <c r="B15" s="248"/>
      <c r="C15" s="265"/>
      <c r="D15" s="268"/>
      <c r="E15" s="202" t="s">
        <v>582</v>
      </c>
      <c r="F15" s="265"/>
      <c r="G15" s="268"/>
      <c r="H15" s="250"/>
      <c r="J15" s="455"/>
      <c r="K15" s="457"/>
      <c r="L15" s="457"/>
      <c r="M15" s="457"/>
      <c r="N15" s="457"/>
      <c r="O15" s="457"/>
      <c r="P15" s="457"/>
      <c r="Q15" s="457"/>
      <c r="R15" s="457"/>
      <c r="S15" s="457"/>
      <c r="T15" s="457"/>
      <c r="U15" s="457"/>
      <c r="V15" s="457"/>
      <c r="W15" s="458"/>
    </row>
    <row r="16" spans="2:23" s="247" customFormat="1" ht="23.1" customHeight="1">
      <c r="B16" s="248"/>
      <c r="C16" s="266"/>
      <c r="D16" s="269"/>
      <c r="E16" s="251" t="s">
        <v>583</v>
      </c>
      <c r="F16" s="266"/>
      <c r="G16" s="269"/>
      <c r="H16" s="250"/>
      <c r="J16" s="455"/>
      <c r="K16" s="457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7"/>
      <c r="W16" s="458"/>
    </row>
    <row r="17" spans="2:23" s="247" customFormat="1" ht="23.1" customHeight="1">
      <c r="B17" s="248"/>
      <c r="C17" s="266"/>
      <c r="D17" s="269"/>
      <c r="E17" s="251" t="s">
        <v>584</v>
      </c>
      <c r="F17" s="266"/>
      <c r="G17" s="269"/>
      <c r="H17" s="250"/>
      <c r="J17" s="455"/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  <c r="W17" s="458"/>
    </row>
    <row r="18" spans="2:23" s="247" customFormat="1" ht="24" customHeight="1">
      <c r="B18" s="248"/>
      <c r="C18" s="1195" t="s">
        <v>457</v>
      </c>
      <c r="D18" s="1196"/>
      <c r="E18" s="297">
        <f>ejercicio</f>
        <v>2018</v>
      </c>
      <c r="F18" s="267" t="s">
        <v>585</v>
      </c>
      <c r="G18" s="270"/>
      <c r="H18" s="250"/>
      <c r="J18" s="455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8"/>
    </row>
    <row r="19" spans="2:23" ht="9" customHeight="1">
      <c r="B19" s="119"/>
      <c r="C19" s="68"/>
      <c r="D19" s="159"/>
      <c r="E19" s="98"/>
      <c r="F19" s="98"/>
      <c r="G19" s="262"/>
      <c r="H19" s="108"/>
      <c r="J19" s="455"/>
      <c r="K19" s="457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8"/>
    </row>
    <row r="20" spans="2:23" s="131" customFormat="1" ht="23.1" customHeight="1" thickBot="1">
      <c r="B20" s="169"/>
      <c r="C20" s="1211" t="s">
        <v>587</v>
      </c>
      <c r="D20" s="1212"/>
      <c r="E20" s="278">
        <f>SUM(E21:E29)</f>
        <v>15405085.93</v>
      </c>
      <c r="F20" s="1224"/>
      <c r="G20" s="1225"/>
      <c r="H20" s="130"/>
      <c r="J20" s="455"/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8"/>
    </row>
    <row r="21" spans="2:23" ht="23.1" customHeight="1">
      <c r="B21" s="119"/>
      <c r="C21" s="187" t="s">
        <v>588</v>
      </c>
      <c r="D21" s="271"/>
      <c r="E21" s="638">
        <f>+'FC-3_CPyG'!G16</f>
        <v>1339288.1599999999</v>
      </c>
      <c r="F21" s="1226"/>
      <c r="G21" s="1227"/>
      <c r="H21" s="108"/>
      <c r="J21" s="455"/>
      <c r="K21" s="457"/>
      <c r="L21" s="457"/>
      <c r="M21" s="457"/>
      <c r="N21" s="457"/>
      <c r="O21" s="457"/>
      <c r="P21" s="457"/>
      <c r="Q21" s="457"/>
      <c r="R21" s="457"/>
      <c r="S21" s="457"/>
      <c r="T21" s="457"/>
      <c r="U21" s="457"/>
      <c r="V21" s="457"/>
      <c r="W21" s="458"/>
    </row>
    <row r="22" spans="2:23" ht="23.1" customHeight="1">
      <c r="B22" s="119"/>
      <c r="C22" s="187" t="s">
        <v>589</v>
      </c>
      <c r="D22" s="271"/>
      <c r="E22" s="638">
        <f>+'FC-3_CPyG'!G21</f>
        <v>0</v>
      </c>
      <c r="F22" s="1220"/>
      <c r="G22" s="1221"/>
      <c r="H22" s="108"/>
      <c r="J22" s="455"/>
      <c r="K22" s="457"/>
      <c r="L22" s="457"/>
      <c r="M22" s="457"/>
      <c r="N22" s="457"/>
      <c r="O22" s="457"/>
      <c r="P22" s="457"/>
      <c r="Q22" s="457"/>
      <c r="R22" s="457"/>
      <c r="S22" s="457"/>
      <c r="T22" s="457"/>
      <c r="U22" s="457"/>
      <c r="V22" s="457"/>
      <c r="W22" s="458"/>
    </row>
    <row r="23" spans="2:23" ht="23.1" customHeight="1">
      <c r="B23" s="119"/>
      <c r="C23" s="187" t="s">
        <v>590</v>
      </c>
      <c r="D23" s="271"/>
      <c r="E23" s="638">
        <f>+'FC-3_CPyG'!G28</f>
        <v>0</v>
      </c>
      <c r="F23" s="1220"/>
      <c r="G23" s="1221"/>
      <c r="H23" s="108"/>
      <c r="J23" s="455"/>
      <c r="K23" s="457"/>
      <c r="L23" s="457"/>
      <c r="M23" s="457"/>
      <c r="N23" s="457"/>
      <c r="O23" s="457"/>
      <c r="P23" s="457"/>
      <c r="Q23" s="457"/>
      <c r="R23" s="457"/>
      <c r="S23" s="457"/>
      <c r="T23" s="457"/>
      <c r="U23" s="457"/>
      <c r="V23" s="457"/>
      <c r="W23" s="458"/>
    </row>
    <row r="24" spans="2:23" ht="23.1" customHeight="1">
      <c r="B24" s="119"/>
      <c r="C24" s="187" t="s">
        <v>591</v>
      </c>
      <c r="D24" s="271"/>
      <c r="E24" s="638">
        <f>+'FC-3_CPyG'!G29</f>
        <v>11851286.25</v>
      </c>
      <c r="F24" s="1220"/>
      <c r="G24" s="1221"/>
      <c r="H24" s="108"/>
      <c r="J24" s="455"/>
      <c r="K24" s="457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7"/>
      <c r="W24" s="458"/>
    </row>
    <row r="25" spans="2:23" ht="23.1" customHeight="1">
      <c r="B25" s="119"/>
      <c r="C25" s="187" t="s">
        <v>592</v>
      </c>
      <c r="D25" s="271"/>
      <c r="E25" s="638">
        <f>+'FC-3_CPyG'!G55+'FC-3_CPyG'!G70</f>
        <v>3000</v>
      </c>
      <c r="F25" s="1220"/>
      <c r="G25" s="1221"/>
      <c r="H25" s="108"/>
      <c r="J25" s="455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8"/>
    </row>
    <row r="26" spans="2:23" ht="23.1" customHeight="1">
      <c r="B26" s="119"/>
      <c r="C26" s="187" t="s">
        <v>593</v>
      </c>
      <c r="D26" s="271"/>
      <c r="E26" s="638">
        <f>+'FC-3_CPyG'!G52</f>
        <v>0</v>
      </c>
      <c r="F26" s="1220"/>
      <c r="G26" s="1221"/>
      <c r="H26" s="108"/>
      <c r="J26" s="455"/>
      <c r="K26" s="457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7"/>
      <c r="W26" s="458"/>
    </row>
    <row r="27" spans="2:23" ht="23.1" customHeight="1">
      <c r="B27" s="119"/>
      <c r="C27" s="187" t="s">
        <v>594</v>
      </c>
      <c r="D27" s="271"/>
      <c r="E27" s="638">
        <f>+'FC-3_1_INF_ADIC_CPyG'!G47</f>
        <v>0</v>
      </c>
      <c r="F27" s="1220"/>
      <c r="G27" s="1221"/>
      <c r="H27" s="108"/>
      <c r="J27" s="455"/>
      <c r="K27" s="457"/>
      <c r="L27" s="457"/>
      <c r="M27" s="457"/>
      <c r="N27" s="457"/>
      <c r="O27" s="457"/>
      <c r="P27" s="457"/>
      <c r="Q27" s="457"/>
      <c r="R27" s="457"/>
      <c r="S27" s="457"/>
      <c r="T27" s="457"/>
      <c r="U27" s="457"/>
      <c r="V27" s="457"/>
      <c r="W27" s="458"/>
    </row>
    <row r="28" spans="2:23" ht="23.1" customHeight="1">
      <c r="B28" s="119"/>
      <c r="C28" s="969" t="s">
        <v>846</v>
      </c>
      <c r="D28" s="271"/>
      <c r="E28" s="638">
        <f>+'FC-9_TRANS_SUBV'!G83+'FC-9_TRANS_SUBV'!G97</f>
        <v>2211511.52</v>
      </c>
      <c r="F28" s="1220"/>
      <c r="G28" s="1221"/>
      <c r="H28" s="108"/>
      <c r="J28" s="455"/>
      <c r="K28" s="457"/>
      <c r="L28" s="457"/>
      <c r="M28" s="457"/>
      <c r="N28" s="457"/>
      <c r="O28" s="457"/>
      <c r="P28" s="457"/>
      <c r="Q28" s="457"/>
      <c r="R28" s="457"/>
      <c r="S28" s="457"/>
      <c r="T28" s="457"/>
      <c r="U28" s="457"/>
      <c r="V28" s="457"/>
      <c r="W28" s="458"/>
    </row>
    <row r="29" spans="2:23" ht="23.1" customHeight="1">
      <c r="B29" s="119"/>
      <c r="C29" s="164" t="s">
        <v>595</v>
      </c>
      <c r="D29" s="272"/>
      <c r="E29" s="639">
        <f>+'FC-9_TRANS_SUBV'!G30</f>
        <v>0</v>
      </c>
      <c r="F29" s="1222"/>
      <c r="G29" s="1223"/>
      <c r="H29" s="108"/>
      <c r="J29" s="455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8"/>
    </row>
    <row r="30" spans="2:23" ht="9" customHeight="1">
      <c r="B30" s="119"/>
      <c r="C30" s="68"/>
      <c r="D30" s="159"/>
      <c r="E30" s="98"/>
      <c r="F30" s="98"/>
      <c r="G30" s="262"/>
      <c r="H30" s="108"/>
      <c r="J30" s="455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7"/>
      <c r="W30" s="458"/>
    </row>
    <row r="31" spans="2:23" ht="23.1" customHeight="1" thickBot="1">
      <c r="B31" s="119"/>
      <c r="C31" s="1211" t="s">
        <v>596</v>
      </c>
      <c r="D31" s="1212"/>
      <c r="E31" s="278">
        <f>SUM(E32:E43)</f>
        <v>-15225718.73</v>
      </c>
      <c r="F31" s="1224"/>
      <c r="G31" s="1225"/>
      <c r="H31" s="108"/>
      <c r="J31" s="455"/>
      <c r="K31" s="457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8"/>
    </row>
    <row r="32" spans="2:23" ht="23.1" customHeight="1">
      <c r="B32" s="119"/>
      <c r="C32" s="187" t="s">
        <v>100</v>
      </c>
      <c r="D32" s="271"/>
      <c r="E32" s="638">
        <f>+'FC-3_CPyG'!G22</f>
        <v>0</v>
      </c>
      <c r="F32" s="1220"/>
      <c r="G32" s="1221"/>
      <c r="H32" s="108"/>
      <c r="J32" s="455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8"/>
    </row>
    <row r="33" spans="2:23" ht="23.1" customHeight="1">
      <c r="B33" s="119"/>
      <c r="C33" s="187" t="s">
        <v>597</v>
      </c>
      <c r="D33" s="271"/>
      <c r="E33" s="638">
        <f>+'FC-3_CPyG'!G30</f>
        <v>-2133144.6</v>
      </c>
      <c r="F33" s="566"/>
      <c r="G33" s="519"/>
      <c r="H33" s="108"/>
      <c r="J33" s="455"/>
      <c r="K33" s="457"/>
      <c r="L33" s="457"/>
      <c r="M33" s="457"/>
      <c r="N33" s="457"/>
      <c r="O33" s="457"/>
      <c r="P33" s="457"/>
      <c r="Q33" s="457"/>
      <c r="R33" s="457"/>
      <c r="S33" s="457"/>
      <c r="T33" s="457"/>
      <c r="U33" s="457"/>
      <c r="V33" s="457"/>
      <c r="W33" s="458"/>
    </row>
    <row r="34" spans="2:23" ht="23.1" customHeight="1">
      <c r="B34" s="119"/>
      <c r="C34" s="187" t="s">
        <v>115</v>
      </c>
      <c r="D34" s="271"/>
      <c r="E34" s="638">
        <f>+'FC-3_CPyG'!G34-'FC-3_CPyG'!G36</f>
        <v>-13083574.130000001</v>
      </c>
      <c r="F34" s="566"/>
      <c r="G34" s="519"/>
      <c r="H34" s="108"/>
      <c r="J34" s="455"/>
      <c r="K34" s="457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7"/>
      <c r="W34" s="458"/>
    </row>
    <row r="35" spans="2:23" ht="23.1" customHeight="1">
      <c r="B35" s="119"/>
      <c r="C35" s="187" t="s">
        <v>598</v>
      </c>
      <c r="D35" s="271"/>
      <c r="E35" s="638">
        <f>+'FC-3_CPyG'!G59+'FC-3_CPyG'!G63+'FC-3_CPyG'!G66+'FC-3_CPyG'!G67</f>
        <v>-3000</v>
      </c>
      <c r="F35" s="566"/>
      <c r="G35" s="519"/>
      <c r="H35" s="108"/>
      <c r="J35" s="455"/>
      <c r="K35" s="457"/>
      <c r="L35" s="457"/>
      <c r="M35" s="457"/>
      <c r="N35" s="457"/>
      <c r="O35" s="457"/>
      <c r="P35" s="457"/>
      <c r="Q35" s="457"/>
      <c r="R35" s="457"/>
      <c r="S35" s="457"/>
      <c r="T35" s="457"/>
      <c r="U35" s="457"/>
      <c r="V35" s="457"/>
      <c r="W35" s="458"/>
    </row>
    <row r="36" spans="2:23" ht="23.1" customHeight="1">
      <c r="B36" s="119"/>
      <c r="C36" s="187" t="s">
        <v>599</v>
      </c>
      <c r="D36" s="271"/>
      <c r="E36" s="638">
        <f>+'FC-3_CPyG'!G77</f>
        <v>0</v>
      </c>
      <c r="F36" s="566"/>
      <c r="G36" s="519"/>
      <c r="H36" s="108"/>
      <c r="J36" s="455"/>
      <c r="K36" s="457"/>
      <c r="L36" s="457"/>
      <c r="M36" s="457"/>
      <c r="N36" s="457"/>
      <c r="O36" s="457"/>
      <c r="P36" s="457"/>
      <c r="Q36" s="457"/>
      <c r="R36" s="457"/>
      <c r="S36" s="457"/>
      <c r="T36" s="457"/>
      <c r="U36" s="457"/>
      <c r="V36" s="457"/>
      <c r="W36" s="458"/>
    </row>
    <row r="37" spans="2:23" ht="23.1" customHeight="1">
      <c r="B37" s="119"/>
      <c r="C37" s="187" t="s">
        <v>600</v>
      </c>
      <c r="D37" s="271"/>
      <c r="E37" s="638">
        <f>+'FC-3_CPyG'!G36</f>
        <v>-6000</v>
      </c>
      <c r="F37" s="566"/>
      <c r="G37" s="519"/>
      <c r="H37" s="108"/>
      <c r="J37" s="455"/>
      <c r="K37" s="457"/>
      <c r="L37" s="457"/>
      <c r="M37" s="457"/>
      <c r="N37" s="457"/>
      <c r="O37" s="457"/>
      <c r="P37" s="457"/>
      <c r="Q37" s="457"/>
      <c r="R37" s="457"/>
      <c r="S37" s="457"/>
      <c r="T37" s="457"/>
      <c r="U37" s="457"/>
      <c r="V37" s="457"/>
      <c r="W37" s="458"/>
    </row>
    <row r="38" spans="2:23" ht="23.1" customHeight="1">
      <c r="B38" s="119"/>
      <c r="C38" s="187" t="s">
        <v>601</v>
      </c>
      <c r="D38" s="271"/>
      <c r="E38" s="638">
        <f>+'FC-3_1_INF_ADIC_CPyG'!G55</f>
        <v>0</v>
      </c>
      <c r="F38" s="566"/>
      <c r="G38" s="519"/>
      <c r="H38" s="108"/>
      <c r="J38" s="455"/>
      <c r="K38" s="457"/>
      <c r="L38" s="457"/>
      <c r="M38" s="457"/>
      <c r="N38" s="457"/>
      <c r="O38" s="457"/>
      <c r="P38" s="457"/>
      <c r="Q38" s="457"/>
      <c r="R38" s="457"/>
      <c r="S38" s="457"/>
      <c r="T38" s="457"/>
      <c r="U38" s="457"/>
      <c r="V38" s="457"/>
      <c r="W38" s="458"/>
    </row>
    <row r="39" spans="2:23" ht="23.1" customHeight="1">
      <c r="B39" s="119"/>
      <c r="C39" s="187" t="s">
        <v>602</v>
      </c>
      <c r="D39" s="271"/>
      <c r="E39" s="638">
        <f>-'FC-7_INF'!F31-'FC-7_INF'!H31-'FC-7_INF'!K31-'FC-7_INF'!F33-'FC-7_INF'!H33-'FC-7_INF'!K33</f>
        <v>0</v>
      </c>
      <c r="F39" s="566"/>
      <c r="G39" s="519"/>
      <c r="H39" s="108"/>
      <c r="J39" s="455"/>
      <c r="K39" s="457"/>
      <c r="L39" s="457"/>
      <c r="M39" s="457"/>
      <c r="N39" s="457"/>
      <c r="O39" s="457"/>
      <c r="P39" s="457"/>
      <c r="Q39" s="457"/>
      <c r="R39" s="457"/>
      <c r="S39" s="457"/>
      <c r="T39" s="457"/>
      <c r="U39" s="457"/>
      <c r="V39" s="457"/>
      <c r="W39" s="458"/>
    </row>
    <row r="40" spans="2:23" ht="23.1" customHeight="1">
      <c r="B40" s="119"/>
      <c r="C40" s="637" t="s">
        <v>603</v>
      </c>
      <c r="D40" s="271"/>
      <c r="E40" s="638">
        <f>+'FC-3_CPyG'!G20</f>
        <v>0</v>
      </c>
      <c r="F40" s="566"/>
      <c r="G40" s="519"/>
      <c r="H40" s="108"/>
      <c r="J40" s="455"/>
      <c r="K40" s="457"/>
      <c r="L40" s="457"/>
      <c r="M40" s="457"/>
      <c r="N40" s="457"/>
      <c r="O40" s="457"/>
      <c r="P40" s="457"/>
      <c r="Q40" s="457"/>
      <c r="R40" s="457"/>
      <c r="S40" s="457"/>
      <c r="T40" s="457"/>
      <c r="U40" s="457"/>
      <c r="V40" s="457"/>
      <c r="W40" s="458"/>
    </row>
    <row r="41" spans="2:23" ht="23.1" customHeight="1">
      <c r="B41" s="119"/>
      <c r="C41" s="187" t="s">
        <v>604</v>
      </c>
      <c r="D41" s="271"/>
      <c r="E41" s="535"/>
      <c r="F41" s="566"/>
      <c r="G41" s="519"/>
      <c r="H41" s="108"/>
      <c r="J41" s="455"/>
      <c r="K41" s="457"/>
      <c r="L41" s="457"/>
      <c r="M41" s="457"/>
      <c r="N41" s="457"/>
      <c r="O41" s="457"/>
      <c r="P41" s="457"/>
      <c r="Q41" s="457"/>
      <c r="R41" s="457"/>
      <c r="S41" s="457"/>
      <c r="T41" s="457"/>
      <c r="U41" s="457"/>
      <c r="V41" s="457"/>
      <c r="W41" s="458"/>
    </row>
    <row r="42" spans="2:23" ht="23.1" customHeight="1">
      <c r="B42" s="119"/>
      <c r="C42" s="187" t="s">
        <v>605</v>
      </c>
      <c r="D42" s="271"/>
      <c r="E42" s="535"/>
      <c r="F42" s="1220"/>
      <c r="G42" s="1221"/>
      <c r="H42" s="108"/>
      <c r="J42" s="455"/>
      <c r="K42" s="457"/>
      <c r="L42" s="457"/>
      <c r="M42" s="457"/>
      <c r="N42" s="457"/>
      <c r="O42" s="457"/>
      <c r="P42" s="457"/>
      <c r="Q42" s="457"/>
      <c r="R42" s="457"/>
      <c r="S42" s="457"/>
      <c r="T42" s="457"/>
      <c r="U42" s="457"/>
      <c r="V42" s="457"/>
      <c r="W42" s="458"/>
    </row>
    <row r="43" spans="2:23" ht="23.1" customHeight="1">
      <c r="B43" s="119"/>
      <c r="C43" s="164" t="s">
        <v>606</v>
      </c>
      <c r="D43" s="272"/>
      <c r="E43" s="538"/>
      <c r="F43" s="1222"/>
      <c r="G43" s="1223"/>
      <c r="H43" s="108"/>
      <c r="J43" s="455"/>
      <c r="K43" s="457"/>
      <c r="L43" s="457"/>
      <c r="M43" s="457"/>
      <c r="N43" s="457"/>
      <c r="O43" s="457"/>
      <c r="P43" s="457"/>
      <c r="Q43" s="457"/>
      <c r="R43" s="457"/>
      <c r="S43" s="457"/>
      <c r="T43" s="457"/>
      <c r="U43" s="457"/>
      <c r="V43" s="457"/>
      <c r="W43" s="458"/>
    </row>
    <row r="44" spans="2:23" ht="9" customHeight="1">
      <c r="B44" s="119"/>
      <c r="C44" s="68"/>
      <c r="D44" s="159"/>
      <c r="E44" s="98"/>
      <c r="F44" s="98"/>
      <c r="G44" s="262"/>
      <c r="H44" s="108"/>
      <c r="J44" s="455"/>
      <c r="K44" s="457"/>
      <c r="L44" s="457"/>
      <c r="M44" s="457"/>
      <c r="N44" s="457"/>
      <c r="O44" s="457"/>
      <c r="P44" s="457"/>
      <c r="Q44" s="457"/>
      <c r="R44" s="457"/>
      <c r="S44" s="457"/>
      <c r="T44" s="457"/>
      <c r="U44" s="457"/>
      <c r="V44" s="457"/>
      <c r="W44" s="458"/>
    </row>
    <row r="45" spans="2:23" ht="23.1" customHeight="1" thickBot="1">
      <c r="B45" s="119"/>
      <c r="C45" s="166" t="s">
        <v>607</v>
      </c>
      <c r="D45" s="300"/>
      <c r="E45" s="179">
        <f>+E20+E31</f>
        <v>179367.19999999925</v>
      </c>
      <c r="F45" s="98"/>
      <c r="G45" s="98"/>
      <c r="H45" s="108"/>
      <c r="J45" s="455"/>
      <c r="K45" s="457"/>
      <c r="L45" s="457"/>
      <c r="M45" s="457"/>
      <c r="N45" s="457"/>
      <c r="O45" s="457"/>
      <c r="P45" s="457"/>
      <c r="Q45" s="457"/>
      <c r="R45" s="457"/>
      <c r="S45" s="457"/>
      <c r="T45" s="457"/>
      <c r="U45" s="457"/>
      <c r="V45" s="457"/>
      <c r="W45" s="458"/>
    </row>
    <row r="46" spans="2:23" ht="23.1" customHeight="1">
      <c r="B46" s="119"/>
      <c r="C46" s="221"/>
      <c r="D46" s="221"/>
      <c r="E46" s="222"/>
      <c r="F46" s="222"/>
      <c r="G46" s="98"/>
      <c r="H46" s="108"/>
      <c r="J46" s="455"/>
      <c r="K46" s="457"/>
      <c r="L46" s="457"/>
      <c r="M46" s="457"/>
      <c r="N46" s="457"/>
      <c r="O46" s="457"/>
      <c r="P46" s="457"/>
      <c r="Q46" s="457"/>
      <c r="R46" s="457"/>
      <c r="S46" s="457"/>
      <c r="T46" s="457"/>
      <c r="U46" s="457"/>
      <c r="V46" s="457"/>
      <c r="W46" s="458"/>
    </row>
    <row r="47" spans="2:23" ht="23.1" customHeight="1">
      <c r="B47" s="119"/>
      <c r="C47" s="175" t="s">
        <v>416</v>
      </c>
      <c r="D47" s="221"/>
      <c r="E47" s="222"/>
      <c r="F47" s="222"/>
      <c r="G47" s="98"/>
      <c r="H47" s="108"/>
      <c r="J47" s="455"/>
      <c r="K47" s="457"/>
      <c r="L47" s="457"/>
      <c r="M47" s="457"/>
      <c r="N47" s="457"/>
      <c r="O47" s="457"/>
      <c r="P47" s="457"/>
      <c r="Q47" s="457"/>
      <c r="R47" s="457"/>
      <c r="S47" s="457"/>
      <c r="T47" s="457"/>
      <c r="U47" s="457"/>
      <c r="V47" s="457"/>
      <c r="W47" s="458"/>
    </row>
    <row r="48" spans="2:23" ht="23.1" customHeight="1">
      <c r="B48" s="119"/>
      <c r="C48" s="173" t="s">
        <v>746</v>
      </c>
      <c r="D48" s="221"/>
      <c r="E48" s="222"/>
      <c r="F48" s="222"/>
      <c r="G48" s="98"/>
      <c r="H48" s="108"/>
      <c r="J48" s="455"/>
      <c r="K48" s="457"/>
      <c r="L48" s="457"/>
      <c r="M48" s="457"/>
      <c r="N48" s="457"/>
      <c r="O48" s="457"/>
      <c r="P48" s="457"/>
      <c r="Q48" s="457"/>
      <c r="R48" s="457"/>
      <c r="S48" s="457"/>
      <c r="T48" s="457"/>
      <c r="U48" s="457"/>
      <c r="V48" s="457"/>
      <c r="W48" s="458"/>
    </row>
    <row r="49" spans="2:23" ht="23.1" customHeight="1" thickBot="1">
      <c r="B49" s="123"/>
      <c r="C49" s="1134"/>
      <c r="D49" s="1134"/>
      <c r="E49" s="57"/>
      <c r="F49" s="57"/>
      <c r="G49" s="124"/>
      <c r="H49" s="125"/>
      <c r="J49" s="449"/>
      <c r="K49" s="450"/>
      <c r="L49" s="450"/>
      <c r="M49" s="450"/>
      <c r="N49" s="450"/>
      <c r="O49" s="450"/>
      <c r="P49" s="450"/>
      <c r="Q49" s="450"/>
      <c r="R49" s="450"/>
      <c r="S49" s="450"/>
      <c r="T49" s="450"/>
      <c r="U49" s="450"/>
      <c r="V49" s="450"/>
      <c r="W49" s="451"/>
    </row>
    <row r="50" spans="2:23" ht="23.1" customHeight="1">
      <c r="C50" s="106"/>
      <c r="D50" s="106"/>
      <c r="E50" s="107"/>
      <c r="F50" s="107"/>
      <c r="G50" s="107"/>
    </row>
    <row r="51" spans="2:23" ht="13.2">
      <c r="C51" s="126" t="s">
        <v>77</v>
      </c>
      <c r="D51" s="106"/>
      <c r="E51" s="107"/>
      <c r="F51" s="107"/>
      <c r="G51" s="97" t="s">
        <v>63</v>
      </c>
    </row>
    <row r="52" spans="2:23" ht="13.2">
      <c r="C52" s="127" t="s">
        <v>78</v>
      </c>
      <c r="D52" s="106"/>
      <c r="E52" s="107"/>
      <c r="F52" s="107"/>
      <c r="G52" s="107"/>
    </row>
    <row r="53" spans="2:23" ht="13.2">
      <c r="C53" s="127" t="s">
        <v>79</v>
      </c>
      <c r="D53" s="106"/>
      <c r="E53" s="107"/>
      <c r="F53" s="107"/>
      <c r="G53" s="107"/>
    </row>
    <row r="54" spans="2:23" ht="13.2">
      <c r="C54" s="127" t="s">
        <v>80</v>
      </c>
      <c r="D54" s="106"/>
      <c r="E54" s="107"/>
      <c r="F54" s="107"/>
      <c r="G54" s="107"/>
    </row>
    <row r="55" spans="2:23" ht="13.2">
      <c r="C55" s="127" t="s">
        <v>81</v>
      </c>
      <c r="D55" s="106"/>
      <c r="E55" s="107"/>
      <c r="F55" s="107"/>
      <c r="G55" s="107"/>
    </row>
    <row r="56" spans="2:23" ht="23.1" customHeight="1">
      <c r="C56" s="106"/>
      <c r="D56" s="106"/>
      <c r="E56" s="107"/>
      <c r="F56" s="107"/>
      <c r="G56" s="107"/>
    </row>
    <row r="57" spans="2:23" ht="23.1" customHeight="1">
      <c r="C57" s="106"/>
      <c r="D57" s="106"/>
      <c r="E57" s="107"/>
      <c r="F57" s="107"/>
      <c r="G57" s="107"/>
    </row>
    <row r="58" spans="2:23" ht="23.1" customHeight="1">
      <c r="C58" s="106"/>
      <c r="D58" s="106"/>
      <c r="E58" s="107"/>
      <c r="F58" s="107"/>
      <c r="G58" s="107"/>
    </row>
    <row r="59" spans="2:23" ht="23.1" customHeight="1">
      <c r="C59" s="106"/>
      <c r="D59" s="106"/>
      <c r="E59" s="107"/>
      <c r="F59" s="107"/>
      <c r="G59" s="107"/>
    </row>
    <row r="60" spans="2:23" ht="23.1" customHeight="1">
      <c r="E60" s="107"/>
      <c r="F60" s="107"/>
      <c r="G60" s="107"/>
    </row>
  </sheetData>
  <sheetProtection password="E059" sheet="1" objects="1" scenarios="1"/>
  <mergeCells count="21">
    <mergeCell ref="G6:G7"/>
    <mergeCell ref="D9:G9"/>
    <mergeCell ref="C12:D12"/>
    <mergeCell ref="C49:D49"/>
    <mergeCell ref="F20:G20"/>
    <mergeCell ref="F21:G21"/>
    <mergeCell ref="F22:G22"/>
    <mergeCell ref="F23:G23"/>
    <mergeCell ref="F24:G24"/>
    <mergeCell ref="F25:G25"/>
    <mergeCell ref="F42:G42"/>
    <mergeCell ref="F43:G43"/>
    <mergeCell ref="C18:D18"/>
    <mergeCell ref="C20:D20"/>
    <mergeCell ref="C31:D31"/>
    <mergeCell ref="F26:G26"/>
    <mergeCell ref="F27:G27"/>
    <mergeCell ref="F28:G28"/>
    <mergeCell ref="F29:G29"/>
    <mergeCell ref="F31:G31"/>
    <mergeCell ref="F32:G32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48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51"/>
  <sheetViews>
    <sheetView zoomScale="55" zoomScaleNormal="55" workbookViewId="0">
      <selection activeCell="Z50" sqref="Z50"/>
    </sheetView>
  </sheetViews>
  <sheetFormatPr baseColWidth="10" defaultColWidth="10.90625" defaultRowHeight="23.1" customHeight="1"/>
  <cols>
    <col min="1" max="2" width="3.08984375" style="99" customWidth="1"/>
    <col min="3" max="3" width="13.08984375" style="99" customWidth="1"/>
    <col min="4" max="4" width="68" style="99" customWidth="1"/>
    <col min="5" max="5" width="17.90625" style="100" customWidth="1"/>
    <col min="6" max="6" width="12.08984375" style="100" customWidth="1"/>
    <col min="7" max="7" width="3.08984375" style="99" customWidth="1"/>
    <col min="8" max="16384" width="10.90625" style="99"/>
  </cols>
  <sheetData>
    <row r="2" spans="2:22" ht="23.1" customHeight="1">
      <c r="D2" s="221" t="s">
        <v>379</v>
      </c>
    </row>
    <row r="3" spans="2:22" ht="23.1" customHeight="1">
      <c r="D3" s="221" t="s">
        <v>380</v>
      </c>
    </row>
    <row r="4" spans="2:22" ht="23.1" customHeight="1" thickBot="1"/>
    <row r="5" spans="2:22" ht="9" customHeight="1">
      <c r="B5" s="101"/>
      <c r="C5" s="102"/>
      <c r="D5" s="102"/>
      <c r="E5" s="103"/>
      <c r="F5" s="103"/>
      <c r="G5" s="104"/>
      <c r="I5" s="452"/>
      <c r="J5" s="453"/>
      <c r="K5" s="453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4"/>
    </row>
    <row r="6" spans="2:22" ht="30" customHeight="1">
      <c r="B6" s="105"/>
      <c r="C6" s="69" t="s">
        <v>0</v>
      </c>
      <c r="D6" s="106"/>
      <c r="E6" s="107"/>
      <c r="F6" s="1111">
        <f>ejercicio</f>
        <v>2018</v>
      </c>
      <c r="G6" s="108"/>
      <c r="I6" s="455"/>
      <c r="J6" s="456" t="s">
        <v>707</v>
      </c>
      <c r="K6" s="456"/>
      <c r="L6" s="456"/>
      <c r="M6" s="456"/>
      <c r="N6" s="457"/>
      <c r="O6" s="457"/>
      <c r="P6" s="457"/>
      <c r="Q6" s="457"/>
      <c r="R6" s="457"/>
      <c r="S6" s="457"/>
      <c r="T6" s="457"/>
      <c r="U6" s="457"/>
      <c r="V6" s="458"/>
    </row>
    <row r="7" spans="2:22" ht="30" customHeight="1">
      <c r="B7" s="105"/>
      <c r="C7" s="69" t="s">
        <v>1</v>
      </c>
      <c r="D7" s="106"/>
      <c r="E7" s="107"/>
      <c r="F7" s="1111"/>
      <c r="G7" s="108"/>
      <c r="I7" s="455"/>
      <c r="J7" s="457"/>
      <c r="K7" s="457"/>
      <c r="L7" s="457"/>
      <c r="M7" s="457"/>
      <c r="N7" s="457"/>
      <c r="O7" s="457"/>
      <c r="P7" s="457"/>
      <c r="Q7" s="457"/>
      <c r="R7" s="457"/>
      <c r="S7" s="457"/>
      <c r="T7" s="457"/>
      <c r="U7" s="457"/>
      <c r="V7" s="458"/>
    </row>
    <row r="8" spans="2:22" ht="30" customHeight="1">
      <c r="B8" s="105"/>
      <c r="C8" s="109"/>
      <c r="D8" s="106"/>
      <c r="E8" s="107"/>
      <c r="F8" s="110"/>
      <c r="G8" s="108"/>
      <c r="I8" s="455"/>
      <c r="J8" s="457"/>
      <c r="K8" s="457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8"/>
    </row>
    <row r="9" spans="2:22" s="194" customFormat="1" ht="30" customHeight="1">
      <c r="B9" s="192"/>
      <c r="C9" s="56" t="s">
        <v>2</v>
      </c>
      <c r="D9" s="1135" t="str">
        <f>Entidad</f>
        <v>SPET, Turismo de Tenerife, S.A.</v>
      </c>
      <c r="E9" s="1135"/>
      <c r="F9" s="1135"/>
      <c r="G9" s="193"/>
      <c r="I9" s="455"/>
      <c r="J9" s="457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8"/>
    </row>
    <row r="10" spans="2:22" ht="7.35" customHeight="1">
      <c r="B10" s="105"/>
      <c r="C10" s="106"/>
      <c r="D10" s="106"/>
      <c r="E10" s="107"/>
      <c r="F10" s="107"/>
      <c r="G10" s="108"/>
      <c r="I10" s="455"/>
      <c r="J10" s="457"/>
      <c r="K10" s="457"/>
      <c r="L10" s="457"/>
      <c r="M10" s="457"/>
      <c r="N10" s="457"/>
      <c r="O10" s="457"/>
      <c r="P10" s="457"/>
      <c r="Q10" s="457"/>
      <c r="R10" s="457"/>
      <c r="S10" s="457"/>
      <c r="T10" s="457"/>
      <c r="U10" s="457"/>
      <c r="V10" s="458"/>
    </row>
    <row r="11" spans="2:22" s="117" customFormat="1" ht="30" customHeight="1">
      <c r="B11" s="113"/>
      <c r="C11" s="114" t="s">
        <v>608</v>
      </c>
      <c r="D11" s="114"/>
      <c r="E11" s="115"/>
      <c r="F11" s="115"/>
      <c r="G11" s="116"/>
      <c r="I11" s="455"/>
      <c r="J11" s="457"/>
      <c r="K11" s="457"/>
      <c r="L11" s="457"/>
      <c r="M11" s="457"/>
      <c r="N11" s="457"/>
      <c r="O11" s="457"/>
      <c r="P11" s="457"/>
      <c r="Q11" s="457"/>
      <c r="R11" s="457"/>
      <c r="S11" s="457"/>
      <c r="T11" s="457"/>
      <c r="U11" s="457"/>
      <c r="V11" s="458"/>
    </row>
    <row r="12" spans="2:22" s="117" customFormat="1" ht="30" customHeight="1">
      <c r="B12" s="113"/>
      <c r="C12" s="1177"/>
      <c r="D12" s="1177"/>
      <c r="E12" s="98"/>
      <c r="F12" s="98"/>
      <c r="G12" s="116"/>
      <c r="I12" s="455"/>
      <c r="J12" s="457"/>
      <c r="K12" s="457"/>
      <c r="L12" s="457"/>
      <c r="M12" s="457"/>
      <c r="N12" s="457"/>
      <c r="O12" s="457"/>
      <c r="P12" s="457"/>
      <c r="Q12" s="457"/>
      <c r="R12" s="457"/>
      <c r="S12" s="457"/>
      <c r="T12" s="457"/>
      <c r="U12" s="457"/>
      <c r="V12" s="458"/>
    </row>
    <row r="13" spans="2:22" ht="9" customHeight="1">
      <c r="B13" s="119"/>
      <c r="C13" s="159"/>
      <c r="D13" s="159"/>
      <c r="E13" s="98"/>
      <c r="F13" s="98"/>
      <c r="G13" s="108"/>
      <c r="I13" s="455"/>
      <c r="J13" s="457"/>
      <c r="K13" s="457"/>
      <c r="L13" s="457"/>
      <c r="M13" s="457"/>
      <c r="N13" s="457"/>
      <c r="O13" s="457"/>
      <c r="P13" s="457"/>
      <c r="Q13" s="457"/>
      <c r="R13" s="457"/>
      <c r="S13" s="457"/>
      <c r="T13" s="457"/>
      <c r="U13" s="457"/>
      <c r="V13" s="458"/>
    </row>
    <row r="14" spans="2:22" s="258" customFormat="1" ht="24" customHeight="1">
      <c r="B14" s="255"/>
      <c r="C14" s="1166" t="s">
        <v>457</v>
      </c>
      <c r="D14" s="1168"/>
      <c r="E14" s="275" t="s">
        <v>484</v>
      </c>
      <c r="F14" s="287" t="s">
        <v>609</v>
      </c>
      <c r="G14" s="257"/>
      <c r="I14" s="455"/>
      <c r="J14" s="457"/>
      <c r="K14" s="457"/>
      <c r="L14" s="457"/>
      <c r="M14" s="457"/>
      <c r="N14" s="457"/>
      <c r="O14" s="457"/>
      <c r="P14" s="457"/>
      <c r="Q14" s="457"/>
      <c r="R14" s="457"/>
      <c r="S14" s="457"/>
      <c r="T14" s="457"/>
      <c r="U14" s="457"/>
      <c r="V14" s="458"/>
    </row>
    <row r="15" spans="2:22" ht="9" customHeight="1">
      <c r="B15" s="119"/>
      <c r="C15" s="68"/>
      <c r="D15" s="159"/>
      <c r="E15" s="98"/>
      <c r="F15" s="262"/>
      <c r="G15" s="108"/>
      <c r="I15" s="455"/>
      <c r="J15" s="457"/>
      <c r="K15" s="457"/>
      <c r="L15" s="457"/>
      <c r="M15" s="457"/>
      <c r="N15" s="457"/>
      <c r="O15" s="457"/>
      <c r="P15" s="457"/>
      <c r="Q15" s="457"/>
      <c r="R15" s="457"/>
      <c r="S15" s="457"/>
      <c r="T15" s="457"/>
      <c r="U15" s="457"/>
      <c r="V15" s="458"/>
    </row>
    <row r="16" spans="2:22" s="304" customFormat="1" ht="23.1" customHeight="1">
      <c r="B16" s="302"/>
      <c r="C16" s="1228" t="s">
        <v>610</v>
      </c>
      <c r="D16" s="1229"/>
      <c r="E16" s="305">
        <f>SUM(E17:E19)</f>
        <v>538000</v>
      </c>
      <c r="F16" s="308">
        <f>E16/$E$33</f>
        <v>3.3544973434126872E-2</v>
      </c>
      <c r="G16" s="303"/>
      <c r="I16" s="455"/>
      <c r="J16" s="457"/>
      <c r="K16" s="457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8"/>
    </row>
    <row r="17" spans="2:22" s="194" customFormat="1" ht="23.1" customHeight="1">
      <c r="B17" s="192"/>
      <c r="C17" s="198" t="s">
        <v>611</v>
      </c>
      <c r="D17" s="271" t="s">
        <v>614</v>
      </c>
      <c r="E17" s="535">
        <f>+'FC-3_1_INF_ADIC_CPyG'!K16+'FC-3_1_INF_ADIC_CPyG'!K19</f>
        <v>120000</v>
      </c>
      <c r="F17" s="309">
        <f t="shared" ref="F17:F19" si="0">E17/$E$33</f>
        <v>7.482150208355437E-3</v>
      </c>
      <c r="G17" s="193"/>
      <c r="I17" s="455"/>
      <c r="J17" s="457"/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8"/>
    </row>
    <row r="18" spans="2:22" s="194" customFormat="1" ht="23.1" customHeight="1">
      <c r="B18" s="192"/>
      <c r="C18" s="198" t="s">
        <v>612</v>
      </c>
      <c r="D18" s="271" t="s">
        <v>615</v>
      </c>
      <c r="E18" s="535">
        <f>+'FC-3_1_INF_ADIC_CPyG'!K31</f>
        <v>418000</v>
      </c>
      <c r="F18" s="310">
        <f t="shared" si="0"/>
        <v>2.6062823225771439E-2</v>
      </c>
      <c r="G18" s="193"/>
      <c r="I18" s="455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8"/>
    </row>
    <row r="19" spans="2:22" s="194" customFormat="1" ht="23.1" customHeight="1">
      <c r="B19" s="192"/>
      <c r="C19" s="288" t="s">
        <v>613</v>
      </c>
      <c r="D19" s="272" t="s">
        <v>616</v>
      </c>
      <c r="E19" s="538"/>
      <c r="F19" s="311">
        <f t="shared" si="0"/>
        <v>0</v>
      </c>
      <c r="G19" s="193"/>
      <c r="I19" s="455"/>
      <c r="J19" s="457"/>
      <c r="K19" s="457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8"/>
    </row>
    <row r="20" spans="2:22" s="194" customFormat="1" ht="9" customHeight="1">
      <c r="B20" s="192"/>
      <c r="C20" s="22"/>
      <c r="D20" s="159"/>
      <c r="E20" s="155"/>
      <c r="F20" s="312"/>
      <c r="G20" s="193"/>
      <c r="I20" s="455"/>
      <c r="J20" s="457"/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8"/>
    </row>
    <row r="21" spans="2:22" s="194" customFormat="1" ht="23.1" customHeight="1">
      <c r="B21" s="192"/>
      <c r="C21" s="1228" t="s">
        <v>617</v>
      </c>
      <c r="D21" s="1229"/>
      <c r="E21" s="636">
        <f>+'FC-3_1_INF_ADIC_CPyG'!K40</f>
        <v>801288.16</v>
      </c>
      <c r="F21" s="313">
        <f>E21/$E$33</f>
        <v>4.9961319777472875E-2</v>
      </c>
      <c r="G21" s="193"/>
      <c r="I21" s="455"/>
      <c r="J21" s="457"/>
      <c r="K21" s="457"/>
      <c r="L21" s="457"/>
      <c r="M21" s="457"/>
      <c r="N21" s="457"/>
      <c r="O21" s="457"/>
      <c r="P21" s="457"/>
      <c r="Q21" s="457"/>
      <c r="R21" s="457"/>
      <c r="S21" s="457"/>
      <c r="T21" s="457"/>
      <c r="U21" s="457"/>
      <c r="V21" s="458"/>
    </row>
    <row r="22" spans="2:22" s="194" customFormat="1" ht="9" customHeight="1">
      <c r="B22" s="192"/>
      <c r="C22" s="22"/>
      <c r="D22" s="159"/>
      <c r="E22" s="155"/>
      <c r="F22" s="312"/>
      <c r="G22" s="193"/>
      <c r="I22" s="455"/>
      <c r="J22" s="457"/>
      <c r="K22" s="457"/>
      <c r="L22" s="457"/>
      <c r="M22" s="457"/>
      <c r="N22" s="457"/>
      <c r="O22" s="457"/>
      <c r="P22" s="457"/>
      <c r="Q22" s="457"/>
      <c r="R22" s="457"/>
      <c r="S22" s="457"/>
      <c r="T22" s="457"/>
      <c r="U22" s="457"/>
      <c r="V22" s="458"/>
    </row>
    <row r="23" spans="2:22" s="304" customFormat="1" ht="23.1" customHeight="1">
      <c r="B23" s="302"/>
      <c r="C23" s="1228" t="s">
        <v>618</v>
      </c>
      <c r="D23" s="1229"/>
      <c r="E23" s="305">
        <f>SUM(E24:E26)</f>
        <v>14698882.24</v>
      </c>
      <c r="F23" s="313">
        <f t="shared" ref="F23:F26" si="1">E23/$E$33</f>
        <v>0.91649370678840025</v>
      </c>
      <c r="G23" s="303"/>
      <c r="I23" s="455"/>
      <c r="J23" s="457"/>
      <c r="K23" s="457"/>
      <c r="L23" s="457"/>
      <c r="M23" s="457"/>
      <c r="N23" s="457"/>
      <c r="O23" s="457"/>
      <c r="P23" s="457"/>
      <c r="Q23" s="457"/>
      <c r="R23" s="457"/>
      <c r="S23" s="457"/>
      <c r="T23" s="457"/>
      <c r="U23" s="457"/>
      <c r="V23" s="458"/>
    </row>
    <row r="24" spans="2:22" s="194" customFormat="1" ht="23.1" customHeight="1">
      <c r="B24" s="192"/>
      <c r="C24" s="198" t="s">
        <v>611</v>
      </c>
      <c r="D24" s="271" t="s">
        <v>619</v>
      </c>
      <c r="E24" s="535">
        <f>+'FC-9_TRANS_SUBV'!G68+'FC-9_TRANS_SUBV'!G83</f>
        <v>14062797.77</v>
      </c>
      <c r="F24" s="309">
        <f t="shared" si="1"/>
        <v>0.87683304387388228</v>
      </c>
      <c r="G24" s="193"/>
      <c r="I24" s="455"/>
      <c r="J24" s="457"/>
      <c r="K24" s="457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8"/>
    </row>
    <row r="25" spans="2:22" s="194" customFormat="1" ht="23.1" customHeight="1">
      <c r="B25" s="192"/>
      <c r="C25" s="198" t="s">
        <v>612</v>
      </c>
      <c r="D25" s="271" t="s">
        <v>621</v>
      </c>
      <c r="E25" s="535">
        <f>+'FC-3_1_INF_ADIC_CPyG'!G76+'FC-3_1_INF_ADIC_CPyG'!G77+'FC-3_1_INF_ADIC_CPyG'!G78+'FC-3_1_INF_ADIC_CPyG'!G81</f>
        <v>464351</v>
      </c>
      <c r="F25" s="310">
        <f t="shared" si="1"/>
        <v>2.8952866095000463E-2</v>
      </c>
      <c r="G25" s="193"/>
      <c r="I25" s="455"/>
      <c r="J25" s="457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8"/>
    </row>
    <row r="26" spans="2:22" s="194" customFormat="1" ht="23.1" customHeight="1">
      <c r="B26" s="192"/>
      <c r="C26" s="288" t="s">
        <v>613</v>
      </c>
      <c r="D26" s="272" t="s">
        <v>620</v>
      </c>
      <c r="E26" s="538">
        <f>+'FC-3_1_INF_ADIC_CPyG'!G80</f>
        <v>171733.47</v>
      </c>
      <c r="F26" s="311">
        <f t="shared" si="1"/>
        <v>1.0707796819517518E-2</v>
      </c>
      <c r="G26" s="193"/>
      <c r="I26" s="455"/>
      <c r="J26" s="457"/>
      <c r="K26" s="457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8"/>
    </row>
    <row r="27" spans="2:22" s="194" customFormat="1" ht="9" customHeight="1">
      <c r="B27" s="192"/>
      <c r="C27" s="22"/>
      <c r="D27" s="159"/>
      <c r="E27" s="155"/>
      <c r="F27" s="312"/>
      <c r="G27" s="193"/>
      <c r="I27" s="455"/>
      <c r="J27" s="457"/>
      <c r="K27" s="457"/>
      <c r="L27" s="457"/>
      <c r="M27" s="457"/>
      <c r="N27" s="457"/>
      <c r="O27" s="457"/>
      <c r="P27" s="457"/>
      <c r="Q27" s="457"/>
      <c r="R27" s="457"/>
      <c r="S27" s="457"/>
      <c r="T27" s="457"/>
      <c r="U27" s="457"/>
      <c r="V27" s="458"/>
    </row>
    <row r="28" spans="2:22" s="304" customFormat="1" ht="23.1" customHeight="1">
      <c r="B28" s="302"/>
      <c r="C28" s="1228" t="s">
        <v>622</v>
      </c>
      <c r="D28" s="1229"/>
      <c r="E28" s="305">
        <f>SUM(E29:E31)</f>
        <v>0</v>
      </c>
      <c r="F28" s="313">
        <f t="shared" ref="F28:F31" si="2">E28/$E$33</f>
        <v>0</v>
      </c>
      <c r="G28" s="303"/>
      <c r="I28" s="455"/>
      <c r="J28" s="457"/>
      <c r="K28" s="457"/>
      <c r="L28" s="457"/>
      <c r="M28" s="457"/>
      <c r="N28" s="457"/>
      <c r="O28" s="457"/>
      <c r="P28" s="457"/>
      <c r="Q28" s="457"/>
      <c r="R28" s="457"/>
      <c r="S28" s="457"/>
      <c r="T28" s="457"/>
      <c r="U28" s="457"/>
      <c r="V28" s="458"/>
    </row>
    <row r="29" spans="2:22" s="194" customFormat="1" ht="23.1" customHeight="1">
      <c r="B29" s="192"/>
      <c r="C29" s="198" t="s">
        <v>611</v>
      </c>
      <c r="D29" s="271"/>
      <c r="E29" s="535"/>
      <c r="F29" s="309">
        <f t="shared" si="2"/>
        <v>0</v>
      </c>
      <c r="G29" s="193"/>
      <c r="I29" s="455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8"/>
    </row>
    <row r="30" spans="2:22" s="194" customFormat="1" ht="23.1" customHeight="1">
      <c r="B30" s="192"/>
      <c r="C30" s="198" t="s">
        <v>612</v>
      </c>
      <c r="D30" s="271"/>
      <c r="E30" s="535"/>
      <c r="F30" s="310">
        <f t="shared" si="2"/>
        <v>0</v>
      </c>
      <c r="G30" s="193"/>
      <c r="I30" s="455"/>
      <c r="J30" s="457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8"/>
    </row>
    <row r="31" spans="2:22" s="194" customFormat="1" ht="23.1" customHeight="1">
      <c r="B31" s="192"/>
      <c r="C31" s="288" t="s">
        <v>613</v>
      </c>
      <c r="D31" s="272"/>
      <c r="E31" s="538"/>
      <c r="F31" s="311">
        <f t="shared" si="2"/>
        <v>0</v>
      </c>
      <c r="G31" s="193"/>
      <c r="I31" s="455"/>
      <c r="J31" s="457"/>
      <c r="K31" s="457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8"/>
    </row>
    <row r="32" spans="2:22" s="194" customFormat="1" ht="23.1" customHeight="1">
      <c r="B32" s="192"/>
      <c r="C32" s="159"/>
      <c r="D32" s="221"/>
      <c r="E32" s="223"/>
      <c r="F32" s="306"/>
      <c r="G32" s="193"/>
      <c r="I32" s="455"/>
      <c r="J32" s="457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8"/>
    </row>
    <row r="33" spans="2:22" s="194" customFormat="1" ht="23.1" customHeight="1" thickBot="1">
      <c r="B33" s="192"/>
      <c r="C33" s="1230" t="s">
        <v>623</v>
      </c>
      <c r="D33" s="1231"/>
      <c r="E33" s="301">
        <f>E28+E23+E21+E16</f>
        <v>16038170.4</v>
      </c>
      <c r="F33" s="307">
        <f>E33/E33</f>
        <v>1</v>
      </c>
      <c r="G33" s="193"/>
      <c r="I33" s="455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7"/>
      <c r="U33" s="457"/>
      <c r="V33" s="458"/>
    </row>
    <row r="34" spans="2:22" ht="23.1" customHeight="1">
      <c r="B34" s="119"/>
      <c r="C34" s="159"/>
      <c r="D34" s="221"/>
      <c r="E34" s="223"/>
      <c r="F34" s="224"/>
      <c r="G34" s="108"/>
      <c r="I34" s="455"/>
      <c r="J34" s="457"/>
      <c r="K34" s="457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8"/>
    </row>
    <row r="35" spans="2:22" ht="23.1" customHeight="1">
      <c r="B35" s="119"/>
      <c r="C35" s="159"/>
      <c r="D35" s="221"/>
      <c r="E35" s="223"/>
      <c r="F35" s="224"/>
      <c r="G35" s="108"/>
      <c r="I35" s="455"/>
      <c r="J35" s="457"/>
      <c r="K35" s="457"/>
      <c r="L35" s="457"/>
      <c r="M35" s="457"/>
      <c r="N35" s="457"/>
      <c r="O35" s="457"/>
      <c r="P35" s="457"/>
      <c r="Q35" s="457"/>
      <c r="R35" s="457"/>
      <c r="S35" s="457"/>
      <c r="T35" s="457"/>
      <c r="U35" s="457"/>
      <c r="V35" s="458"/>
    </row>
    <row r="36" spans="2:22" ht="23.1" customHeight="1">
      <c r="B36" s="119"/>
      <c r="C36" s="159"/>
      <c r="D36" s="221"/>
      <c r="E36" s="223"/>
      <c r="F36" s="224"/>
      <c r="G36" s="108"/>
      <c r="I36" s="455"/>
      <c r="J36" s="457"/>
      <c r="K36" s="457"/>
      <c r="L36" s="457"/>
      <c r="M36" s="457"/>
      <c r="N36" s="457"/>
      <c r="O36" s="457"/>
      <c r="P36" s="457"/>
      <c r="Q36" s="457"/>
      <c r="R36" s="457"/>
      <c r="S36" s="457"/>
      <c r="T36" s="457"/>
      <c r="U36" s="457"/>
      <c r="V36" s="458"/>
    </row>
    <row r="37" spans="2:22" ht="23.1" customHeight="1">
      <c r="B37" s="119"/>
      <c r="C37" s="159"/>
      <c r="D37" s="221"/>
      <c r="E37" s="223"/>
      <c r="F37" s="224"/>
      <c r="G37" s="108"/>
      <c r="I37" s="455"/>
      <c r="J37" s="457"/>
      <c r="K37" s="457"/>
      <c r="L37" s="457"/>
      <c r="M37" s="457"/>
      <c r="N37" s="457"/>
      <c r="O37" s="457"/>
      <c r="P37" s="457"/>
      <c r="Q37" s="457"/>
      <c r="R37" s="457"/>
      <c r="S37" s="457"/>
      <c r="T37" s="457"/>
      <c r="U37" s="457"/>
      <c r="V37" s="458"/>
    </row>
    <row r="38" spans="2:22" ht="23.1" customHeight="1">
      <c r="B38" s="119"/>
      <c r="C38" s="159"/>
      <c r="D38" s="221"/>
      <c r="E38" s="223"/>
      <c r="F38" s="224"/>
      <c r="G38" s="108"/>
      <c r="I38" s="455"/>
      <c r="J38" s="457"/>
      <c r="K38" s="457"/>
      <c r="L38" s="457"/>
      <c r="M38" s="457"/>
      <c r="N38" s="457"/>
      <c r="O38" s="457"/>
      <c r="P38" s="457"/>
      <c r="Q38" s="457"/>
      <c r="R38" s="457"/>
      <c r="S38" s="457"/>
      <c r="T38" s="457"/>
      <c r="U38" s="457"/>
      <c r="V38" s="458"/>
    </row>
    <row r="39" spans="2:22" ht="23.1" customHeight="1">
      <c r="B39" s="119"/>
      <c r="C39" s="221"/>
      <c r="D39" s="221"/>
      <c r="E39" s="222"/>
      <c r="F39" s="98"/>
      <c r="G39" s="108"/>
      <c r="I39" s="455"/>
      <c r="J39" s="457"/>
      <c r="K39" s="457"/>
      <c r="L39" s="457"/>
      <c r="M39" s="457"/>
      <c r="N39" s="457"/>
      <c r="O39" s="457"/>
      <c r="P39" s="457"/>
      <c r="Q39" s="457"/>
      <c r="R39" s="457"/>
      <c r="S39" s="457"/>
      <c r="T39" s="457"/>
      <c r="U39" s="457"/>
      <c r="V39" s="458"/>
    </row>
    <row r="40" spans="2:22" ht="23.1" customHeight="1" thickBot="1">
      <c r="B40" s="123"/>
      <c r="C40" s="1134"/>
      <c r="D40" s="1134"/>
      <c r="E40" s="57"/>
      <c r="F40" s="124"/>
      <c r="G40" s="125"/>
      <c r="I40" s="449"/>
      <c r="J40" s="450"/>
      <c r="K40" s="450"/>
      <c r="L40" s="450"/>
      <c r="M40" s="450"/>
      <c r="N40" s="450"/>
      <c r="O40" s="450"/>
      <c r="P40" s="450"/>
      <c r="Q40" s="450"/>
      <c r="R40" s="450"/>
      <c r="S40" s="450"/>
      <c r="T40" s="450"/>
      <c r="U40" s="450"/>
      <c r="V40" s="451"/>
    </row>
    <row r="41" spans="2:22" ht="23.1" customHeight="1">
      <c r="C41" s="106"/>
      <c r="D41" s="106"/>
      <c r="E41" s="107"/>
      <c r="F41" s="107"/>
    </row>
    <row r="42" spans="2:22" ht="13.2">
      <c r="C42" s="126" t="s">
        <v>77</v>
      </c>
      <c r="D42" s="106"/>
      <c r="E42" s="107"/>
      <c r="F42" s="97" t="s">
        <v>68</v>
      </c>
    </row>
    <row r="43" spans="2:22" ht="13.2">
      <c r="C43" s="127" t="s">
        <v>78</v>
      </c>
      <c r="D43" s="106"/>
      <c r="E43" s="107"/>
      <c r="F43" s="107"/>
    </row>
    <row r="44" spans="2:22" ht="13.2">
      <c r="C44" s="127" t="s">
        <v>79</v>
      </c>
      <c r="D44" s="106"/>
      <c r="E44" s="107"/>
      <c r="F44" s="107"/>
    </row>
    <row r="45" spans="2:22" ht="13.2">
      <c r="C45" s="127" t="s">
        <v>80</v>
      </c>
      <c r="D45" s="106"/>
      <c r="E45" s="107"/>
      <c r="F45" s="107"/>
    </row>
    <row r="46" spans="2:22" ht="13.2">
      <c r="C46" s="127" t="s">
        <v>81</v>
      </c>
      <c r="D46" s="106"/>
      <c r="E46" s="107"/>
      <c r="F46" s="107"/>
    </row>
    <row r="47" spans="2:22" ht="23.1" customHeight="1">
      <c r="C47" s="106"/>
      <c r="D47" s="106"/>
      <c r="E47" s="107"/>
      <c r="F47" s="107"/>
    </row>
    <row r="48" spans="2:22" ht="23.1" customHeight="1">
      <c r="C48" s="106"/>
      <c r="D48" s="106"/>
      <c r="E48" s="107"/>
      <c r="F48" s="107"/>
    </row>
    <row r="49" spans="3:6" ht="23.1" customHeight="1">
      <c r="C49" s="106"/>
      <c r="D49" s="106"/>
      <c r="E49" s="107"/>
      <c r="F49" s="107"/>
    </row>
    <row r="50" spans="3:6" ht="23.1" customHeight="1">
      <c r="C50" s="106"/>
      <c r="D50" s="106"/>
      <c r="E50" s="107"/>
      <c r="F50" s="107"/>
    </row>
    <row r="51" spans="3:6" ht="23.1" customHeight="1">
      <c r="E51" s="107"/>
      <c r="F51" s="107"/>
    </row>
  </sheetData>
  <sheetProtection password="E059" sheet="1" objects="1" scenarios="1"/>
  <mergeCells count="10">
    <mergeCell ref="F6:F7"/>
    <mergeCell ref="D9:F9"/>
    <mergeCell ref="C12:D12"/>
    <mergeCell ref="C14:D14"/>
    <mergeCell ref="C16:D16"/>
    <mergeCell ref="C40:D40"/>
    <mergeCell ref="C23:D23"/>
    <mergeCell ref="C28:D28"/>
    <mergeCell ref="C33:D33"/>
    <mergeCell ref="C21:D21"/>
  </mergeCells>
  <phoneticPr fontId="24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 r:id="rId1"/>
  <ignoredErrors>
    <ignoredError sqref="F16:F33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6"/>
  <sheetViews>
    <sheetView topLeftCell="A7" zoomScale="55" zoomScaleNormal="55" workbookViewId="0">
      <selection activeCell="V46" sqref="V46"/>
    </sheetView>
  </sheetViews>
  <sheetFormatPr baseColWidth="10" defaultColWidth="10.90625" defaultRowHeight="23.1" customHeight="1"/>
  <cols>
    <col min="1" max="2" width="3.08984375" style="99" customWidth="1"/>
    <col min="3" max="3" width="13.08984375" style="99" customWidth="1"/>
    <col min="4" max="4" width="68" style="99" customWidth="1"/>
    <col min="5" max="5" width="16.90625" style="100" customWidth="1"/>
    <col min="6" max="6" width="3.08984375" style="99" customWidth="1"/>
    <col min="7" max="16384" width="10.90625" style="99"/>
  </cols>
  <sheetData>
    <row r="2" spans="2:6" ht="23.1" customHeight="1">
      <c r="D2" s="221" t="s">
        <v>379</v>
      </c>
    </row>
    <row r="3" spans="2:6" ht="23.1" customHeight="1">
      <c r="D3" s="221" t="s">
        <v>380</v>
      </c>
    </row>
    <row r="4" spans="2:6" ht="23.1" customHeight="1" thickBot="1"/>
    <row r="5" spans="2:6" ht="9" customHeight="1">
      <c r="B5" s="101"/>
      <c r="C5" s="102"/>
      <c r="D5" s="102"/>
      <c r="E5" s="103"/>
      <c r="F5" s="104"/>
    </row>
    <row r="6" spans="2:6" ht="30" customHeight="1">
      <c r="B6" s="105"/>
      <c r="C6" s="69" t="s">
        <v>0</v>
      </c>
      <c r="D6" s="106"/>
      <c r="E6" s="1111">
        <f>ejercicio</f>
        <v>2018</v>
      </c>
      <c r="F6" s="108"/>
    </row>
    <row r="7" spans="2:6" ht="30" customHeight="1">
      <c r="B7" s="105"/>
      <c r="C7" s="69" t="s">
        <v>1</v>
      </c>
      <c r="D7" s="106"/>
      <c r="E7" s="1111"/>
      <c r="F7" s="108"/>
    </row>
    <row r="8" spans="2:6" ht="30" customHeight="1">
      <c r="B8" s="105"/>
      <c r="C8" s="109"/>
      <c r="D8" s="106"/>
      <c r="E8" s="110"/>
      <c r="F8" s="108"/>
    </row>
    <row r="9" spans="2:6" s="194" customFormat="1" ht="30" customHeight="1">
      <c r="B9" s="192"/>
      <c r="C9" s="56" t="s">
        <v>2</v>
      </c>
      <c r="D9" s="1135" t="str">
        <f>Entidad</f>
        <v>SPET, Turismo de Tenerife, S.A.</v>
      </c>
      <c r="E9" s="1135"/>
      <c r="F9" s="193"/>
    </row>
    <row r="10" spans="2:6" ht="7.35" customHeight="1">
      <c r="B10" s="105"/>
      <c r="C10" s="106"/>
      <c r="D10" s="106"/>
      <c r="E10" s="107"/>
      <c r="F10" s="108"/>
    </row>
    <row r="11" spans="2:6" s="117" customFormat="1" ht="30" customHeight="1">
      <c r="B11" s="113"/>
      <c r="C11" s="114" t="s">
        <v>624</v>
      </c>
      <c r="D11" s="114"/>
      <c r="E11" s="115"/>
      <c r="F11" s="116"/>
    </row>
    <row r="12" spans="2:6" s="117" customFormat="1" ht="30" customHeight="1">
      <c r="B12" s="113"/>
      <c r="C12" s="1177"/>
      <c r="D12" s="1177"/>
      <c r="E12" s="98"/>
      <c r="F12" s="116"/>
    </row>
    <row r="13" spans="2:6" ht="9" customHeight="1">
      <c r="B13" s="119"/>
      <c r="C13" s="159"/>
      <c r="D13" s="159"/>
      <c r="E13" s="98"/>
      <c r="F13" s="108"/>
    </row>
    <row r="14" spans="2:6" s="258" customFormat="1" ht="24" customHeight="1">
      <c r="B14" s="255"/>
      <c r="C14" s="1166" t="s">
        <v>639</v>
      </c>
      <c r="D14" s="1168"/>
      <c r="E14" s="275" t="s">
        <v>484</v>
      </c>
      <c r="F14" s="257"/>
    </row>
    <row r="15" spans="2:6" ht="9" customHeight="1">
      <c r="B15" s="119"/>
      <c r="C15" s="68"/>
      <c r="D15" s="159"/>
      <c r="E15" s="98"/>
      <c r="F15" s="108"/>
    </row>
    <row r="16" spans="2:6" s="194" customFormat="1" ht="23.1" customHeight="1">
      <c r="B16" s="192"/>
      <c r="C16" s="298" t="s">
        <v>189</v>
      </c>
      <c r="D16" s="236" t="s">
        <v>625</v>
      </c>
      <c r="E16" s="177">
        <f>+'FC-91_PRESUPUESTO'!E16</f>
        <v>0</v>
      </c>
      <c r="F16" s="193"/>
    </row>
    <row r="17" spans="2:6" s="194" customFormat="1" ht="23.1" customHeight="1">
      <c r="B17" s="192"/>
      <c r="C17" s="198" t="s">
        <v>199</v>
      </c>
      <c r="D17" s="271" t="s">
        <v>626</v>
      </c>
      <c r="E17" s="199">
        <f>+'FC-91_PRESUPUESTO'!E17</f>
        <v>0</v>
      </c>
      <c r="F17" s="193"/>
    </row>
    <row r="18" spans="2:6" s="194" customFormat="1" ht="23.1" customHeight="1">
      <c r="B18" s="192"/>
      <c r="C18" s="198" t="s">
        <v>204</v>
      </c>
      <c r="D18" s="271" t="s">
        <v>627</v>
      </c>
      <c r="E18" s="199">
        <f>+'FC-91_PRESUPUESTO'!E18</f>
        <v>1339288.1599999999</v>
      </c>
      <c r="F18" s="193"/>
    </row>
    <row r="19" spans="2:6" s="194" customFormat="1" ht="23.1" customHeight="1">
      <c r="B19" s="192"/>
      <c r="C19" s="198" t="s">
        <v>208</v>
      </c>
      <c r="D19" s="271" t="s">
        <v>628</v>
      </c>
      <c r="E19" s="199">
        <f>+'FC-91_PRESUPUESTO'!E19</f>
        <v>14062797.77</v>
      </c>
      <c r="F19" s="193"/>
    </row>
    <row r="20" spans="2:6" s="194" customFormat="1" ht="23.1" customHeight="1">
      <c r="B20" s="192"/>
      <c r="C20" s="288" t="s">
        <v>216</v>
      </c>
      <c r="D20" s="272" t="s">
        <v>629</v>
      </c>
      <c r="E20" s="178">
        <f>+'FC-91_PRESUPUESTO'!E20</f>
        <v>3000</v>
      </c>
      <c r="F20" s="193"/>
    </row>
    <row r="21" spans="2:6" s="194" customFormat="1" ht="23.1" customHeight="1">
      <c r="B21" s="192"/>
      <c r="C21" s="1228" t="s">
        <v>630</v>
      </c>
      <c r="D21" s="1229"/>
      <c r="E21" s="305">
        <f>SUM(E16:E20)</f>
        <v>15405085.93</v>
      </c>
      <c r="F21" s="193"/>
    </row>
    <row r="22" spans="2:6" s="194" customFormat="1" ht="9" customHeight="1">
      <c r="B22" s="192"/>
      <c r="C22" s="22"/>
      <c r="D22" s="159"/>
      <c r="E22" s="155"/>
      <c r="F22" s="193"/>
    </row>
    <row r="23" spans="2:6" s="194" customFormat="1" ht="23.1" customHeight="1">
      <c r="B23" s="192"/>
      <c r="C23" s="298" t="s">
        <v>219</v>
      </c>
      <c r="D23" s="236" t="s">
        <v>631</v>
      </c>
      <c r="E23" s="177">
        <f>+'FC-91_PRESUPUESTO'!E23</f>
        <v>0</v>
      </c>
      <c r="F23" s="193"/>
    </row>
    <row r="24" spans="2:6" s="194" customFormat="1" ht="23.1" customHeight="1">
      <c r="B24" s="192"/>
      <c r="C24" s="198" t="s">
        <v>221</v>
      </c>
      <c r="D24" s="271" t="s">
        <v>632</v>
      </c>
      <c r="E24" s="199">
        <f>+'FC-91_PRESUPUESTO'!E24</f>
        <v>0</v>
      </c>
      <c r="F24" s="193"/>
    </row>
    <row r="25" spans="2:6" s="194" customFormat="1" ht="23.1" customHeight="1">
      <c r="B25" s="192"/>
      <c r="C25" s="1228" t="s">
        <v>633</v>
      </c>
      <c r="D25" s="1229"/>
      <c r="E25" s="305">
        <f>SUM(E23:E24)</f>
        <v>0</v>
      </c>
      <c r="F25" s="193"/>
    </row>
    <row r="26" spans="2:6" s="194" customFormat="1" ht="9" customHeight="1">
      <c r="B26" s="192"/>
      <c r="C26" s="22"/>
      <c r="D26" s="159"/>
      <c r="E26" s="155"/>
      <c r="F26" s="193"/>
    </row>
    <row r="27" spans="2:6" s="194" customFormat="1" ht="23.1" customHeight="1">
      <c r="B27" s="192"/>
      <c r="C27" s="298" t="s">
        <v>272</v>
      </c>
      <c r="D27" s="236" t="s">
        <v>634</v>
      </c>
      <c r="E27" s="177">
        <f>+'FC-91_PRESUPUESTO'!E27</f>
        <v>0</v>
      </c>
      <c r="F27" s="193"/>
    </row>
    <row r="28" spans="2:6" s="194" customFormat="1" ht="23.1" customHeight="1">
      <c r="B28" s="192"/>
      <c r="C28" s="198" t="s">
        <v>274</v>
      </c>
      <c r="D28" s="271" t="s">
        <v>635</v>
      </c>
      <c r="E28" s="199">
        <f>+'FC-91_PRESUPUESTO'!E28</f>
        <v>0</v>
      </c>
      <c r="F28" s="193"/>
    </row>
    <row r="29" spans="2:6" s="194" customFormat="1" ht="23.1" customHeight="1">
      <c r="B29" s="192"/>
      <c r="C29" s="1228" t="s">
        <v>636</v>
      </c>
      <c r="D29" s="1229"/>
      <c r="E29" s="305">
        <f>SUM(E27:E28)</f>
        <v>0</v>
      </c>
      <c r="F29" s="193"/>
    </row>
    <row r="30" spans="2:6" s="194" customFormat="1" ht="23.1" customHeight="1">
      <c r="B30" s="192"/>
      <c r="C30" s="159"/>
      <c r="D30" s="221"/>
      <c r="E30" s="223"/>
      <c r="F30" s="193"/>
    </row>
    <row r="31" spans="2:6" s="315" customFormat="1" ht="23.1" customHeight="1" thickBot="1">
      <c r="B31" s="113"/>
      <c r="C31" s="1232" t="s">
        <v>637</v>
      </c>
      <c r="D31" s="1233"/>
      <c r="E31" s="314">
        <f>E21+E25+E29</f>
        <v>15405085.93</v>
      </c>
      <c r="F31" s="116"/>
    </row>
    <row r="32" spans="2:6" s="194" customFormat="1" ht="9" customHeight="1">
      <c r="B32" s="192"/>
      <c r="C32" s="22"/>
      <c r="D32" s="159"/>
      <c r="E32" s="155"/>
      <c r="F32" s="193"/>
    </row>
    <row r="33" spans="2:6" s="194" customFormat="1" ht="23.1" customHeight="1">
      <c r="B33" s="192"/>
      <c r="C33" s="1228" t="s">
        <v>638</v>
      </c>
      <c r="D33" s="1229"/>
      <c r="E33" s="305">
        <f>+'FC-92_PRESUPUESTO_PYG'!E33</f>
        <v>5824.53</v>
      </c>
      <c r="F33" s="193"/>
    </row>
    <row r="34" spans="2:6" s="194" customFormat="1" ht="9" customHeight="1">
      <c r="B34" s="192"/>
      <c r="C34" s="22"/>
      <c r="D34" s="159"/>
      <c r="E34" s="155"/>
      <c r="F34" s="193"/>
    </row>
    <row r="35" spans="2:6" s="194" customFormat="1" ht="23.1" customHeight="1" thickBot="1">
      <c r="B35" s="192"/>
      <c r="C35" s="1232" t="s">
        <v>637</v>
      </c>
      <c r="D35" s="1233"/>
      <c r="E35" s="314">
        <f>+E31+E33</f>
        <v>15410910.459999999</v>
      </c>
      <c r="F35" s="193"/>
    </row>
    <row r="36" spans="2:6" s="194" customFormat="1" ht="23.1" customHeight="1">
      <c r="B36" s="192"/>
      <c r="C36" s="316"/>
      <c r="D36" s="316"/>
      <c r="E36" s="317"/>
      <c r="F36" s="193"/>
    </row>
    <row r="37" spans="2:6" s="258" customFormat="1" ht="24" customHeight="1">
      <c r="B37" s="255"/>
      <c r="C37" s="1166" t="s">
        <v>640</v>
      </c>
      <c r="D37" s="1168"/>
      <c r="E37" s="275" t="s">
        <v>484</v>
      </c>
      <c r="F37" s="257"/>
    </row>
    <row r="38" spans="2:6" ht="9" customHeight="1">
      <c r="B38" s="119"/>
      <c r="C38" s="68"/>
      <c r="D38" s="159"/>
      <c r="E38" s="98"/>
      <c r="F38" s="108"/>
    </row>
    <row r="39" spans="2:6" s="194" customFormat="1" ht="23.1" customHeight="1">
      <c r="B39" s="192"/>
      <c r="C39" s="298" t="s">
        <v>189</v>
      </c>
      <c r="D39" s="236" t="s">
        <v>641</v>
      </c>
      <c r="E39" s="177">
        <f>+'FC-91_PRESUPUESTO'!E36</f>
        <v>2133144.6</v>
      </c>
      <c r="F39" s="193"/>
    </row>
    <row r="40" spans="2:6" s="194" customFormat="1" ht="23.1" customHeight="1">
      <c r="B40" s="192"/>
      <c r="C40" s="198" t="s">
        <v>199</v>
      </c>
      <c r="D40" s="271" t="s">
        <v>642</v>
      </c>
      <c r="E40" s="199">
        <f>+'FC-91_PRESUPUESTO'!E37</f>
        <v>13089574.130000001</v>
      </c>
      <c r="F40" s="193"/>
    </row>
    <row r="41" spans="2:6" s="194" customFormat="1" ht="23.1" customHeight="1">
      <c r="B41" s="192"/>
      <c r="C41" s="198" t="s">
        <v>204</v>
      </c>
      <c r="D41" s="271" t="s">
        <v>395</v>
      </c>
      <c r="E41" s="199">
        <f>+'FC-91_PRESUPUESTO'!E38</f>
        <v>3000</v>
      </c>
      <c r="F41" s="193"/>
    </row>
    <row r="42" spans="2:6" s="194" customFormat="1" ht="23.1" customHeight="1">
      <c r="B42" s="192"/>
      <c r="C42" s="198" t="s">
        <v>208</v>
      </c>
      <c r="D42" s="271" t="s">
        <v>643</v>
      </c>
      <c r="E42" s="199">
        <f>+'FC-91_PRESUPUESTO'!E39</f>
        <v>0</v>
      </c>
      <c r="F42" s="193"/>
    </row>
    <row r="43" spans="2:6" s="194" customFormat="1" ht="23.1" customHeight="1">
      <c r="B43" s="192"/>
      <c r="C43" s="1228" t="s">
        <v>644</v>
      </c>
      <c r="D43" s="1229"/>
      <c r="E43" s="305">
        <f>SUM(E39:E42)</f>
        <v>15225718.73</v>
      </c>
      <c r="F43" s="193"/>
    </row>
    <row r="44" spans="2:6" s="194" customFormat="1" ht="9" customHeight="1">
      <c r="B44" s="192"/>
      <c r="C44" s="22"/>
      <c r="D44" s="159"/>
      <c r="E44" s="155"/>
      <c r="F44" s="193"/>
    </row>
    <row r="45" spans="2:6" s="194" customFormat="1" ht="23.1" customHeight="1">
      <c r="B45" s="192"/>
      <c r="C45" s="298" t="s">
        <v>219</v>
      </c>
      <c r="D45" s="236" t="s">
        <v>645</v>
      </c>
      <c r="E45" s="177">
        <f>+'FC-91_PRESUPUESTO'!E42</f>
        <v>0</v>
      </c>
      <c r="F45" s="193"/>
    </row>
    <row r="46" spans="2:6" s="194" customFormat="1" ht="23.1" customHeight="1">
      <c r="B46" s="192"/>
      <c r="C46" s="198" t="s">
        <v>221</v>
      </c>
      <c r="D46" s="271" t="s">
        <v>632</v>
      </c>
      <c r="E46" s="199">
        <f>+'FC-91_PRESUPUESTO'!E43</f>
        <v>0</v>
      </c>
      <c r="F46" s="193"/>
    </row>
    <row r="47" spans="2:6" s="194" customFormat="1" ht="23.1" customHeight="1">
      <c r="B47" s="192"/>
      <c r="C47" s="1228" t="s">
        <v>646</v>
      </c>
      <c r="D47" s="1229"/>
      <c r="E47" s="305">
        <f>SUM(E45:E46)</f>
        <v>0</v>
      </c>
      <c r="F47" s="193"/>
    </row>
    <row r="48" spans="2:6" s="194" customFormat="1" ht="9" customHeight="1">
      <c r="B48" s="192"/>
      <c r="C48" s="22"/>
      <c r="D48" s="159"/>
      <c r="E48" s="155"/>
      <c r="F48" s="193"/>
    </row>
    <row r="49" spans="2:8" s="194" customFormat="1" ht="23.1" customHeight="1">
      <c r="B49" s="192"/>
      <c r="C49" s="298" t="s">
        <v>272</v>
      </c>
      <c r="D49" s="236" t="s">
        <v>634</v>
      </c>
      <c r="E49" s="177">
        <f>+'FC-91_PRESUPUESTO'!E46</f>
        <v>0</v>
      </c>
      <c r="F49" s="193"/>
    </row>
    <row r="50" spans="2:8" s="194" customFormat="1" ht="23.1" customHeight="1">
      <c r="B50" s="192"/>
      <c r="C50" s="198" t="s">
        <v>274</v>
      </c>
      <c r="D50" s="271" t="s">
        <v>635</v>
      </c>
      <c r="E50" s="199">
        <f>+'FC-91_PRESUPUESTO'!E47</f>
        <v>23768.3</v>
      </c>
      <c r="F50" s="193"/>
    </row>
    <row r="51" spans="2:8" s="194" customFormat="1" ht="23.1" customHeight="1">
      <c r="B51" s="192"/>
      <c r="C51" s="1228" t="s">
        <v>647</v>
      </c>
      <c r="D51" s="1229"/>
      <c r="E51" s="305">
        <f>SUM(E49:E50)</f>
        <v>23768.3</v>
      </c>
      <c r="F51" s="193"/>
    </row>
    <row r="52" spans="2:8" s="194" customFormat="1" ht="23.1" customHeight="1">
      <c r="B52" s="192"/>
      <c r="C52" s="159"/>
      <c r="D52" s="221"/>
      <c r="E52" s="223"/>
      <c r="F52" s="193"/>
    </row>
    <row r="53" spans="2:8" s="315" customFormat="1" ht="23.1" customHeight="1" thickBot="1">
      <c r="B53" s="113"/>
      <c r="C53" s="1232" t="s">
        <v>648</v>
      </c>
      <c r="D53" s="1233"/>
      <c r="E53" s="314">
        <f>E43+E47+E51</f>
        <v>15249487.030000001</v>
      </c>
      <c r="F53" s="116"/>
    </row>
    <row r="54" spans="2:8" s="194" customFormat="1" ht="9" customHeight="1">
      <c r="B54" s="192"/>
      <c r="C54" s="22"/>
      <c r="D54" s="159"/>
      <c r="E54" s="155"/>
      <c r="F54" s="193"/>
    </row>
    <row r="55" spans="2:8" s="194" customFormat="1" ht="23.1" customHeight="1">
      <c r="B55" s="192"/>
      <c r="C55" s="1228" t="s">
        <v>649</v>
      </c>
      <c r="D55" s="1229"/>
      <c r="E55" s="305">
        <f>+'FC-92_PRESUPUESTO_PYG'!E55</f>
        <v>49469.55</v>
      </c>
      <c r="F55" s="193"/>
    </row>
    <row r="56" spans="2:8" s="194" customFormat="1" ht="9" customHeight="1">
      <c r="B56" s="192"/>
      <c r="C56" s="22"/>
      <c r="D56" s="159"/>
      <c r="E56" s="155"/>
      <c r="F56" s="193"/>
    </row>
    <row r="57" spans="2:8" s="194" customFormat="1" ht="23.1" customHeight="1" thickBot="1">
      <c r="B57" s="192"/>
      <c r="C57" s="1232" t="s">
        <v>648</v>
      </c>
      <c r="D57" s="1233"/>
      <c r="E57" s="314">
        <f>+E53+E55</f>
        <v>15298956.580000002</v>
      </c>
      <c r="F57" s="193"/>
    </row>
    <row r="58" spans="2:8" s="194" customFormat="1" ht="23.1" customHeight="1">
      <c r="B58" s="192"/>
      <c r="C58" s="316"/>
      <c r="D58" s="316"/>
      <c r="E58" s="317"/>
      <c r="F58" s="193"/>
    </row>
    <row r="59" spans="2:8" s="315" customFormat="1" ht="23.1" customHeight="1" thickBot="1">
      <c r="B59" s="113"/>
      <c r="C59" s="318" t="s">
        <v>650</v>
      </c>
      <c r="D59" s="319"/>
      <c r="E59" s="320">
        <f>+E35-E57</f>
        <v>111953.87999999709</v>
      </c>
      <c r="F59" s="116"/>
      <c r="H59" s="326"/>
    </row>
    <row r="60" spans="2:8" s="194" customFormat="1" ht="23.1" customHeight="1" thickTop="1">
      <c r="B60" s="192"/>
      <c r="C60" s="22"/>
      <c r="D60" s="159"/>
      <c r="E60" s="155"/>
      <c r="F60" s="193"/>
    </row>
    <row r="61" spans="2:8" s="315" customFormat="1" ht="23.1" customHeight="1" thickBot="1">
      <c r="B61" s="113"/>
      <c r="C61" s="318" t="s">
        <v>651</v>
      </c>
      <c r="D61" s="319"/>
      <c r="E61" s="320">
        <f>E62+SUM(E67:E71)</f>
        <v>-111953.87999999963</v>
      </c>
      <c r="F61" s="116"/>
      <c r="H61" s="326"/>
    </row>
    <row r="62" spans="2:8" s="194" customFormat="1" ht="23.1" customHeight="1" thickTop="1">
      <c r="B62" s="192"/>
      <c r="C62" s="322"/>
      <c r="D62" s="323" t="s">
        <v>652</v>
      </c>
      <c r="E62" s="324">
        <f>SUM(E63:E66)</f>
        <v>49469.549999999996</v>
      </c>
      <c r="F62" s="193"/>
    </row>
    <row r="63" spans="2:8" s="194" customFormat="1" ht="23.1" customHeight="1">
      <c r="B63" s="192"/>
      <c r="C63" s="198"/>
      <c r="D63" s="271" t="s">
        <v>408</v>
      </c>
      <c r="E63" s="886">
        <f>-'FC-7_INF'!G31</f>
        <v>0</v>
      </c>
      <c r="F63" s="193"/>
    </row>
    <row r="64" spans="2:8" s="194" customFormat="1" ht="23.1" customHeight="1">
      <c r="B64" s="192"/>
      <c r="C64" s="198"/>
      <c r="D64" s="271" t="s">
        <v>396</v>
      </c>
      <c r="E64" s="886">
        <f>-'FC-7_INF'!I31</f>
        <v>49469.549999999996</v>
      </c>
      <c r="F64" s="193"/>
    </row>
    <row r="65" spans="2:8" s="194" customFormat="1" ht="23.1" customHeight="1">
      <c r="B65" s="192"/>
      <c r="C65" s="198"/>
      <c r="D65" s="271" t="s">
        <v>397</v>
      </c>
      <c r="E65" s="886">
        <f>-'FC-7_INF'!J31</f>
        <v>0</v>
      </c>
      <c r="F65" s="193"/>
    </row>
    <row r="66" spans="2:8" s="194" customFormat="1" ht="23.1" customHeight="1">
      <c r="B66" s="192"/>
      <c r="C66" s="325"/>
      <c r="D66" s="299" t="s">
        <v>398</v>
      </c>
      <c r="E66" s="887">
        <f>-'FC-7_INF'!L31</f>
        <v>0</v>
      </c>
      <c r="F66" s="193"/>
    </row>
    <row r="67" spans="2:8" s="194" customFormat="1" ht="23.1" customHeight="1">
      <c r="B67" s="192"/>
      <c r="C67" s="185"/>
      <c r="D67" s="273" t="s">
        <v>741</v>
      </c>
      <c r="E67" s="888">
        <f>-'FC-8_INV_FINANCIERAS'!I25-'FC-8_INV_FINANCIERAS'!I34-'FC-8_INV_FINANCIERAS'!I49-'FC-8_INV_FINANCIERAS'!I58</f>
        <v>0</v>
      </c>
      <c r="F67" s="193"/>
    </row>
    <row r="68" spans="2:8" s="194" customFormat="1" ht="23.1" customHeight="1">
      <c r="B68" s="192"/>
      <c r="C68" s="185"/>
      <c r="D68" s="908" t="s">
        <v>847</v>
      </c>
      <c r="E68" s="888">
        <f>'FC-4_ACTIVO'!F48-'FC-4_ACTIVO'!G48</f>
        <v>0</v>
      </c>
      <c r="F68" s="193"/>
    </row>
    <row r="69" spans="2:8" s="194" customFormat="1" ht="23.1" customHeight="1">
      <c r="B69" s="192"/>
      <c r="C69" s="185"/>
      <c r="D69" s="542" t="s">
        <v>744</v>
      </c>
      <c r="E69" s="197">
        <f>-(('FC-4_ACTIVO'!G50-'FC-4_ACTIVO'!G75-'FC-4_ACTIVO'!G82)-('FC-4_ACTIVO'!F50-'FC-4_ACTIVO'!F75-'FC-4_ACTIVO'!F82))</f>
        <v>62561.270000000484</v>
      </c>
      <c r="F69" s="193"/>
    </row>
    <row r="70" spans="2:8" s="194" customFormat="1" ht="23.1" customHeight="1">
      <c r="B70" s="192"/>
      <c r="C70" s="185"/>
      <c r="D70" s="542" t="s">
        <v>742</v>
      </c>
      <c r="E70" s="197">
        <f>'FC-9_TRANS_SUBV'!G32+'FC-9_TRANS_SUBV'!G34+'FC-9_TRANS_SUBV'!G33</f>
        <v>-4368.3999999999996</v>
      </c>
      <c r="F70" s="193"/>
      <c r="H70" s="327"/>
    </row>
    <row r="71" spans="2:8" s="194" customFormat="1" ht="23.1" customHeight="1">
      <c r="B71" s="192"/>
      <c r="C71" s="185"/>
      <c r="D71" s="542" t="s">
        <v>743</v>
      </c>
      <c r="E71" s="197">
        <f>'FC-4_PASIVO'!G43-'FC-4_PASIVO'!F43+'FC-4_PASIVO'!G61-'FC-4_PASIVO'!F61+E50-E28</f>
        <v>-219616.3000000001</v>
      </c>
      <c r="F71" s="193"/>
      <c r="H71" s="327"/>
    </row>
    <row r="72" spans="2:8" s="194" customFormat="1" ht="23.1" customHeight="1">
      <c r="B72" s="192"/>
      <c r="C72" s="22"/>
      <c r="D72" s="321"/>
      <c r="E72" s="222"/>
      <c r="F72" s="193"/>
    </row>
    <row r="73" spans="2:8" s="315" customFormat="1" ht="23.1" customHeight="1" thickBot="1">
      <c r="B73" s="113"/>
      <c r="C73" s="318" t="s">
        <v>653</v>
      </c>
      <c r="D73" s="319"/>
      <c r="E73" s="320">
        <f>+E59+E61</f>
        <v>-2.5320332497358322E-9</v>
      </c>
      <c r="F73" s="116"/>
      <c r="H73" s="326"/>
    </row>
    <row r="74" spans="2:8" s="194" customFormat="1" ht="23.1" customHeight="1" thickTop="1">
      <c r="B74" s="192"/>
      <c r="C74" s="22"/>
      <c r="D74" s="159"/>
      <c r="E74" s="155"/>
      <c r="F74" s="193"/>
    </row>
    <row r="75" spans="2:8" ht="23.1" customHeight="1" thickBot="1">
      <c r="B75" s="123"/>
      <c r="C75" s="1134"/>
      <c r="D75" s="1134"/>
      <c r="E75" s="124"/>
      <c r="F75" s="125"/>
    </row>
    <row r="76" spans="2:8" ht="23.1" customHeight="1">
      <c r="C76" s="106"/>
      <c r="D76" s="106"/>
      <c r="E76" s="107"/>
    </row>
    <row r="77" spans="2:8" ht="13.2">
      <c r="C77" s="126" t="s">
        <v>77</v>
      </c>
      <c r="D77" s="106"/>
      <c r="E77" s="97" t="s">
        <v>70</v>
      </c>
    </row>
    <row r="78" spans="2:8" ht="13.2">
      <c r="C78" s="127" t="s">
        <v>78</v>
      </c>
      <c r="D78" s="106"/>
      <c r="E78" s="107"/>
    </row>
    <row r="79" spans="2:8" ht="13.2">
      <c r="C79" s="127" t="s">
        <v>79</v>
      </c>
      <c r="D79" s="106"/>
      <c r="E79" s="107"/>
    </row>
    <row r="80" spans="2:8" ht="13.2">
      <c r="C80" s="127" t="s">
        <v>80</v>
      </c>
      <c r="D80" s="106"/>
      <c r="E80" s="107"/>
    </row>
    <row r="81" spans="3:5" ht="13.2">
      <c r="C81" s="127" t="s">
        <v>81</v>
      </c>
      <c r="D81" s="106"/>
      <c r="E81" s="107"/>
    </row>
    <row r="82" spans="3:5" ht="23.1" customHeight="1">
      <c r="C82" s="106"/>
      <c r="D82" s="106"/>
      <c r="E82" s="107"/>
    </row>
    <row r="83" spans="3:5" ht="23.1" customHeight="1">
      <c r="C83" s="106"/>
      <c r="D83" s="106"/>
      <c r="E83" s="107"/>
    </row>
    <row r="84" spans="3:5" ht="23.1" customHeight="1">
      <c r="C84" s="106"/>
      <c r="D84" s="106"/>
      <c r="E84" s="107"/>
    </row>
    <row r="85" spans="3:5" ht="23.1" customHeight="1">
      <c r="C85" s="106"/>
      <c r="D85" s="106"/>
      <c r="E85" s="107"/>
    </row>
    <row r="86" spans="3:5" ht="23.1" customHeight="1">
      <c r="E86" s="107"/>
    </row>
  </sheetData>
  <sheetProtection password="E059" sheet="1" objects="1" scenarios="1"/>
  <mergeCells count="18">
    <mergeCell ref="E6:E7"/>
    <mergeCell ref="D9:E9"/>
    <mergeCell ref="C12:D12"/>
    <mergeCell ref="C14:D14"/>
    <mergeCell ref="C37:D37"/>
    <mergeCell ref="C55:D55"/>
    <mergeCell ref="C57:D57"/>
    <mergeCell ref="C75:D75"/>
    <mergeCell ref="C21:D21"/>
    <mergeCell ref="C25:D25"/>
    <mergeCell ref="C29:D29"/>
    <mergeCell ref="C31:D31"/>
    <mergeCell ref="C35:D35"/>
    <mergeCell ref="C33:D33"/>
    <mergeCell ref="C43:D43"/>
    <mergeCell ref="C47:D47"/>
    <mergeCell ref="C51:D51"/>
    <mergeCell ref="C53:D53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45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2:H63"/>
  <sheetViews>
    <sheetView workbookViewId="0">
      <selection activeCell="D13" sqref="D13:M13"/>
    </sheetView>
  </sheetViews>
  <sheetFormatPr baseColWidth="10" defaultColWidth="10.90625" defaultRowHeight="23.1" customHeight="1"/>
  <cols>
    <col min="1" max="2" width="3.08984375" style="99" customWidth="1"/>
    <col min="3" max="3" width="13.08984375" style="99" customWidth="1"/>
    <col min="4" max="4" width="68" style="99" customWidth="1"/>
    <col min="5" max="5" width="16.90625" style="100" customWidth="1"/>
    <col min="6" max="6" width="3.08984375" style="99" customWidth="1"/>
    <col min="7" max="16384" width="10.90625" style="99"/>
  </cols>
  <sheetData>
    <row r="2" spans="2:6" ht="23.1" customHeight="1">
      <c r="D2" s="221" t="s">
        <v>379</v>
      </c>
    </row>
    <row r="3" spans="2:6" ht="23.1" customHeight="1">
      <c r="D3" s="221" t="s">
        <v>380</v>
      </c>
    </row>
    <row r="4" spans="2:6" ht="23.1" customHeight="1" thickBot="1"/>
    <row r="5" spans="2:6" ht="9" customHeight="1">
      <c r="B5" s="101"/>
      <c r="C5" s="102"/>
      <c r="D5" s="102"/>
      <c r="E5" s="103"/>
      <c r="F5" s="104"/>
    </row>
    <row r="6" spans="2:6" ht="30" customHeight="1">
      <c r="B6" s="105"/>
      <c r="C6" s="69" t="s">
        <v>0</v>
      </c>
      <c r="D6" s="106"/>
      <c r="E6" s="1111">
        <f>ejercicio</f>
        <v>2018</v>
      </c>
      <c r="F6" s="108"/>
    </row>
    <row r="7" spans="2:6" ht="30" customHeight="1">
      <c r="B7" s="105"/>
      <c r="C7" s="69" t="s">
        <v>1</v>
      </c>
      <c r="D7" s="106"/>
      <c r="E7" s="1111"/>
      <c r="F7" s="108"/>
    </row>
    <row r="8" spans="2:6" ht="30" customHeight="1">
      <c r="B8" s="105"/>
      <c r="C8" s="109"/>
      <c r="D8" s="106"/>
      <c r="E8" s="110"/>
      <c r="F8" s="108"/>
    </row>
    <row r="9" spans="2:6" s="194" customFormat="1" ht="30" customHeight="1">
      <c r="B9" s="192"/>
      <c r="C9" s="56" t="s">
        <v>2</v>
      </c>
      <c r="D9" s="1135" t="str">
        <f>Entidad</f>
        <v>SPET, Turismo de Tenerife, S.A.</v>
      </c>
      <c r="E9" s="1135"/>
      <c r="F9" s="193"/>
    </row>
    <row r="10" spans="2:6" ht="7.35" customHeight="1">
      <c r="B10" s="105"/>
      <c r="C10" s="106"/>
      <c r="D10" s="106"/>
      <c r="E10" s="107"/>
      <c r="F10" s="108"/>
    </row>
    <row r="11" spans="2:6" s="117" customFormat="1" ht="30" customHeight="1">
      <c r="B11" s="113"/>
      <c r="C11" s="114" t="s">
        <v>624</v>
      </c>
      <c r="D11" s="114"/>
      <c r="E11" s="115"/>
      <c r="F11" s="116"/>
    </row>
    <row r="12" spans="2:6" s="117" customFormat="1" ht="30" customHeight="1">
      <c r="B12" s="113"/>
      <c r="C12" s="1177"/>
      <c r="D12" s="1177"/>
      <c r="E12" s="98"/>
      <c r="F12" s="116"/>
    </row>
    <row r="13" spans="2:6" ht="9" customHeight="1">
      <c r="B13" s="119"/>
      <c r="C13" s="159"/>
      <c r="D13" s="159"/>
      <c r="E13" s="98"/>
      <c r="F13" s="108"/>
    </row>
    <row r="14" spans="2:6" s="258" customFormat="1" ht="24" customHeight="1">
      <c r="B14" s="255"/>
      <c r="C14" s="1166" t="s">
        <v>639</v>
      </c>
      <c r="D14" s="1168"/>
      <c r="E14" s="275" t="s">
        <v>484</v>
      </c>
      <c r="F14" s="257"/>
    </row>
    <row r="15" spans="2:6" ht="9" customHeight="1">
      <c r="B15" s="119"/>
      <c r="C15" s="68"/>
      <c r="D15" s="159"/>
      <c r="E15" s="98"/>
      <c r="F15" s="108"/>
    </row>
    <row r="16" spans="2:6" s="194" customFormat="1" ht="23.1" customHeight="1">
      <c r="B16" s="192"/>
      <c r="C16" s="298" t="s">
        <v>189</v>
      </c>
      <c r="D16" s="236" t="s">
        <v>625</v>
      </c>
      <c r="E16" s="177">
        <v>0</v>
      </c>
      <c r="F16" s="193"/>
    </row>
    <row r="17" spans="2:6" s="194" customFormat="1" ht="23.1" customHeight="1">
      <c r="B17" s="192"/>
      <c r="C17" s="198" t="s">
        <v>199</v>
      </c>
      <c r="D17" s="271" t="s">
        <v>626</v>
      </c>
      <c r="E17" s="199">
        <v>0</v>
      </c>
      <c r="F17" s="193"/>
    </row>
    <row r="18" spans="2:6" s="194" customFormat="1" ht="23.1" customHeight="1">
      <c r="B18" s="192"/>
      <c r="C18" s="198" t="s">
        <v>204</v>
      </c>
      <c r="D18" s="271" t="s">
        <v>627</v>
      </c>
      <c r="E18" s="199">
        <f>+'FC-92_PRESUPUESTO_PYG'!E18</f>
        <v>1339288.1599999999</v>
      </c>
      <c r="F18" s="193"/>
    </row>
    <row r="19" spans="2:6" s="194" customFormat="1" ht="23.1" customHeight="1">
      <c r="B19" s="192"/>
      <c r="C19" s="198" t="s">
        <v>208</v>
      </c>
      <c r="D19" s="271" t="s">
        <v>628</v>
      </c>
      <c r="E19" s="199">
        <f>+'FC-92_PRESUPUESTO_PYG'!E19+'FC-9_TRANS_SUBV'!G83</f>
        <v>14062797.77</v>
      </c>
      <c r="F19" s="193"/>
    </row>
    <row r="20" spans="2:6" s="194" customFormat="1" ht="23.1" customHeight="1">
      <c r="B20" s="192"/>
      <c r="C20" s="288" t="s">
        <v>216</v>
      </c>
      <c r="D20" s="272" t="s">
        <v>629</v>
      </c>
      <c r="E20" s="178">
        <f>+'FC-92_PRESUPUESTO_PYG'!E20</f>
        <v>3000</v>
      </c>
      <c r="F20" s="193"/>
    </row>
    <row r="21" spans="2:6" s="194" customFormat="1" ht="23.1" customHeight="1">
      <c r="B21" s="192"/>
      <c r="C21" s="1228" t="s">
        <v>630</v>
      </c>
      <c r="D21" s="1229"/>
      <c r="E21" s="305">
        <f>SUM(E16:E20)</f>
        <v>15405085.93</v>
      </c>
      <c r="F21" s="193"/>
    </row>
    <row r="22" spans="2:6" s="194" customFormat="1" ht="9" customHeight="1">
      <c r="B22" s="192"/>
      <c r="C22" s="22"/>
      <c r="D22" s="159"/>
      <c r="E22" s="155"/>
      <c r="F22" s="193"/>
    </row>
    <row r="23" spans="2:6" s="194" customFormat="1" ht="23.1" customHeight="1">
      <c r="B23" s="192"/>
      <c r="C23" s="298" t="s">
        <v>219</v>
      </c>
      <c r="D23" s="236" t="s">
        <v>631</v>
      </c>
      <c r="E23" s="177">
        <f>-'FC-7_INF'!K31</f>
        <v>0</v>
      </c>
      <c r="F23" s="193"/>
    </row>
    <row r="24" spans="2:6" s="194" customFormat="1" ht="23.1" customHeight="1">
      <c r="B24" s="192"/>
      <c r="C24" s="198" t="s">
        <v>221</v>
      </c>
      <c r="D24" s="271" t="s">
        <v>632</v>
      </c>
      <c r="E24" s="199">
        <f>+'FC-9_TRANS_SUBV'!G30</f>
        <v>0</v>
      </c>
      <c r="F24" s="193"/>
    </row>
    <row r="25" spans="2:6" s="194" customFormat="1" ht="23.1" customHeight="1">
      <c r="B25" s="192"/>
      <c r="C25" s="1228" t="s">
        <v>633</v>
      </c>
      <c r="D25" s="1229"/>
      <c r="E25" s="305">
        <f>SUM(E23:E24)</f>
        <v>0</v>
      </c>
      <c r="F25" s="193"/>
    </row>
    <row r="26" spans="2:6" s="194" customFormat="1" ht="9" customHeight="1">
      <c r="B26" s="192"/>
      <c r="C26" s="22"/>
      <c r="D26" s="159"/>
      <c r="E26" s="155"/>
      <c r="F26" s="193"/>
    </row>
    <row r="27" spans="2:6" s="194" customFormat="1" ht="23.1" customHeight="1">
      <c r="B27" s="192"/>
      <c r="C27" s="298" t="s">
        <v>272</v>
      </c>
      <c r="D27" s="236" t="s">
        <v>634</v>
      </c>
      <c r="E27" s="177">
        <f>-('FC-8_INV_FINANCIERAS'!H25+'FC-8_INV_FINANCIERAS'!H34+'FC-8_INV_FINANCIERAS'!H49+'FC-8_INV_FINANCIERAS'!H58)</f>
        <v>0</v>
      </c>
      <c r="F27" s="193"/>
    </row>
    <row r="28" spans="2:6" s="194" customFormat="1" ht="23.1" customHeight="1">
      <c r="B28" s="192"/>
      <c r="C28" s="198" t="s">
        <v>274</v>
      </c>
      <c r="D28" s="271" t="s">
        <v>635</v>
      </c>
      <c r="E28" s="199">
        <f>+'FC-10_DEUDAS'!M42</f>
        <v>0</v>
      </c>
      <c r="F28" s="193"/>
    </row>
    <row r="29" spans="2:6" s="194" customFormat="1" ht="23.1" customHeight="1">
      <c r="B29" s="192"/>
      <c r="C29" s="1228" t="s">
        <v>636</v>
      </c>
      <c r="D29" s="1229"/>
      <c r="E29" s="305">
        <f>SUM(E27:E28)</f>
        <v>0</v>
      </c>
      <c r="F29" s="193"/>
    </row>
    <row r="30" spans="2:6" s="194" customFormat="1" ht="23.1" customHeight="1">
      <c r="B30" s="192"/>
      <c r="C30" s="159"/>
      <c r="D30" s="221"/>
      <c r="E30" s="223"/>
      <c r="F30" s="193"/>
    </row>
    <row r="31" spans="2:6" s="315" customFormat="1" ht="23.1" customHeight="1" thickBot="1">
      <c r="B31" s="113"/>
      <c r="C31" s="1232" t="s">
        <v>637</v>
      </c>
      <c r="D31" s="1233"/>
      <c r="E31" s="314">
        <f>E21+E25+E29</f>
        <v>15405085.93</v>
      </c>
      <c r="F31" s="116"/>
    </row>
    <row r="32" spans="2:6" s="194" customFormat="1" ht="9" customHeight="1">
      <c r="B32" s="192"/>
      <c r="C32" s="22"/>
      <c r="D32" s="159"/>
      <c r="E32" s="155"/>
      <c r="F32" s="193"/>
    </row>
    <row r="33" spans="2:6" s="194" customFormat="1" ht="23.1" customHeight="1">
      <c r="B33" s="192"/>
      <c r="C33" s="316"/>
      <c r="D33" s="316"/>
      <c r="E33" s="317"/>
      <c r="F33" s="193"/>
    </row>
    <row r="34" spans="2:6" s="258" customFormat="1" ht="24" customHeight="1">
      <c r="B34" s="255"/>
      <c r="C34" s="1166" t="s">
        <v>640</v>
      </c>
      <c r="D34" s="1168"/>
      <c r="E34" s="275" t="s">
        <v>484</v>
      </c>
      <c r="F34" s="257"/>
    </row>
    <row r="35" spans="2:6" ht="9" customHeight="1">
      <c r="B35" s="119"/>
      <c r="C35" s="68"/>
      <c r="D35" s="159"/>
      <c r="E35" s="98"/>
      <c r="F35" s="108"/>
    </row>
    <row r="36" spans="2:6" s="194" customFormat="1" ht="23.1" customHeight="1">
      <c r="B36" s="192"/>
      <c r="C36" s="298" t="s">
        <v>189</v>
      </c>
      <c r="D36" s="236" t="s">
        <v>641</v>
      </c>
      <c r="E36" s="177">
        <f>+'FC-92_PRESUPUESTO_PYG'!E39</f>
        <v>2133144.6</v>
      </c>
      <c r="F36" s="193"/>
    </row>
    <row r="37" spans="2:6" s="194" customFormat="1" ht="23.1" customHeight="1">
      <c r="B37" s="192"/>
      <c r="C37" s="198" t="s">
        <v>199</v>
      </c>
      <c r="D37" s="271" t="s">
        <v>642</v>
      </c>
      <c r="E37" s="199">
        <f>+'FC-92_PRESUPUESTO_PYG'!E40</f>
        <v>13089574.130000001</v>
      </c>
      <c r="F37" s="193"/>
    </row>
    <row r="38" spans="2:6" s="194" customFormat="1" ht="23.1" customHeight="1">
      <c r="B38" s="192"/>
      <c r="C38" s="198" t="s">
        <v>204</v>
      </c>
      <c r="D38" s="271" t="s">
        <v>395</v>
      </c>
      <c r="E38" s="199">
        <f>+'FC-92_PRESUPUESTO_PYG'!E41</f>
        <v>3000</v>
      </c>
      <c r="F38" s="193"/>
    </row>
    <row r="39" spans="2:6" s="194" customFormat="1" ht="23.1" customHeight="1">
      <c r="B39" s="192"/>
      <c r="C39" s="198" t="s">
        <v>208</v>
      </c>
      <c r="D39" s="271" t="s">
        <v>643</v>
      </c>
      <c r="E39" s="199">
        <f>+'FC-92_PRESUPUESTO_PYG'!E42</f>
        <v>0</v>
      </c>
      <c r="F39" s="193"/>
    </row>
    <row r="40" spans="2:6" s="194" customFormat="1" ht="23.1" customHeight="1">
      <c r="B40" s="192"/>
      <c r="C40" s="1228" t="s">
        <v>644</v>
      </c>
      <c r="D40" s="1229"/>
      <c r="E40" s="305">
        <f>SUM(E36:E39)</f>
        <v>15225718.73</v>
      </c>
      <c r="F40" s="193"/>
    </row>
    <row r="41" spans="2:6" s="194" customFormat="1" ht="9" customHeight="1">
      <c r="B41" s="192"/>
      <c r="C41" s="22"/>
      <c r="D41" s="159"/>
      <c r="E41" s="155"/>
      <c r="F41" s="193"/>
    </row>
    <row r="42" spans="2:6" s="194" customFormat="1" ht="23.1" customHeight="1">
      <c r="B42" s="192"/>
      <c r="C42" s="298" t="s">
        <v>219</v>
      </c>
      <c r="D42" s="236" t="s">
        <v>645</v>
      </c>
      <c r="E42" s="177">
        <f>'FC-7_INF'!F31+'FC-7_INF'!H31</f>
        <v>0</v>
      </c>
      <c r="F42" s="193"/>
    </row>
    <row r="43" spans="2:6" s="194" customFormat="1" ht="23.1" customHeight="1">
      <c r="B43" s="192"/>
      <c r="C43" s="198" t="s">
        <v>221</v>
      </c>
      <c r="D43" s="271" t="s">
        <v>632</v>
      </c>
      <c r="E43" s="199">
        <v>0</v>
      </c>
      <c r="F43" s="193"/>
    </row>
    <row r="44" spans="2:6" s="194" customFormat="1" ht="23.1" customHeight="1">
      <c r="B44" s="192"/>
      <c r="C44" s="1228" t="s">
        <v>646</v>
      </c>
      <c r="D44" s="1229"/>
      <c r="E44" s="305">
        <f>SUM(E42:E43)</f>
        <v>0</v>
      </c>
      <c r="F44" s="193"/>
    </row>
    <row r="45" spans="2:6" s="194" customFormat="1" ht="9" customHeight="1">
      <c r="B45" s="192"/>
      <c r="C45" s="22"/>
      <c r="D45" s="159"/>
      <c r="E45" s="155"/>
      <c r="F45" s="193"/>
    </row>
    <row r="46" spans="2:6" s="194" customFormat="1" ht="23.1" customHeight="1">
      <c r="B46" s="192"/>
      <c r="C46" s="298" t="s">
        <v>272</v>
      </c>
      <c r="D46" s="236" t="s">
        <v>634</v>
      </c>
      <c r="E46" s="177">
        <f>'FC-8_INV_FINANCIERAS'!G25+'FC-8_INV_FINANCIERAS'!G34+'FC-8_INV_FINANCIERAS'!G49+'FC-8_INV_FINANCIERAS'!G58</f>
        <v>0</v>
      </c>
      <c r="F46" s="193"/>
    </row>
    <row r="47" spans="2:6" s="194" customFormat="1" ht="23.1" customHeight="1">
      <c r="B47" s="192"/>
      <c r="C47" s="198" t="s">
        <v>274</v>
      </c>
      <c r="D47" s="271" t="s">
        <v>635</v>
      </c>
      <c r="E47" s="199">
        <f>'FC-10_DEUDAS'!N42</f>
        <v>23768.3</v>
      </c>
      <c r="F47" s="193"/>
    </row>
    <row r="48" spans="2:6" s="194" customFormat="1" ht="23.1" customHeight="1">
      <c r="B48" s="192"/>
      <c r="C48" s="1228" t="s">
        <v>647</v>
      </c>
      <c r="D48" s="1229"/>
      <c r="E48" s="305">
        <f>SUM(E46:E47)</f>
        <v>23768.3</v>
      </c>
      <c r="F48" s="193"/>
    </row>
    <row r="49" spans="2:8" s="194" customFormat="1" ht="23.1" customHeight="1">
      <c r="B49" s="192"/>
      <c r="C49" s="159"/>
      <c r="D49" s="221"/>
      <c r="E49" s="223"/>
      <c r="F49" s="193"/>
    </row>
    <row r="50" spans="2:8" s="315" customFormat="1" ht="23.1" customHeight="1" thickBot="1">
      <c r="B50" s="113"/>
      <c r="C50" s="1232" t="s">
        <v>648</v>
      </c>
      <c r="D50" s="1233"/>
      <c r="E50" s="314">
        <f>E40+E44+E48</f>
        <v>15249487.030000001</v>
      </c>
      <c r="F50" s="116"/>
    </row>
    <row r="51" spans="2:8" s="194" customFormat="1" ht="9" customHeight="1">
      <c r="B51" s="192"/>
      <c r="C51" s="22"/>
      <c r="D51" s="159"/>
      <c r="E51" s="155"/>
      <c r="F51" s="193"/>
    </row>
    <row r="52" spans="2:8" ht="23.1" customHeight="1" thickBot="1">
      <c r="B52" s="123"/>
      <c r="C52" s="1134"/>
      <c r="D52" s="1134"/>
      <c r="E52" s="124"/>
      <c r="F52" s="125"/>
      <c r="H52" s="194"/>
    </row>
    <row r="53" spans="2:8" ht="23.1" customHeight="1">
      <c r="C53" s="106"/>
      <c r="D53" s="106"/>
      <c r="E53" s="107"/>
    </row>
    <row r="54" spans="2:8" ht="13.2">
      <c r="C54" s="126" t="s">
        <v>77</v>
      </c>
      <c r="D54" s="106"/>
      <c r="E54" s="97" t="s">
        <v>72</v>
      </c>
    </row>
    <row r="55" spans="2:8" ht="13.2">
      <c r="C55" s="127" t="s">
        <v>78</v>
      </c>
      <c r="D55" s="106"/>
      <c r="E55" s="107"/>
    </row>
    <row r="56" spans="2:8" ht="13.2">
      <c r="C56" s="127" t="s">
        <v>79</v>
      </c>
      <c r="D56" s="106"/>
      <c r="E56" s="107"/>
    </row>
    <row r="57" spans="2:8" ht="13.2">
      <c r="C57" s="127" t="s">
        <v>80</v>
      </c>
      <c r="D57" s="106"/>
      <c r="E57" s="107"/>
    </row>
    <row r="58" spans="2:8" ht="13.2">
      <c r="C58" s="127" t="s">
        <v>81</v>
      </c>
      <c r="D58" s="106"/>
      <c r="E58" s="107"/>
    </row>
    <row r="59" spans="2:8" ht="23.1" customHeight="1">
      <c r="C59" s="106"/>
      <c r="D59" s="106"/>
      <c r="E59" s="107"/>
    </row>
    <row r="60" spans="2:8" ht="23.1" customHeight="1">
      <c r="C60" s="106"/>
      <c r="D60" s="106"/>
      <c r="E60" s="107"/>
    </row>
    <row r="61" spans="2:8" ht="23.1" customHeight="1">
      <c r="C61" s="106"/>
      <c r="D61" s="106"/>
      <c r="E61" s="107"/>
    </row>
    <row r="62" spans="2:8" ht="23.1" customHeight="1">
      <c r="C62" s="106"/>
      <c r="D62" s="106"/>
      <c r="E62" s="107"/>
    </row>
    <row r="63" spans="2:8" ht="23.1" customHeight="1">
      <c r="E63" s="107"/>
    </row>
  </sheetData>
  <sheetProtection password="E059" sheet="1" objects="1" scenarios="1"/>
  <mergeCells count="14">
    <mergeCell ref="C25:D25"/>
    <mergeCell ref="E6:E7"/>
    <mergeCell ref="D9:E9"/>
    <mergeCell ref="C12:D12"/>
    <mergeCell ref="C14:D14"/>
    <mergeCell ref="C21:D21"/>
    <mergeCell ref="C44:D44"/>
    <mergeCell ref="C48:D48"/>
    <mergeCell ref="C50:D50"/>
    <mergeCell ref="C52:D52"/>
    <mergeCell ref="C29:D29"/>
    <mergeCell ref="C31:D31"/>
    <mergeCell ref="C34:D34"/>
    <mergeCell ref="C40:D40"/>
  </mergeCells>
  <phoneticPr fontId="24" type="noConversion"/>
  <printOptions horizontalCentered="1" verticalCentered="1"/>
  <pageMargins left="0.36000000000000004" right="0.36000000000000004" top="0.6100000000000001" bottom="0.6100000000000001" header="0.5" footer="0.5"/>
  <pageSetup paperSize="9" scale="7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2:H72"/>
  <sheetViews>
    <sheetView topLeftCell="A5" workbookViewId="0">
      <selection activeCell="D13" sqref="D13:M13"/>
    </sheetView>
  </sheetViews>
  <sheetFormatPr baseColWidth="10" defaultColWidth="10.90625" defaultRowHeight="23.1" customHeight="1"/>
  <cols>
    <col min="1" max="2" width="3.08984375" style="99" customWidth="1"/>
    <col min="3" max="3" width="13.08984375" style="99" customWidth="1"/>
    <col min="4" max="4" width="68" style="99" customWidth="1"/>
    <col min="5" max="5" width="16.90625" style="100" customWidth="1"/>
    <col min="6" max="6" width="3.08984375" style="99" customWidth="1"/>
    <col min="7" max="16384" width="10.90625" style="99"/>
  </cols>
  <sheetData>
    <row r="2" spans="2:6" ht="23.1" customHeight="1">
      <c r="D2" s="221" t="s">
        <v>379</v>
      </c>
    </row>
    <row r="3" spans="2:6" ht="23.1" customHeight="1">
      <c r="D3" s="221" t="s">
        <v>380</v>
      </c>
    </row>
    <row r="4" spans="2:6" ht="23.1" customHeight="1" thickBot="1"/>
    <row r="5" spans="2:6" ht="9" customHeight="1">
      <c r="B5" s="101"/>
      <c r="C5" s="102"/>
      <c r="D5" s="102"/>
      <c r="E5" s="103"/>
      <c r="F5" s="104"/>
    </row>
    <row r="6" spans="2:6" ht="30" customHeight="1">
      <c r="B6" s="105"/>
      <c r="C6" s="69" t="s">
        <v>0</v>
      </c>
      <c r="D6" s="106"/>
      <c r="E6" s="1111">
        <f>ejercicio</f>
        <v>2018</v>
      </c>
      <c r="F6" s="108"/>
    </row>
    <row r="7" spans="2:6" ht="30" customHeight="1">
      <c r="B7" s="105"/>
      <c r="C7" s="69" t="s">
        <v>1</v>
      </c>
      <c r="D7" s="106"/>
      <c r="E7" s="1111"/>
      <c r="F7" s="108"/>
    </row>
    <row r="8" spans="2:6" ht="30" customHeight="1">
      <c r="B8" s="105"/>
      <c r="C8" s="109"/>
      <c r="D8" s="106"/>
      <c r="E8" s="110"/>
      <c r="F8" s="108"/>
    </row>
    <row r="9" spans="2:6" s="194" customFormat="1" ht="30" customHeight="1">
      <c r="B9" s="192"/>
      <c r="C9" s="154" t="s">
        <v>2</v>
      </c>
      <c r="D9" s="1135" t="str">
        <f>Entidad</f>
        <v>SPET, Turismo de Tenerife, S.A.</v>
      </c>
      <c r="E9" s="1135"/>
      <c r="F9" s="193"/>
    </row>
    <row r="10" spans="2:6" ht="7.35" customHeight="1">
      <c r="B10" s="105"/>
      <c r="C10" s="106"/>
      <c r="D10" s="106"/>
      <c r="E10" s="107"/>
      <c r="F10" s="108"/>
    </row>
    <row r="11" spans="2:6" s="117" customFormat="1" ht="30" customHeight="1">
      <c r="B11" s="113"/>
      <c r="C11" s="114" t="s">
        <v>624</v>
      </c>
      <c r="D11" s="114"/>
      <c r="E11" s="115"/>
      <c r="F11" s="116"/>
    </row>
    <row r="12" spans="2:6" s="117" customFormat="1" ht="30" customHeight="1">
      <c r="B12" s="113"/>
      <c r="C12" s="1177"/>
      <c r="D12" s="1177"/>
      <c r="E12" s="98"/>
      <c r="F12" s="116"/>
    </row>
    <row r="13" spans="2:6" ht="9" customHeight="1">
      <c r="B13" s="119"/>
      <c r="C13" s="159"/>
      <c r="D13" s="159"/>
      <c r="E13" s="98"/>
      <c r="F13" s="108"/>
    </row>
    <row r="14" spans="2:6" s="258" customFormat="1" ht="24" customHeight="1">
      <c r="B14" s="255"/>
      <c r="C14" s="1166" t="s">
        <v>639</v>
      </c>
      <c r="D14" s="1168"/>
      <c r="E14" s="275" t="s">
        <v>484</v>
      </c>
      <c r="F14" s="257"/>
    </row>
    <row r="15" spans="2:6" ht="9" customHeight="1">
      <c r="B15" s="119"/>
      <c r="C15" s="68"/>
      <c r="D15" s="159"/>
      <c r="E15" s="98"/>
      <c r="F15" s="108"/>
    </row>
    <row r="16" spans="2:6" s="194" customFormat="1" ht="23.1" customHeight="1">
      <c r="B16" s="192"/>
      <c r="C16" s="298" t="s">
        <v>189</v>
      </c>
      <c r="D16" s="236" t="s">
        <v>625</v>
      </c>
      <c r="E16" s="177">
        <v>0</v>
      </c>
      <c r="F16" s="193"/>
    </row>
    <row r="17" spans="2:6" s="194" customFormat="1" ht="23.1" customHeight="1">
      <c r="B17" s="192"/>
      <c r="C17" s="198" t="s">
        <v>199</v>
      </c>
      <c r="D17" s="271" t="s">
        <v>626</v>
      </c>
      <c r="E17" s="199">
        <v>0</v>
      </c>
      <c r="F17" s="193"/>
    </row>
    <row r="18" spans="2:6" s="194" customFormat="1" ht="23.1" customHeight="1">
      <c r="B18" s="192"/>
      <c r="C18" s="198" t="s">
        <v>204</v>
      </c>
      <c r="D18" s="271" t="s">
        <v>627</v>
      </c>
      <c r="E18" s="199">
        <f>+'FC-3_CPyG'!G16+'FC-3_1_INF_ADIC_CPyG'!G72+'FC-3_1_INF_ADIC_CPyG'!G74</f>
        <v>1339288.1599999999</v>
      </c>
      <c r="F18" s="193"/>
    </row>
    <row r="19" spans="2:6" s="194" customFormat="1" ht="23.1" customHeight="1">
      <c r="B19" s="192"/>
      <c r="C19" s="198" t="s">
        <v>208</v>
      </c>
      <c r="D19" s="271" t="s">
        <v>628</v>
      </c>
      <c r="E19" s="199">
        <f>'FC-3_CPyG'!G29</f>
        <v>11851286.25</v>
      </c>
      <c r="F19" s="193"/>
    </row>
    <row r="20" spans="2:6" s="194" customFormat="1" ht="23.1" customHeight="1">
      <c r="B20" s="192"/>
      <c r="C20" s="288" t="s">
        <v>216</v>
      </c>
      <c r="D20" s="272" t="s">
        <v>629</v>
      </c>
      <c r="E20" s="178">
        <f>'FC-3_1_INF_ADIC_CPyG'!G73+'FC-3_CPyG'!G52+'FC-3_CPyG'!G55+'FC-3_CPyG'!G72+'FC-3_CPyG'!G73</f>
        <v>3000</v>
      </c>
      <c r="F20" s="193"/>
    </row>
    <row r="21" spans="2:6" s="194" customFormat="1" ht="23.1" customHeight="1">
      <c r="B21" s="192"/>
      <c r="C21" s="1228" t="s">
        <v>630</v>
      </c>
      <c r="D21" s="1229"/>
      <c r="E21" s="305">
        <f>SUM(E16:E20)</f>
        <v>13193574.41</v>
      </c>
      <c r="F21" s="193"/>
    </row>
    <row r="22" spans="2:6" s="194" customFormat="1" ht="9" customHeight="1">
      <c r="B22" s="192"/>
      <c r="C22" s="22"/>
      <c r="D22" s="159"/>
      <c r="E22" s="155"/>
      <c r="F22" s="193"/>
    </row>
    <row r="23" spans="2:6" s="194" customFormat="1" ht="23.1" customHeight="1">
      <c r="B23" s="192"/>
      <c r="C23" s="298" t="s">
        <v>219</v>
      </c>
      <c r="D23" s="236" t="s">
        <v>631</v>
      </c>
      <c r="E23" s="177"/>
      <c r="F23" s="193"/>
    </row>
    <row r="24" spans="2:6" s="194" customFormat="1" ht="23.1" customHeight="1">
      <c r="B24" s="192"/>
      <c r="C24" s="198" t="s">
        <v>221</v>
      </c>
      <c r="D24" s="271" t="s">
        <v>632</v>
      </c>
      <c r="E24" s="199"/>
      <c r="F24" s="193"/>
    </row>
    <row r="25" spans="2:6" s="194" customFormat="1" ht="23.1" customHeight="1">
      <c r="B25" s="192"/>
      <c r="C25" s="1228" t="s">
        <v>633</v>
      </c>
      <c r="D25" s="1229"/>
      <c r="E25" s="305">
        <f>SUM(E23:E24)</f>
        <v>0</v>
      </c>
      <c r="F25" s="193"/>
    </row>
    <row r="26" spans="2:6" s="194" customFormat="1" ht="9" customHeight="1">
      <c r="B26" s="192"/>
      <c r="C26" s="22"/>
      <c r="D26" s="159"/>
      <c r="E26" s="155"/>
      <c r="F26" s="193"/>
    </row>
    <row r="27" spans="2:6" s="194" customFormat="1" ht="23.1" customHeight="1">
      <c r="B27" s="192"/>
      <c r="C27" s="298" t="s">
        <v>272</v>
      </c>
      <c r="D27" s="236" t="s">
        <v>634</v>
      </c>
      <c r="E27" s="177"/>
      <c r="F27" s="193"/>
    </row>
    <row r="28" spans="2:6" s="194" customFormat="1" ht="23.1" customHeight="1">
      <c r="B28" s="192"/>
      <c r="C28" s="198" t="s">
        <v>274</v>
      </c>
      <c r="D28" s="271" t="s">
        <v>635</v>
      </c>
      <c r="E28" s="199"/>
      <c r="F28" s="193"/>
    </row>
    <row r="29" spans="2:6" s="194" customFormat="1" ht="23.1" customHeight="1">
      <c r="B29" s="192"/>
      <c r="C29" s="1228" t="s">
        <v>636</v>
      </c>
      <c r="D29" s="1229"/>
      <c r="E29" s="305">
        <f>SUM(E27:E28)</f>
        <v>0</v>
      </c>
      <c r="F29" s="193"/>
    </row>
    <row r="30" spans="2:6" s="194" customFormat="1" ht="23.1" customHeight="1">
      <c r="B30" s="192"/>
      <c r="C30" s="159"/>
      <c r="D30" s="221"/>
      <c r="E30" s="223"/>
      <c r="F30" s="193"/>
    </row>
    <row r="31" spans="2:6" s="315" customFormat="1" ht="23.1" customHeight="1" thickBot="1">
      <c r="B31" s="113"/>
      <c r="C31" s="1232" t="s">
        <v>637</v>
      </c>
      <c r="D31" s="1233"/>
      <c r="E31" s="314">
        <f>E21+E25+E29</f>
        <v>13193574.41</v>
      </c>
      <c r="F31" s="116"/>
    </row>
    <row r="32" spans="2:6" s="194" customFormat="1" ht="9" customHeight="1">
      <c r="B32" s="192"/>
      <c r="C32" s="22"/>
      <c r="D32" s="159"/>
      <c r="E32" s="155"/>
      <c r="F32" s="193"/>
    </row>
    <row r="33" spans="2:6" s="194" customFormat="1" ht="23.1" customHeight="1">
      <c r="B33" s="192"/>
      <c r="C33" s="1228" t="s">
        <v>638</v>
      </c>
      <c r="D33" s="1229"/>
      <c r="E33" s="305">
        <f>IF('FC-3_CPyG'!G20&gt;0,'FC-3_CPyG'!G20,0)+'FC-3_CPyG'!G21+'FC-3_CPyG'!G41+'FC-3_CPyG'!G42+'FC-3_CPyG'!G45+'FC-3_CPyG'!G47+'FC-3_CPyG'!G58+'FC-3_CPyG'!G63</f>
        <v>5824.53</v>
      </c>
      <c r="F33" s="193"/>
    </row>
    <row r="34" spans="2:6" s="194" customFormat="1" ht="9" customHeight="1">
      <c r="B34" s="192"/>
      <c r="C34" s="22"/>
      <c r="D34" s="159"/>
      <c r="E34" s="155"/>
      <c r="F34" s="193"/>
    </row>
    <row r="35" spans="2:6" s="194" customFormat="1" ht="23.1" customHeight="1" thickBot="1">
      <c r="B35" s="192"/>
      <c r="C35" s="1232" t="s">
        <v>654</v>
      </c>
      <c r="D35" s="1233"/>
      <c r="E35" s="314">
        <f>+E31+E33</f>
        <v>13199398.939999999</v>
      </c>
      <c r="F35" s="193"/>
    </row>
    <row r="36" spans="2:6" s="194" customFormat="1" ht="23.1" customHeight="1">
      <c r="B36" s="192"/>
      <c r="C36" s="316"/>
      <c r="D36" s="316"/>
      <c r="E36" s="317"/>
      <c r="F36" s="193"/>
    </row>
    <row r="37" spans="2:6" s="258" customFormat="1" ht="24" customHeight="1">
      <c r="B37" s="255"/>
      <c r="C37" s="1166" t="s">
        <v>640</v>
      </c>
      <c r="D37" s="1168"/>
      <c r="E37" s="275" t="s">
        <v>484</v>
      </c>
      <c r="F37" s="257"/>
    </row>
    <row r="38" spans="2:6" ht="9" customHeight="1">
      <c r="B38" s="119"/>
      <c r="C38" s="68"/>
      <c r="D38" s="159"/>
      <c r="E38" s="98"/>
      <c r="F38" s="108"/>
    </row>
    <row r="39" spans="2:6" s="194" customFormat="1" ht="23.1" customHeight="1">
      <c r="B39" s="192"/>
      <c r="C39" s="298" t="s">
        <v>189</v>
      </c>
      <c r="D39" s="236" t="s">
        <v>641</v>
      </c>
      <c r="E39" s="177">
        <f>-'FC-3_CPyG'!G30+'FC-3_CPyG'!G33</f>
        <v>2133144.6</v>
      </c>
      <c r="F39" s="193"/>
    </row>
    <row r="40" spans="2:6" s="194" customFormat="1" ht="23.1" customHeight="1">
      <c r="B40" s="192"/>
      <c r="C40" s="198" t="s">
        <v>199</v>
      </c>
      <c r="D40" s="271" t="s">
        <v>642</v>
      </c>
      <c r="E40" s="199">
        <f>-'FC-3_CPyG'!G22+'FC-3_CPyG'!G26-'FC-3_CPyG'!G35-'FC-3_CPyG'!G36-'FC-3_CPyG'!G38-'FC-3_CPyG'!G77-'FC-3_1_INF_ADIC_CPyG'!G55-E42</f>
        <v>13089574.130000001</v>
      </c>
      <c r="F40" s="193"/>
    </row>
    <row r="41" spans="2:6" s="194" customFormat="1" ht="23.1" customHeight="1">
      <c r="B41" s="192"/>
      <c r="C41" s="198" t="s">
        <v>204</v>
      </c>
      <c r="D41" s="271" t="s">
        <v>395</v>
      </c>
      <c r="E41" s="199">
        <f>-'FC-3_CPyG'!G60-'FC-3_CPyG'!G61-'FC-3_CPyG'!G70</f>
        <v>3000</v>
      </c>
      <c r="F41" s="193"/>
    </row>
    <row r="42" spans="2:6" s="194" customFormat="1" ht="23.1" customHeight="1">
      <c r="B42" s="192"/>
      <c r="C42" s="198" t="s">
        <v>208</v>
      </c>
      <c r="D42" s="271" t="s">
        <v>643</v>
      </c>
      <c r="E42" s="178">
        <f>+'FC-3_1_INF_ADIC_CPyG'!G85</f>
        <v>0</v>
      </c>
      <c r="F42" s="193"/>
    </row>
    <row r="43" spans="2:6" s="194" customFormat="1" ht="23.1" customHeight="1">
      <c r="B43" s="192"/>
      <c r="C43" s="1228" t="s">
        <v>644</v>
      </c>
      <c r="D43" s="1229"/>
      <c r="E43" s="305">
        <f>SUM(E39:E42)</f>
        <v>15225718.73</v>
      </c>
      <c r="F43" s="193"/>
    </row>
    <row r="44" spans="2:6" s="194" customFormat="1" ht="9" customHeight="1">
      <c r="B44" s="192"/>
      <c r="C44" s="22"/>
      <c r="D44" s="159"/>
      <c r="E44" s="155"/>
      <c r="F44" s="193"/>
    </row>
    <row r="45" spans="2:6" s="194" customFormat="1" ht="23.1" customHeight="1">
      <c r="B45" s="192"/>
      <c r="C45" s="298" t="s">
        <v>219</v>
      </c>
      <c r="D45" s="236" t="s">
        <v>645</v>
      </c>
      <c r="E45" s="177"/>
      <c r="F45" s="193"/>
    </row>
    <row r="46" spans="2:6" s="194" customFormat="1" ht="23.1" customHeight="1">
      <c r="B46" s="192"/>
      <c r="C46" s="198" t="s">
        <v>221</v>
      </c>
      <c r="D46" s="271" t="s">
        <v>632</v>
      </c>
      <c r="E46" s="199"/>
      <c r="F46" s="193"/>
    </row>
    <row r="47" spans="2:6" s="194" customFormat="1" ht="23.1" customHeight="1">
      <c r="B47" s="192"/>
      <c r="C47" s="1228" t="s">
        <v>646</v>
      </c>
      <c r="D47" s="1229"/>
      <c r="E47" s="305">
        <f>SUM(E45:E46)</f>
        <v>0</v>
      </c>
      <c r="F47" s="193"/>
    </row>
    <row r="48" spans="2:6" s="194" customFormat="1" ht="9" customHeight="1">
      <c r="B48" s="192"/>
      <c r="C48" s="22"/>
      <c r="D48" s="159"/>
      <c r="E48" s="155"/>
      <c r="F48" s="193"/>
    </row>
    <row r="49" spans="2:8" s="194" customFormat="1" ht="23.1" customHeight="1">
      <c r="B49" s="192"/>
      <c r="C49" s="298" t="s">
        <v>272</v>
      </c>
      <c r="D49" s="236" t="s">
        <v>634</v>
      </c>
      <c r="E49" s="177"/>
      <c r="F49" s="193"/>
    </row>
    <row r="50" spans="2:8" s="194" customFormat="1" ht="23.1" customHeight="1">
      <c r="B50" s="192"/>
      <c r="C50" s="198" t="s">
        <v>274</v>
      </c>
      <c r="D50" s="271" t="s">
        <v>635</v>
      </c>
      <c r="E50" s="199"/>
      <c r="F50" s="193"/>
    </row>
    <row r="51" spans="2:8" s="194" customFormat="1" ht="23.1" customHeight="1">
      <c r="B51" s="192"/>
      <c r="C51" s="1228" t="s">
        <v>647</v>
      </c>
      <c r="D51" s="1229"/>
      <c r="E51" s="305">
        <f>SUM(E49:E50)</f>
        <v>0</v>
      </c>
      <c r="F51" s="193"/>
    </row>
    <row r="52" spans="2:8" s="194" customFormat="1" ht="23.1" customHeight="1">
      <c r="B52" s="192"/>
      <c r="C52" s="159"/>
      <c r="D52" s="221"/>
      <c r="E52" s="223"/>
      <c r="F52" s="193"/>
    </row>
    <row r="53" spans="2:8" s="315" customFormat="1" ht="23.1" customHeight="1" thickBot="1">
      <c r="B53" s="113"/>
      <c r="C53" s="1232" t="s">
        <v>648</v>
      </c>
      <c r="D53" s="1233"/>
      <c r="E53" s="314">
        <f>E43+E47+E51</f>
        <v>15225718.73</v>
      </c>
      <c r="F53" s="116"/>
    </row>
    <row r="54" spans="2:8" s="194" customFormat="1" ht="9" customHeight="1">
      <c r="B54" s="192"/>
      <c r="C54" s="22"/>
      <c r="D54" s="159"/>
      <c r="E54" s="155"/>
      <c r="F54" s="193"/>
    </row>
    <row r="55" spans="2:8" s="194" customFormat="1" ht="23.1" customHeight="1">
      <c r="B55" s="192"/>
      <c r="C55" s="1228" t="s">
        <v>649</v>
      </c>
      <c r="D55" s="1229"/>
      <c r="E55" s="305">
        <f>IF('FC-3_CPyG'!G20&lt;0,-'FC-3_CPyG'!G20,0)-'FC-3_CPyG'!G26-'FC-3_CPyG'!G33-'FC-3_CPyG'!G37-'FC-3_CPyG'!G40-'FC-3_CPyG'!G44-'FC-3_CPyG'!G62-'FC-3_CPyG'!G66-'FC-3_CPyG'!G67</f>
        <v>49469.55</v>
      </c>
      <c r="F55" s="193"/>
    </row>
    <row r="56" spans="2:8" s="194" customFormat="1" ht="9" customHeight="1">
      <c r="B56" s="192"/>
      <c r="C56" s="22"/>
      <c r="D56" s="159"/>
      <c r="E56" s="155"/>
      <c r="F56" s="193"/>
    </row>
    <row r="57" spans="2:8" s="194" customFormat="1" ht="23.1" customHeight="1" thickBot="1">
      <c r="B57" s="192"/>
      <c r="C57" s="1232" t="s">
        <v>655</v>
      </c>
      <c r="D57" s="1233"/>
      <c r="E57" s="314">
        <f>+E53+E55</f>
        <v>15275188.280000001</v>
      </c>
      <c r="F57" s="193"/>
    </row>
    <row r="58" spans="2:8" s="194" customFormat="1" ht="23.1" customHeight="1">
      <c r="B58" s="192"/>
      <c r="C58" s="316"/>
      <c r="D58" s="316"/>
      <c r="E58" s="317"/>
      <c r="F58" s="193"/>
    </row>
    <row r="59" spans="2:8" s="315" customFormat="1" ht="23.1" customHeight="1" thickBot="1">
      <c r="B59" s="113"/>
      <c r="C59" s="318" t="s">
        <v>650</v>
      </c>
      <c r="D59" s="319"/>
      <c r="E59" s="320">
        <f>+E35-E57</f>
        <v>-2075789.3400000017</v>
      </c>
      <c r="F59" s="116"/>
      <c r="H59" s="194"/>
    </row>
    <row r="60" spans="2:8" s="194" customFormat="1" ht="23.1" customHeight="1" thickTop="1">
      <c r="B60" s="192"/>
      <c r="C60" s="22"/>
      <c r="D60" s="159"/>
      <c r="E60" s="155"/>
      <c r="F60" s="193"/>
    </row>
    <row r="61" spans="2:8" ht="23.1" customHeight="1" thickBot="1">
      <c r="B61" s="123"/>
      <c r="C61" s="1134"/>
      <c r="D61" s="1134"/>
      <c r="E61" s="124"/>
      <c r="F61" s="125"/>
      <c r="H61" s="194"/>
    </row>
    <row r="62" spans="2:8" ht="23.1" customHeight="1">
      <c r="C62" s="106"/>
      <c r="D62" s="106"/>
      <c r="E62" s="107"/>
    </row>
    <row r="63" spans="2:8" ht="13.2">
      <c r="C63" s="126" t="s">
        <v>77</v>
      </c>
      <c r="D63" s="106"/>
      <c r="E63" s="97" t="s">
        <v>74</v>
      </c>
    </row>
    <row r="64" spans="2:8" ht="13.2">
      <c r="C64" s="127" t="s">
        <v>78</v>
      </c>
      <c r="D64" s="106"/>
      <c r="E64" s="107"/>
    </row>
    <row r="65" spans="3:5" ht="13.2">
      <c r="C65" s="127" t="s">
        <v>79</v>
      </c>
      <c r="D65" s="106"/>
      <c r="E65" s="107"/>
    </row>
    <row r="66" spans="3:5" ht="13.2">
      <c r="C66" s="127" t="s">
        <v>80</v>
      </c>
      <c r="D66" s="106"/>
      <c r="E66" s="107"/>
    </row>
    <row r="67" spans="3:5" ht="13.2">
      <c r="C67" s="127" t="s">
        <v>81</v>
      </c>
      <c r="D67" s="106"/>
      <c r="E67" s="107"/>
    </row>
    <row r="68" spans="3:5" ht="23.1" customHeight="1">
      <c r="C68" s="106"/>
      <c r="D68" s="106"/>
      <c r="E68" s="107"/>
    </row>
    <row r="69" spans="3:5" ht="23.1" customHeight="1">
      <c r="C69" s="106"/>
      <c r="D69" s="106"/>
      <c r="E69" s="107"/>
    </row>
    <row r="70" spans="3:5" ht="23.1" customHeight="1">
      <c r="C70" s="106"/>
      <c r="D70" s="106"/>
      <c r="E70" s="107"/>
    </row>
    <row r="71" spans="3:5" ht="23.1" customHeight="1">
      <c r="C71" s="106"/>
      <c r="D71" s="106"/>
      <c r="E71" s="107"/>
    </row>
    <row r="72" spans="3:5" ht="23.1" customHeight="1">
      <c r="E72" s="107"/>
    </row>
  </sheetData>
  <sheetProtection password="E059" sheet="1" objects="1" scenarios="1"/>
  <mergeCells count="18">
    <mergeCell ref="C25:D25"/>
    <mergeCell ref="E6:E7"/>
    <mergeCell ref="D9:E9"/>
    <mergeCell ref="C12:D12"/>
    <mergeCell ref="C14:D14"/>
    <mergeCell ref="C21:D21"/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55:D55"/>
    <mergeCell ref="C57:D57"/>
  </mergeCells>
  <phoneticPr fontId="24" type="noConversion"/>
  <printOptions horizontalCentered="1" verticalCentered="1"/>
  <pageMargins left="0.36000000000000004" right="0.36000000000000004" top="0.6100000000000001" bottom="0.6100000000000001" header="0.5" footer="0.5"/>
  <pageSetup paperSize="9" scale="6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5"/>
  <sheetViews>
    <sheetView tabSelected="1" topLeftCell="A4" zoomScale="70" zoomScaleNormal="70" workbookViewId="0">
      <selection activeCell="H17" sqref="H17"/>
    </sheetView>
  </sheetViews>
  <sheetFormatPr baseColWidth="10" defaultColWidth="10.90625" defaultRowHeight="23.1" customHeight="1"/>
  <cols>
    <col min="1" max="1" width="3" style="2" customWidth="1"/>
    <col min="2" max="2" width="3.08984375" style="2" customWidth="1"/>
    <col min="3" max="3" width="12.08984375" style="2" customWidth="1"/>
    <col min="4" max="4" width="7.54296875" style="2" customWidth="1"/>
    <col min="5" max="5" width="15.08984375" style="2" customWidth="1"/>
    <col min="6" max="7" width="18.08984375" style="2" customWidth="1"/>
    <col min="8" max="8" width="13" style="2" customWidth="1"/>
    <col min="9" max="9" width="3.54296875" style="2" customWidth="1"/>
    <col min="10" max="16384" width="10.90625" style="2"/>
  </cols>
  <sheetData>
    <row r="1" spans="2:24" ht="23.1" customHeight="1">
      <c r="E1" s="3"/>
    </row>
    <row r="2" spans="2:24" ht="23.1" customHeight="1">
      <c r="D2" s="63" t="s">
        <v>31</v>
      </c>
    </row>
    <row r="3" spans="2:24" ht="23.1" customHeight="1">
      <c r="D3" s="63" t="s">
        <v>32</v>
      </c>
    </row>
    <row r="4" spans="2:24" ht="23.1" customHeight="1" thickBot="1"/>
    <row r="5" spans="2:24" ht="9" customHeight="1">
      <c r="B5" s="5"/>
      <c r="C5" s="6"/>
      <c r="D5" s="6"/>
      <c r="E5" s="6"/>
      <c r="F5" s="6"/>
      <c r="G5" s="6"/>
      <c r="H5" s="6"/>
      <c r="I5" s="7"/>
      <c r="K5" s="427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8"/>
      <c r="X5" s="429"/>
    </row>
    <row r="6" spans="2:24" ht="30" customHeight="1">
      <c r="B6" s="8"/>
      <c r="C6" s="1" t="s">
        <v>0</v>
      </c>
      <c r="D6" s="23"/>
      <c r="E6" s="23"/>
      <c r="F6" s="23"/>
      <c r="G6" s="3"/>
      <c r="H6" s="1111">
        <f>ejercicio</f>
        <v>2018</v>
      </c>
      <c r="I6" s="9"/>
      <c r="K6" s="430"/>
      <c r="L6" s="431" t="s">
        <v>707</v>
      </c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2"/>
      <c r="X6" s="433"/>
    </row>
    <row r="7" spans="2:24" ht="30" customHeight="1">
      <c r="B7" s="8"/>
      <c r="C7" s="1" t="s">
        <v>1</v>
      </c>
      <c r="D7" s="3"/>
      <c r="E7" s="3"/>
      <c r="F7" s="3"/>
      <c r="G7" s="3"/>
      <c r="H7" s="1111">
        <v>2018</v>
      </c>
      <c r="I7" s="9"/>
      <c r="K7" s="430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3"/>
    </row>
    <row r="8" spans="2:24" ht="30" customHeight="1">
      <c r="B8" s="8"/>
      <c r="C8" s="3"/>
      <c r="D8" s="3"/>
      <c r="E8" s="3"/>
      <c r="F8" s="3"/>
      <c r="G8" s="3"/>
      <c r="H8" s="16"/>
      <c r="I8" s="9"/>
      <c r="K8" s="430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2"/>
      <c r="X8" s="433"/>
    </row>
    <row r="9" spans="2:24" ht="30" customHeight="1">
      <c r="B9" s="8"/>
      <c r="C9" s="39" t="s">
        <v>2</v>
      </c>
      <c r="D9" s="1116" t="str">
        <f>Entidad</f>
        <v>SPET, Turismo de Tenerife, S.A.</v>
      </c>
      <c r="E9" s="1116"/>
      <c r="F9" s="1116"/>
      <c r="G9" s="1116"/>
      <c r="H9" s="1116"/>
      <c r="I9" s="9"/>
      <c r="K9" s="434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6"/>
    </row>
    <row r="10" spans="2:24" ht="7.35" customHeight="1">
      <c r="B10" s="8"/>
      <c r="C10" s="3"/>
      <c r="D10" s="3"/>
      <c r="E10" s="3"/>
      <c r="F10" s="3"/>
      <c r="G10" s="3"/>
      <c r="H10" s="10"/>
      <c r="I10" s="9"/>
      <c r="K10" s="430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3"/>
    </row>
    <row r="11" spans="2:24" s="12" customFormat="1" ht="30" customHeight="1">
      <c r="B11" s="24"/>
      <c r="C11" s="11" t="s">
        <v>76</v>
      </c>
      <c r="D11" s="11"/>
      <c r="E11" s="11"/>
      <c r="F11" s="11"/>
      <c r="G11" s="11"/>
      <c r="H11" s="11"/>
      <c r="I11" s="25"/>
      <c r="K11" s="437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8"/>
      <c r="X11" s="439"/>
    </row>
    <row r="12" spans="2:24" ht="23.1" customHeight="1">
      <c r="B12" s="8"/>
      <c r="C12" s="3"/>
      <c r="D12" s="3"/>
      <c r="E12" s="3"/>
      <c r="F12" s="3"/>
      <c r="G12" s="3"/>
      <c r="H12" s="3"/>
      <c r="I12" s="9"/>
      <c r="K12" s="437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438"/>
      <c r="X12" s="439"/>
    </row>
    <row r="13" spans="2:24" ht="23.1" customHeight="1">
      <c r="B13" s="8"/>
      <c r="C13" s="13" t="s">
        <v>685</v>
      </c>
      <c r="D13" s="13"/>
      <c r="E13" s="13"/>
      <c r="F13" s="13"/>
      <c r="G13" s="13"/>
      <c r="H13" s="568">
        <f>+H15+H19</f>
        <v>12</v>
      </c>
      <c r="I13" s="9"/>
      <c r="K13" s="430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2"/>
      <c r="X13" s="433"/>
    </row>
    <row r="14" spans="2:24" ht="23.1" customHeight="1">
      <c r="B14" s="8"/>
      <c r="C14" s="3"/>
      <c r="D14" s="3"/>
      <c r="E14" s="3"/>
      <c r="F14" s="3"/>
      <c r="G14" s="3"/>
      <c r="H14" s="3"/>
      <c r="I14" s="9"/>
      <c r="K14" s="430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2"/>
      <c r="X14" s="433"/>
    </row>
    <row r="15" spans="2:24" ht="23.1" customHeight="1">
      <c r="B15" s="8"/>
      <c r="C15" s="3"/>
      <c r="D15" s="569" t="s">
        <v>686</v>
      </c>
      <c r="E15" s="569"/>
      <c r="F15" s="569"/>
      <c r="G15" s="569"/>
      <c r="H15" s="570">
        <f>H16+H17</f>
        <v>9</v>
      </c>
      <c r="I15" s="9"/>
      <c r="K15" s="430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2"/>
      <c r="X15" s="433"/>
    </row>
    <row r="16" spans="2:24" ht="23.1" customHeight="1">
      <c r="B16" s="8"/>
      <c r="C16" s="3"/>
      <c r="D16" s="3"/>
      <c r="E16" s="26" t="s">
        <v>3</v>
      </c>
      <c r="F16" s="26"/>
      <c r="G16" s="26"/>
      <c r="H16" s="459">
        <v>5</v>
      </c>
      <c r="I16" s="9"/>
      <c r="K16" s="430"/>
      <c r="L16" s="432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2"/>
      <c r="X16" s="433"/>
    </row>
    <row r="17" spans="2:24" ht="23.1" customHeight="1">
      <c r="B17" s="8"/>
      <c r="C17" s="3"/>
      <c r="D17" s="3"/>
      <c r="E17" s="26" t="s">
        <v>4</v>
      </c>
      <c r="F17" s="26"/>
      <c r="G17" s="26"/>
      <c r="H17" s="459">
        <v>4</v>
      </c>
      <c r="I17" s="9"/>
      <c r="K17" s="430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2"/>
      <c r="X17" s="433"/>
    </row>
    <row r="18" spans="2:24" ht="23.1" customHeight="1">
      <c r="B18" s="8"/>
      <c r="C18" s="3"/>
      <c r="D18" s="3"/>
      <c r="E18" s="3"/>
      <c r="F18" s="3"/>
      <c r="G18" s="3"/>
      <c r="H18" s="3"/>
      <c r="I18" s="9"/>
      <c r="K18" s="430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2"/>
      <c r="X18" s="433"/>
    </row>
    <row r="19" spans="2:24" ht="23.1" customHeight="1">
      <c r="B19" s="8"/>
      <c r="C19" s="3"/>
      <c r="D19" s="569" t="s">
        <v>687</v>
      </c>
      <c r="E19" s="569"/>
      <c r="F19" s="569"/>
      <c r="G19" s="569"/>
      <c r="H19" s="571">
        <v>3</v>
      </c>
      <c r="I19" s="9"/>
      <c r="K19" s="430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2"/>
      <c r="X19" s="433"/>
    </row>
    <row r="20" spans="2:24" ht="23.1" customHeight="1">
      <c r="B20" s="8"/>
      <c r="C20" s="3"/>
      <c r="D20" s="3"/>
      <c r="E20" s="3"/>
      <c r="F20" s="3"/>
      <c r="G20" s="3"/>
      <c r="H20" s="3"/>
      <c r="I20" s="9"/>
      <c r="K20" s="430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3"/>
    </row>
    <row r="21" spans="2:24" ht="23.1" customHeight="1">
      <c r="B21" s="8"/>
      <c r="C21" s="3"/>
      <c r="D21" s="3"/>
      <c r="E21" s="3"/>
      <c r="F21" s="3"/>
      <c r="G21" s="3"/>
      <c r="H21" s="3"/>
      <c r="I21" s="9"/>
      <c r="K21" s="430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2"/>
      <c r="X21" s="433"/>
    </row>
    <row r="22" spans="2:24" ht="31.35" customHeight="1">
      <c r="B22" s="8"/>
      <c r="C22" s="27" t="s">
        <v>6</v>
      </c>
      <c r="D22" s="27" t="s">
        <v>5</v>
      </c>
      <c r="E22" s="27"/>
      <c r="F22" s="27"/>
      <c r="G22" s="27"/>
      <c r="H22" s="28" t="s">
        <v>7</v>
      </c>
      <c r="I22" s="9"/>
      <c r="K22" s="430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2"/>
      <c r="X22" s="433"/>
    </row>
    <row r="23" spans="2:24" ht="23.1" customHeight="1">
      <c r="B23" s="8"/>
      <c r="C23" s="29" t="s">
        <v>688</v>
      </c>
      <c r="D23" s="572"/>
      <c r="E23" s="573"/>
      <c r="F23" s="1052" t="s">
        <v>887</v>
      </c>
      <c r="G23" s="572"/>
      <c r="H23" s="460">
        <v>42222</v>
      </c>
      <c r="I23" s="9"/>
      <c r="K23" s="443"/>
      <c r="L23" s="432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2"/>
      <c r="X23" s="433"/>
    </row>
    <row r="24" spans="2:24" ht="23.1" customHeight="1">
      <c r="B24" s="8"/>
      <c r="C24" s="30" t="s">
        <v>689</v>
      </c>
      <c r="D24" s="573"/>
      <c r="E24" s="573"/>
      <c r="F24" s="1052"/>
      <c r="G24" s="573"/>
      <c r="H24" s="461"/>
      <c r="I24" s="9"/>
      <c r="K24" s="443"/>
      <c r="L24" s="432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2"/>
      <c r="X24" s="433"/>
    </row>
    <row r="25" spans="2:24" ht="23.1" customHeight="1">
      <c r="B25" s="8"/>
      <c r="C25" s="30" t="s">
        <v>690</v>
      </c>
      <c r="D25" s="573"/>
      <c r="E25" s="573"/>
      <c r="F25" s="1052" t="s">
        <v>909</v>
      </c>
      <c r="G25" s="573"/>
      <c r="H25" s="461">
        <v>42936</v>
      </c>
      <c r="I25" s="9"/>
      <c r="K25" s="443"/>
      <c r="L25" s="432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2"/>
      <c r="X25" s="433"/>
    </row>
    <row r="26" spans="2:24" ht="23.1" customHeight="1">
      <c r="B26" s="8"/>
      <c r="C26" s="30" t="s">
        <v>691</v>
      </c>
      <c r="D26" s="573"/>
      <c r="E26" s="573"/>
      <c r="F26" s="1052"/>
      <c r="G26" s="573"/>
      <c r="H26" s="461"/>
      <c r="I26" s="9"/>
      <c r="K26" s="443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2"/>
      <c r="X26" s="433"/>
    </row>
    <row r="27" spans="2:24" ht="23.1" customHeight="1">
      <c r="B27" s="8"/>
      <c r="C27" s="30" t="s">
        <v>8</v>
      </c>
      <c r="D27" s="573"/>
      <c r="E27" s="573"/>
      <c r="F27" s="1052" t="s">
        <v>889</v>
      </c>
      <c r="G27" s="573"/>
      <c r="H27" s="461">
        <v>42222</v>
      </c>
      <c r="I27" s="9"/>
      <c r="K27" s="443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2"/>
      <c r="X27" s="433"/>
    </row>
    <row r="28" spans="2:24" ht="23.1" customHeight="1">
      <c r="B28" s="8"/>
      <c r="C28" s="30" t="s">
        <v>9</v>
      </c>
      <c r="D28" s="573"/>
      <c r="E28" s="573"/>
      <c r="F28" s="1052" t="s">
        <v>890</v>
      </c>
      <c r="G28" s="573"/>
      <c r="H28" s="461">
        <v>42222</v>
      </c>
      <c r="I28" s="9"/>
      <c r="K28" s="443"/>
      <c r="L28" s="432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2"/>
      <c r="X28" s="433"/>
    </row>
    <row r="29" spans="2:24" ht="23.1" customHeight="1">
      <c r="B29" s="8"/>
      <c r="C29" s="30" t="s">
        <v>10</v>
      </c>
      <c r="D29" s="573"/>
      <c r="E29" s="573"/>
      <c r="F29" s="1052" t="s">
        <v>891</v>
      </c>
      <c r="G29" s="573"/>
      <c r="H29" s="461">
        <v>42222</v>
      </c>
      <c r="I29" s="9"/>
      <c r="K29" s="443"/>
      <c r="L29" s="432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2"/>
      <c r="X29" s="433"/>
    </row>
    <row r="30" spans="2:24" ht="23.1" customHeight="1">
      <c r="B30" s="8"/>
      <c r="C30" s="30" t="s">
        <v>11</v>
      </c>
      <c r="D30" s="573"/>
      <c r="E30" s="573"/>
      <c r="F30" s="1052" t="s">
        <v>892</v>
      </c>
      <c r="G30" s="573"/>
      <c r="H30" s="461">
        <v>42222</v>
      </c>
      <c r="I30" s="9"/>
      <c r="K30" s="443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442"/>
    </row>
    <row r="31" spans="2:24" ht="23.1" customHeight="1">
      <c r="B31" s="8"/>
      <c r="C31" s="30" t="s">
        <v>12</v>
      </c>
      <c r="D31" s="573"/>
      <c r="E31" s="573"/>
      <c r="F31" s="1052" t="s">
        <v>893</v>
      </c>
      <c r="G31" s="573"/>
      <c r="H31" s="461">
        <v>42222</v>
      </c>
      <c r="I31" s="9"/>
      <c r="K31" s="443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2"/>
    </row>
    <row r="32" spans="2:24" ht="23.1" customHeight="1">
      <c r="B32" s="8"/>
      <c r="C32" s="30" t="s">
        <v>13</v>
      </c>
      <c r="D32" s="573"/>
      <c r="E32" s="573"/>
      <c r="F32" s="1052" t="s">
        <v>894</v>
      </c>
      <c r="G32" s="573"/>
      <c r="H32" s="461">
        <v>42222</v>
      </c>
      <c r="I32" s="9"/>
      <c r="K32" s="443"/>
      <c r="L32" s="432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432"/>
      <c r="X32" s="433"/>
    </row>
    <row r="33" spans="2:25" ht="23.1" customHeight="1">
      <c r="B33" s="8"/>
      <c r="C33" s="30" t="s">
        <v>14</v>
      </c>
      <c r="D33" s="573"/>
      <c r="E33" s="573"/>
      <c r="F33" s="1052" t="s">
        <v>895</v>
      </c>
      <c r="G33" s="573"/>
      <c r="H33" s="461">
        <v>42222</v>
      </c>
      <c r="I33" s="9"/>
      <c r="K33" s="443"/>
      <c r="L33" s="432"/>
      <c r="M33" s="432"/>
      <c r="N33" s="432"/>
      <c r="O33" s="432"/>
      <c r="P33" s="432"/>
      <c r="Q33" s="432"/>
      <c r="R33" s="432"/>
      <c r="S33" s="432"/>
      <c r="T33" s="432"/>
      <c r="U33" s="432"/>
      <c r="V33" s="432"/>
      <c r="W33" s="432"/>
      <c r="X33" s="433"/>
    </row>
    <row r="34" spans="2:25" ht="23.1" customHeight="1">
      <c r="B34" s="8"/>
      <c r="C34" s="30" t="s">
        <v>15</v>
      </c>
      <c r="D34" s="573"/>
      <c r="E34" s="573"/>
      <c r="F34" s="1052" t="s">
        <v>896</v>
      </c>
      <c r="G34" s="573"/>
      <c r="H34" s="461">
        <v>42222</v>
      </c>
      <c r="I34" s="9"/>
      <c r="K34" s="443"/>
      <c r="L34" s="432"/>
      <c r="M34" s="432"/>
      <c r="N34" s="432"/>
      <c r="O34" s="432"/>
      <c r="P34" s="432"/>
      <c r="Q34" s="432"/>
      <c r="R34" s="432"/>
      <c r="S34" s="432"/>
      <c r="T34" s="432"/>
      <c r="U34" s="432"/>
      <c r="V34" s="432"/>
      <c r="W34" s="432"/>
      <c r="X34" s="433"/>
    </row>
    <row r="35" spans="2:25" ht="23.1" customHeight="1">
      <c r="B35" s="8"/>
      <c r="C35" s="30" t="s">
        <v>16</v>
      </c>
      <c r="D35" s="573"/>
      <c r="E35" s="573"/>
      <c r="F35" s="1052" t="s">
        <v>888</v>
      </c>
      <c r="G35" s="573"/>
      <c r="H35" s="461">
        <v>42222</v>
      </c>
      <c r="I35" s="9"/>
      <c r="K35" s="443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2"/>
      <c r="X35" s="433"/>
    </row>
    <row r="36" spans="2:25" ht="23.1" customHeight="1">
      <c r="B36" s="8"/>
      <c r="C36" s="30" t="s">
        <v>17</v>
      </c>
      <c r="D36" s="573"/>
      <c r="E36" s="573"/>
      <c r="F36" s="573" t="s">
        <v>897</v>
      </c>
      <c r="G36" s="573"/>
      <c r="H36" s="462">
        <v>42912</v>
      </c>
      <c r="I36" s="9"/>
      <c r="K36" s="443"/>
      <c r="L36" s="444"/>
      <c r="M36" s="444"/>
      <c r="N36" s="444"/>
      <c r="O36" s="444"/>
      <c r="P36" s="444"/>
      <c r="Q36" s="444"/>
      <c r="R36" s="444"/>
      <c r="S36" s="444"/>
      <c r="T36" s="444"/>
      <c r="U36" s="444"/>
      <c r="V36" s="444"/>
      <c r="W36" s="444"/>
      <c r="X36" s="445"/>
    </row>
    <row r="37" spans="2:25" ht="23.1" customHeight="1">
      <c r="B37" s="8"/>
      <c r="C37" s="30" t="s">
        <v>18</v>
      </c>
      <c r="D37" s="573"/>
      <c r="E37" s="573"/>
      <c r="F37" s="573" t="s">
        <v>910</v>
      </c>
      <c r="G37" s="573"/>
      <c r="H37" s="461">
        <v>42430</v>
      </c>
      <c r="I37" s="9"/>
      <c r="K37" s="443"/>
      <c r="L37" s="444"/>
      <c r="M37" s="444"/>
      <c r="N37" s="444"/>
      <c r="O37" s="444"/>
      <c r="P37" s="444"/>
      <c r="Q37" s="444"/>
      <c r="R37" s="444"/>
      <c r="S37" s="444"/>
      <c r="T37" s="444"/>
      <c r="U37" s="444"/>
      <c r="V37" s="444"/>
      <c r="W37" s="444"/>
      <c r="X37" s="445"/>
    </row>
    <row r="38" spans="2:25" ht="23.1" customHeight="1">
      <c r="B38" s="8"/>
      <c r="C38" s="30" t="s">
        <v>19</v>
      </c>
      <c r="D38" s="573"/>
      <c r="E38" s="573"/>
      <c r="F38" s="573"/>
      <c r="G38" s="573"/>
      <c r="H38" s="461"/>
      <c r="I38" s="9"/>
      <c r="K38" s="443"/>
      <c r="L38" s="444"/>
      <c r="M38" s="444"/>
      <c r="N38" s="444"/>
      <c r="O38" s="444"/>
      <c r="P38" s="444"/>
      <c r="Q38" s="444"/>
      <c r="R38" s="444"/>
      <c r="S38" s="444"/>
      <c r="T38" s="444"/>
      <c r="U38" s="444"/>
      <c r="V38" s="444"/>
      <c r="W38" s="444"/>
      <c r="X38" s="445"/>
    </row>
    <row r="39" spans="2:25" ht="23.1" customHeight="1">
      <c r="B39" s="8"/>
      <c r="C39" s="31"/>
      <c r="D39" s="32"/>
      <c r="E39" s="32"/>
      <c r="F39" s="32"/>
      <c r="G39" s="32"/>
      <c r="H39" s="33"/>
      <c r="I39" s="9"/>
      <c r="K39" s="443"/>
      <c r="L39" s="444"/>
      <c r="M39" s="444"/>
      <c r="N39" s="444"/>
      <c r="O39" s="444"/>
      <c r="P39" s="444"/>
      <c r="Q39" s="444"/>
      <c r="R39" s="444"/>
      <c r="S39" s="444"/>
      <c r="T39" s="444"/>
      <c r="U39" s="444"/>
      <c r="V39" s="444"/>
      <c r="W39" s="444"/>
      <c r="X39" s="445"/>
    </row>
    <row r="40" spans="2:25" ht="23.1" customHeight="1">
      <c r="B40" s="8"/>
      <c r="C40" s="34" t="s">
        <v>692</v>
      </c>
      <c r="D40" s="574"/>
      <c r="E40" s="574"/>
      <c r="F40" s="574"/>
      <c r="G40" s="574"/>
      <c r="H40" s="462"/>
      <c r="I40" s="9"/>
      <c r="K40" s="430"/>
      <c r="L40" s="432"/>
      <c r="M40" s="432"/>
      <c r="N40" s="432"/>
      <c r="O40" s="432"/>
      <c r="P40" s="432"/>
      <c r="Q40" s="432"/>
      <c r="R40" s="432"/>
      <c r="S40" s="432"/>
      <c r="T40" s="432"/>
      <c r="U40" s="432"/>
      <c r="V40" s="432"/>
      <c r="W40" s="432"/>
      <c r="X40" s="433"/>
    </row>
    <row r="41" spans="2:25" ht="23.1" customHeight="1">
      <c r="B41" s="8"/>
      <c r="C41" s="34" t="s">
        <v>36</v>
      </c>
      <c r="D41" s="573"/>
      <c r="E41" s="573" t="s">
        <v>909</v>
      </c>
      <c r="F41" s="573"/>
      <c r="G41" s="573"/>
      <c r="H41" s="462">
        <v>42936</v>
      </c>
      <c r="I41" s="9"/>
      <c r="K41" s="430"/>
      <c r="L41" s="432"/>
      <c r="M41" s="432"/>
      <c r="N41" s="432"/>
      <c r="O41" s="432"/>
      <c r="P41" s="432"/>
      <c r="Q41" s="432"/>
      <c r="R41" s="432"/>
      <c r="S41" s="432"/>
      <c r="T41" s="432"/>
      <c r="U41" s="432"/>
      <c r="V41" s="432"/>
      <c r="W41" s="432"/>
      <c r="X41" s="433"/>
    </row>
    <row r="42" spans="2:25" ht="23.1" customHeight="1" thickBot="1">
      <c r="B42" s="18"/>
      <c r="C42" s="19"/>
      <c r="D42" s="19"/>
      <c r="E42" s="19"/>
      <c r="F42" s="19"/>
      <c r="G42" s="35"/>
      <c r="H42" s="19"/>
      <c r="I42" s="20"/>
      <c r="K42" s="446"/>
      <c r="L42" s="447"/>
      <c r="M42" s="447"/>
      <c r="N42" s="447"/>
      <c r="O42" s="447"/>
      <c r="P42" s="447"/>
      <c r="Q42" s="447"/>
      <c r="R42" s="447"/>
      <c r="S42" s="447"/>
      <c r="T42" s="447"/>
      <c r="U42" s="447"/>
      <c r="V42" s="447"/>
      <c r="W42" s="447"/>
      <c r="X42" s="448"/>
    </row>
    <row r="43" spans="2:25" ht="23.1" customHeight="1">
      <c r="G43" s="36"/>
    </row>
    <row r="44" spans="2:25" s="42" customFormat="1" ht="15">
      <c r="C44" s="37" t="s">
        <v>77</v>
      </c>
      <c r="G44" s="43"/>
      <c r="H44" s="41" t="s">
        <v>37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2" customFormat="1" ht="15">
      <c r="C45" s="38" t="s">
        <v>78</v>
      </c>
      <c r="G45" s="4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2" customFormat="1" ht="15">
      <c r="C46" s="38" t="s">
        <v>79</v>
      </c>
      <c r="G46" s="4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2" customFormat="1" ht="15">
      <c r="C47" s="38" t="s">
        <v>80</v>
      </c>
      <c r="G47" s="4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2" customFormat="1" ht="15">
      <c r="C48" s="38" t="s">
        <v>81</v>
      </c>
      <c r="G48" s="4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3.1" customHeight="1">
      <c r="G49" s="36"/>
    </row>
    <row r="50" spans="7:7" ht="23.1" customHeight="1">
      <c r="G50" s="36"/>
    </row>
    <row r="51" spans="7:7" ht="23.1" customHeight="1">
      <c r="G51" s="36"/>
    </row>
    <row r="52" spans="7:7" ht="23.1" customHeight="1">
      <c r="G52" s="36"/>
    </row>
    <row r="53" spans="7:7" ht="23.1" customHeight="1">
      <c r="G53" s="36"/>
    </row>
    <row r="54" spans="7:7" ht="23.1" customHeight="1">
      <c r="G54" s="36"/>
    </row>
    <row r="55" spans="7:7" ht="23.1" customHeight="1">
      <c r="G55" s="36"/>
    </row>
  </sheetData>
  <sheetProtection password="E059" sheet="1" objects="1" scenarios="1"/>
  <mergeCells count="2">
    <mergeCell ref="H6:H7"/>
    <mergeCell ref="D9:H9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7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66"/>
  <sheetViews>
    <sheetView zoomScale="40" zoomScaleNormal="40" zoomScalePageLayoutView="70" workbookViewId="0">
      <selection activeCell="G61" sqref="G61"/>
    </sheetView>
  </sheetViews>
  <sheetFormatPr baseColWidth="10" defaultColWidth="10.90625" defaultRowHeight="23.1" customHeight="1"/>
  <cols>
    <col min="1" max="2" width="3.08984375" style="762" customWidth="1"/>
    <col min="3" max="3" width="13.54296875" style="762" customWidth="1"/>
    <col min="4" max="4" width="16.08984375" style="762" customWidth="1"/>
    <col min="5" max="5" width="14" style="762" customWidth="1"/>
    <col min="6" max="7" width="16.08984375" style="762" customWidth="1"/>
    <col min="8" max="8" width="10.08984375" style="762" customWidth="1"/>
    <col min="9" max="9" width="13" style="762" customWidth="1"/>
    <col min="10" max="10" width="10.90625" style="762"/>
    <col min="11" max="11" width="2" style="762" customWidth="1"/>
    <col min="12" max="15" width="10.90625" style="762"/>
    <col min="16" max="16" width="30.453125" style="762" customWidth="1"/>
    <col min="17" max="17" width="3.08984375" style="762" customWidth="1"/>
    <col min="18" max="16384" width="10.90625" style="762"/>
  </cols>
  <sheetData>
    <row r="1" spans="2:32" ht="23.1" customHeight="1">
      <c r="D1" s="763"/>
    </row>
    <row r="2" spans="2:32" ht="23.1" customHeight="1">
      <c r="D2" s="764" t="s">
        <v>31</v>
      </c>
    </row>
    <row r="3" spans="2:32" ht="23.1" customHeight="1">
      <c r="D3" s="764" t="s">
        <v>32</v>
      </c>
    </row>
    <row r="4" spans="2:32" ht="23.1" customHeight="1" thickBot="1"/>
    <row r="5" spans="2:32" ht="9" customHeight="1">
      <c r="B5" s="765"/>
      <c r="C5" s="766"/>
      <c r="D5" s="766"/>
      <c r="E5" s="766"/>
      <c r="F5" s="766"/>
      <c r="G5" s="766"/>
      <c r="H5" s="766"/>
      <c r="I5" s="766"/>
      <c r="J5" s="766"/>
      <c r="K5" s="766"/>
      <c r="L5" s="766"/>
      <c r="M5" s="766"/>
      <c r="N5" s="766"/>
      <c r="O5" s="766"/>
      <c r="P5" s="766"/>
      <c r="Q5" s="767"/>
      <c r="S5" s="427"/>
      <c r="T5" s="428"/>
      <c r="U5" s="428"/>
      <c r="V5" s="428"/>
      <c r="W5" s="428"/>
      <c r="X5" s="428"/>
      <c r="Y5" s="428"/>
      <c r="Z5" s="428"/>
      <c r="AA5" s="428"/>
      <c r="AB5" s="428"/>
      <c r="AC5" s="428"/>
      <c r="AD5" s="428"/>
      <c r="AE5" s="428"/>
      <c r="AF5" s="429"/>
    </row>
    <row r="6" spans="2:32" ht="30" customHeight="1">
      <c r="B6" s="768"/>
      <c r="C6" s="769" t="s">
        <v>0</v>
      </c>
      <c r="D6" s="763"/>
      <c r="E6" s="763"/>
      <c r="F6" s="763"/>
      <c r="G6" s="763"/>
      <c r="H6" s="763"/>
      <c r="I6" s="763"/>
      <c r="J6" s="763"/>
      <c r="K6" s="763"/>
      <c r="L6" s="763"/>
      <c r="M6" s="763"/>
      <c r="N6" s="763"/>
      <c r="P6" s="1119">
        <f>ejercicio</f>
        <v>2018</v>
      </c>
      <c r="Q6" s="770"/>
      <c r="S6" s="430"/>
      <c r="T6" s="431" t="s">
        <v>707</v>
      </c>
      <c r="U6" s="432"/>
      <c r="V6" s="432"/>
      <c r="W6" s="432"/>
      <c r="X6" s="432"/>
      <c r="Y6" s="432"/>
      <c r="Z6" s="432"/>
      <c r="AA6" s="432"/>
      <c r="AB6" s="432"/>
      <c r="AC6" s="432"/>
      <c r="AD6" s="432"/>
      <c r="AE6" s="432"/>
      <c r="AF6" s="433"/>
    </row>
    <row r="7" spans="2:32" ht="30" customHeight="1">
      <c r="B7" s="768"/>
      <c r="C7" s="769" t="s">
        <v>1</v>
      </c>
      <c r="D7" s="763"/>
      <c r="E7" s="763"/>
      <c r="F7" s="763"/>
      <c r="G7" s="763"/>
      <c r="H7" s="763"/>
      <c r="I7" s="763"/>
      <c r="J7" s="763"/>
      <c r="K7" s="763"/>
      <c r="L7" s="763"/>
      <c r="M7" s="771"/>
      <c r="N7" s="763"/>
      <c r="P7" s="1119"/>
      <c r="Q7" s="770"/>
      <c r="S7" s="430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2"/>
      <c r="AE7" s="432"/>
      <c r="AF7" s="433"/>
    </row>
    <row r="8" spans="2:32" ht="30" customHeight="1">
      <c r="B8" s="768"/>
      <c r="C8" s="772"/>
      <c r="D8" s="763"/>
      <c r="E8" s="763"/>
      <c r="F8" s="763"/>
      <c r="G8" s="763"/>
      <c r="H8" s="763"/>
      <c r="I8" s="763"/>
      <c r="J8" s="763"/>
      <c r="K8" s="763"/>
      <c r="L8" s="763"/>
      <c r="M8" s="771"/>
      <c r="N8" s="763"/>
      <c r="O8" s="773"/>
      <c r="P8" s="773"/>
      <c r="Q8" s="770"/>
      <c r="S8" s="430"/>
      <c r="T8" s="432"/>
      <c r="U8" s="432"/>
      <c r="V8" s="432"/>
      <c r="W8" s="432"/>
      <c r="X8" s="432"/>
      <c r="Y8" s="432"/>
      <c r="Z8" s="432"/>
      <c r="AA8" s="432"/>
      <c r="AB8" s="432"/>
      <c r="AC8" s="432"/>
      <c r="AD8" s="432"/>
      <c r="AE8" s="432"/>
      <c r="AF8" s="433"/>
    </row>
    <row r="9" spans="2:32" s="777" customFormat="1" ht="30" customHeight="1">
      <c r="B9" s="774"/>
      <c r="C9" s="775" t="s">
        <v>2</v>
      </c>
      <c r="D9" s="1121" t="str">
        <f>Entidad</f>
        <v>SPET, Turismo de Tenerife, S.A.</v>
      </c>
      <c r="E9" s="1121"/>
      <c r="F9" s="1121"/>
      <c r="G9" s="1121"/>
      <c r="H9" s="1121"/>
      <c r="I9" s="1121"/>
      <c r="J9" s="1121"/>
      <c r="K9" s="1121"/>
      <c r="L9" s="1121"/>
      <c r="M9" s="1121"/>
      <c r="N9" s="1121"/>
      <c r="O9" s="1121"/>
      <c r="P9" s="752"/>
      <c r="Q9" s="776"/>
      <c r="S9" s="434"/>
      <c r="T9" s="435"/>
      <c r="U9" s="435"/>
      <c r="V9" s="435"/>
      <c r="W9" s="435"/>
      <c r="X9" s="435"/>
      <c r="Y9" s="435"/>
      <c r="Z9" s="435"/>
      <c r="AA9" s="435"/>
      <c r="AB9" s="435"/>
      <c r="AC9" s="435"/>
      <c r="AD9" s="435"/>
      <c r="AE9" s="435"/>
      <c r="AF9" s="436"/>
    </row>
    <row r="10" spans="2:32" ht="7.35" customHeight="1">
      <c r="B10" s="768"/>
      <c r="C10" s="763"/>
      <c r="D10" s="763"/>
      <c r="E10" s="763"/>
      <c r="F10" s="763"/>
      <c r="G10" s="763"/>
      <c r="H10" s="763"/>
      <c r="I10" s="771"/>
      <c r="J10" s="763"/>
      <c r="K10" s="763"/>
      <c r="L10" s="763"/>
      <c r="M10" s="763"/>
      <c r="N10" s="763"/>
      <c r="O10" s="763"/>
      <c r="P10" s="763"/>
      <c r="Q10" s="770"/>
      <c r="S10" s="430"/>
      <c r="T10" s="432"/>
      <c r="U10" s="432"/>
      <c r="V10" s="432"/>
      <c r="W10" s="432"/>
      <c r="X10" s="432"/>
      <c r="Y10" s="432"/>
      <c r="Z10" s="432"/>
      <c r="AA10" s="432"/>
      <c r="AB10" s="432"/>
      <c r="AC10" s="432"/>
      <c r="AD10" s="432"/>
      <c r="AE10" s="432"/>
      <c r="AF10" s="433"/>
    </row>
    <row r="11" spans="2:32" s="781" customFormat="1" ht="30" customHeight="1">
      <c r="B11" s="778"/>
      <c r="C11" s="779" t="s">
        <v>83</v>
      </c>
      <c r="D11" s="779"/>
      <c r="E11" s="779"/>
      <c r="F11" s="779"/>
      <c r="G11" s="779"/>
      <c r="H11" s="779"/>
      <c r="I11" s="779"/>
      <c r="J11" s="779"/>
      <c r="K11" s="779"/>
      <c r="L11" s="779"/>
      <c r="M11" s="779"/>
      <c r="N11" s="779"/>
      <c r="O11" s="779"/>
      <c r="P11" s="779"/>
      <c r="Q11" s="780"/>
      <c r="S11" s="437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438"/>
      <c r="AE11" s="438"/>
      <c r="AF11" s="439"/>
    </row>
    <row r="12" spans="2:32" ht="23.1" customHeight="1">
      <c r="B12" s="768"/>
      <c r="C12" s="763"/>
      <c r="D12" s="763"/>
      <c r="E12" s="763"/>
      <c r="F12" s="763"/>
      <c r="G12" s="763"/>
      <c r="H12" s="763"/>
      <c r="I12" s="763"/>
      <c r="J12" s="763"/>
      <c r="K12" s="763"/>
      <c r="L12" s="763"/>
      <c r="M12" s="763"/>
      <c r="N12" s="763"/>
      <c r="O12" s="763"/>
      <c r="P12" s="763"/>
      <c r="Q12" s="770"/>
      <c r="S12" s="437"/>
      <c r="T12" s="438"/>
      <c r="U12" s="438"/>
      <c r="V12" s="438"/>
      <c r="W12" s="438"/>
      <c r="X12" s="438"/>
      <c r="Y12" s="438"/>
      <c r="Z12" s="438"/>
      <c r="AA12" s="438"/>
      <c r="AB12" s="438"/>
      <c r="AC12" s="438"/>
      <c r="AD12" s="438"/>
      <c r="AE12" s="438"/>
      <c r="AF12" s="439"/>
    </row>
    <row r="13" spans="2:32" ht="23.1" customHeight="1">
      <c r="B13" s="768"/>
      <c r="C13" s="782" t="s">
        <v>761</v>
      </c>
      <c r="D13" s="782"/>
      <c r="E13" s="782"/>
      <c r="F13" s="782"/>
      <c r="G13" s="782"/>
      <c r="H13" s="782"/>
      <c r="I13" s="782"/>
      <c r="J13" s="782"/>
      <c r="K13" s="782"/>
      <c r="L13" s="782"/>
      <c r="M13" s="782"/>
      <c r="N13" s="782"/>
      <c r="O13" s="782"/>
      <c r="P13" s="782"/>
      <c r="Q13" s="770"/>
      <c r="S13" s="430"/>
      <c r="T13" s="432"/>
      <c r="U13" s="432"/>
      <c r="V13" s="432"/>
      <c r="W13" s="432"/>
      <c r="X13" s="432"/>
      <c r="Y13" s="432"/>
      <c r="Z13" s="432"/>
      <c r="AA13" s="432"/>
      <c r="AB13" s="432"/>
      <c r="AC13" s="432"/>
      <c r="AD13" s="432"/>
      <c r="AE13" s="432"/>
      <c r="AF13" s="433"/>
    </row>
    <row r="14" spans="2:32" ht="23.1" customHeight="1">
      <c r="B14" s="768"/>
      <c r="C14" s="772"/>
      <c r="D14" s="772"/>
      <c r="E14" s="772"/>
      <c r="F14" s="772"/>
      <c r="G14" s="772"/>
      <c r="H14" s="772"/>
      <c r="I14" s="772"/>
      <c r="J14" s="772"/>
      <c r="K14" s="772"/>
      <c r="L14" s="772"/>
      <c r="M14" s="772"/>
      <c r="N14" s="772"/>
      <c r="O14" s="772"/>
      <c r="P14" s="772"/>
      <c r="Q14" s="770"/>
      <c r="S14" s="430"/>
      <c r="T14" s="432"/>
      <c r="U14" s="432"/>
      <c r="V14" s="432"/>
      <c r="W14" s="432"/>
      <c r="X14" s="432"/>
      <c r="Y14" s="432"/>
      <c r="Z14" s="432"/>
      <c r="AA14" s="432"/>
      <c r="AB14" s="432"/>
      <c r="AC14" s="432"/>
      <c r="AD14" s="432"/>
      <c r="AE14" s="432"/>
      <c r="AF14" s="433"/>
    </row>
    <row r="15" spans="2:32" ht="23.1" customHeight="1">
      <c r="B15" s="768"/>
      <c r="C15" s="763"/>
      <c r="D15" s="763"/>
      <c r="E15" s="763"/>
      <c r="F15" s="1124" t="s">
        <v>760</v>
      </c>
      <c r="G15" s="1124"/>
      <c r="H15" s="1124"/>
      <c r="I15" s="783">
        <f>ejercicio-2</f>
        <v>2016</v>
      </c>
      <c r="J15" s="784"/>
      <c r="K15" s="763"/>
      <c r="L15" s="1124" t="s">
        <v>759</v>
      </c>
      <c r="M15" s="1124"/>
      <c r="N15" s="1124"/>
      <c r="O15" s="785">
        <f>ejercicio-1</f>
        <v>2017</v>
      </c>
      <c r="P15" s="786"/>
      <c r="Q15" s="770"/>
      <c r="S15" s="430"/>
      <c r="T15" s="432"/>
      <c r="U15" s="432"/>
      <c r="V15" s="432"/>
      <c r="W15" s="432"/>
      <c r="X15" s="432"/>
      <c r="Y15" s="432"/>
      <c r="Z15" s="432"/>
      <c r="AA15" s="432"/>
      <c r="AB15" s="432"/>
      <c r="AC15" s="432"/>
      <c r="AD15" s="432"/>
      <c r="AE15" s="432"/>
      <c r="AF15" s="433"/>
    </row>
    <row r="16" spans="2:32" s="794" customFormat="1" ht="51" customHeight="1">
      <c r="B16" s="787"/>
      <c r="C16" s="788" t="s">
        <v>20</v>
      </c>
      <c r="D16" s="788"/>
      <c r="E16" s="789" t="s">
        <v>21</v>
      </c>
      <c r="F16" s="789" t="s">
        <v>22</v>
      </c>
      <c r="G16" s="789" t="s">
        <v>756</v>
      </c>
      <c r="H16" s="790" t="s">
        <v>755</v>
      </c>
      <c r="I16" s="789" t="s">
        <v>763</v>
      </c>
      <c r="J16" s="789" t="s">
        <v>764</v>
      </c>
      <c r="K16" s="789"/>
      <c r="L16" s="791" t="s">
        <v>766</v>
      </c>
      <c r="M16" s="791" t="s">
        <v>24</v>
      </c>
      <c r="N16" s="791" t="s">
        <v>767</v>
      </c>
      <c r="O16" s="791" t="s">
        <v>26</v>
      </c>
      <c r="P16" s="792" t="s">
        <v>585</v>
      </c>
      <c r="Q16" s="793"/>
      <c r="S16" s="430"/>
      <c r="T16" s="432"/>
      <c r="U16" s="432"/>
      <c r="V16" s="432"/>
      <c r="W16" s="432"/>
      <c r="X16" s="432"/>
      <c r="Y16" s="432"/>
      <c r="Z16" s="432"/>
      <c r="AA16" s="432"/>
      <c r="AB16" s="432"/>
      <c r="AC16" s="432"/>
      <c r="AD16" s="432"/>
      <c r="AE16" s="432"/>
      <c r="AF16" s="433"/>
    </row>
    <row r="17" spans="2:32" ht="23.1" customHeight="1">
      <c r="B17" s="768"/>
      <c r="C17" s="1051" t="s">
        <v>77</v>
      </c>
      <c r="D17" s="463"/>
      <c r="E17" s="805"/>
      <c r="F17" s="1053">
        <v>0.91300000000000003</v>
      </c>
      <c r="G17" s="1055">
        <v>210</v>
      </c>
      <c r="H17" s="803" t="s">
        <v>947</v>
      </c>
      <c r="I17" s="465">
        <v>631062.6</v>
      </c>
      <c r="J17" s="465">
        <f>G17/230*1035740.49</f>
        <v>945676.09956521727</v>
      </c>
      <c r="K17" s="465"/>
      <c r="L17" s="465">
        <v>0</v>
      </c>
      <c r="M17" s="465">
        <v>0</v>
      </c>
      <c r="N17" s="465">
        <v>0</v>
      </c>
      <c r="O17" s="465">
        <v>0</v>
      </c>
      <c r="P17" s="465"/>
      <c r="Q17" s="770"/>
      <c r="S17" s="430"/>
      <c r="T17" s="432"/>
      <c r="U17" s="432"/>
      <c r="V17" s="432"/>
      <c r="W17" s="432"/>
      <c r="X17" s="432"/>
      <c r="Y17" s="432"/>
      <c r="Z17" s="432"/>
      <c r="AA17" s="432"/>
      <c r="AB17" s="432"/>
      <c r="AC17" s="432"/>
      <c r="AD17" s="432"/>
      <c r="AE17" s="432"/>
      <c r="AF17" s="433"/>
    </row>
    <row r="18" spans="2:32" ht="23.1" customHeight="1">
      <c r="B18" s="768"/>
      <c r="C18" s="1051" t="s">
        <v>898</v>
      </c>
      <c r="D18" s="466"/>
      <c r="E18" s="806"/>
      <c r="F18" s="1054">
        <v>2.1739130434782612E-2</v>
      </c>
      <c r="G18" s="1056">
        <v>5</v>
      </c>
      <c r="H18" s="804" t="s">
        <v>912</v>
      </c>
      <c r="I18" s="468">
        <v>15025.3</v>
      </c>
      <c r="J18" s="468">
        <f>G18/230*1035740.49</f>
        <v>22516.097608695651</v>
      </c>
      <c r="K18" s="468"/>
      <c r="L18" s="468">
        <v>0</v>
      </c>
      <c r="M18" s="468">
        <v>0</v>
      </c>
      <c r="N18" s="468">
        <v>0</v>
      </c>
      <c r="O18" s="468">
        <v>0</v>
      </c>
      <c r="P18" s="468"/>
      <c r="Q18" s="770"/>
      <c r="S18" s="430"/>
      <c r="T18" s="432"/>
      <c r="U18" s="432"/>
      <c r="V18" s="432"/>
      <c r="W18" s="432"/>
      <c r="X18" s="432"/>
      <c r="Y18" s="432"/>
      <c r="Z18" s="432"/>
      <c r="AA18" s="432"/>
      <c r="AB18" s="432"/>
      <c r="AC18" s="432"/>
      <c r="AD18" s="432"/>
      <c r="AE18" s="432"/>
      <c r="AF18" s="433"/>
    </row>
    <row r="19" spans="2:32" ht="23.1" customHeight="1">
      <c r="B19" s="768"/>
      <c r="C19" s="1051" t="s">
        <v>899</v>
      </c>
      <c r="D19" s="466"/>
      <c r="E19" s="806"/>
      <c r="F19" s="1054">
        <v>2.1739130434782612E-2</v>
      </c>
      <c r="G19" s="1056">
        <v>5</v>
      </c>
      <c r="H19" s="804" t="s">
        <v>912</v>
      </c>
      <c r="I19" s="468">
        <v>15025.3</v>
      </c>
      <c r="J19" s="468">
        <f t="shared" ref="J19:J27" si="0">G19/230*1035740.49</f>
        <v>22516.097608695651</v>
      </c>
      <c r="K19" s="468"/>
      <c r="L19" s="468">
        <v>0</v>
      </c>
      <c r="M19" s="468">
        <v>0</v>
      </c>
      <c r="N19" s="468">
        <v>0</v>
      </c>
      <c r="O19" s="468">
        <v>0</v>
      </c>
      <c r="P19" s="468"/>
      <c r="Q19" s="770"/>
      <c r="S19" s="430"/>
      <c r="T19" s="432"/>
      <c r="U19" s="432"/>
      <c r="V19" s="432"/>
      <c r="W19" s="432"/>
      <c r="X19" s="432"/>
      <c r="Y19" s="432"/>
      <c r="Z19" s="432"/>
      <c r="AA19" s="432"/>
      <c r="AB19" s="432"/>
      <c r="AC19" s="432"/>
      <c r="AD19" s="432"/>
      <c r="AE19" s="432"/>
      <c r="AF19" s="433"/>
    </row>
    <row r="20" spans="2:32" ht="23.1" customHeight="1">
      <c r="B20" s="768"/>
      <c r="C20" s="1051" t="s">
        <v>900</v>
      </c>
      <c r="D20" s="466"/>
      <c r="E20" s="806"/>
      <c r="F20" s="1054">
        <v>8.6956521739130436E-3</v>
      </c>
      <c r="G20" s="1056">
        <v>2</v>
      </c>
      <c r="H20" s="804" t="s">
        <v>912</v>
      </c>
      <c r="I20" s="468">
        <v>6010.12</v>
      </c>
      <c r="J20" s="468">
        <f t="shared" si="0"/>
        <v>9006.4390434782617</v>
      </c>
      <c r="K20" s="468"/>
      <c r="L20" s="468">
        <v>0</v>
      </c>
      <c r="M20" s="468">
        <v>0</v>
      </c>
      <c r="N20" s="468">
        <v>0</v>
      </c>
      <c r="O20" s="468">
        <v>0</v>
      </c>
      <c r="P20" s="468"/>
      <c r="Q20" s="770"/>
      <c r="S20" s="430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3"/>
    </row>
    <row r="21" spans="2:32" ht="23.1" customHeight="1">
      <c r="B21" s="768"/>
      <c r="C21" s="1051" t="s">
        <v>901</v>
      </c>
      <c r="D21" s="466"/>
      <c r="E21" s="806"/>
      <c r="F21" s="1054">
        <v>8.6956521739130436E-3</v>
      </c>
      <c r="G21" s="1056">
        <v>2</v>
      </c>
      <c r="H21" s="804" t="s">
        <v>912</v>
      </c>
      <c r="I21" s="468">
        <v>6010.12</v>
      </c>
      <c r="J21" s="468">
        <f t="shared" si="0"/>
        <v>9006.4390434782617</v>
      </c>
      <c r="K21" s="468"/>
      <c r="L21" s="468">
        <v>0</v>
      </c>
      <c r="M21" s="468">
        <v>0</v>
      </c>
      <c r="N21" s="468">
        <v>0</v>
      </c>
      <c r="O21" s="468">
        <v>0</v>
      </c>
      <c r="P21" s="468"/>
      <c r="Q21" s="770"/>
      <c r="S21" s="430"/>
      <c r="T21" s="432"/>
      <c r="U21" s="432"/>
      <c r="V21" s="432"/>
      <c r="W21" s="432"/>
      <c r="X21" s="432"/>
      <c r="Y21" s="432"/>
      <c r="Z21" s="432"/>
      <c r="AA21" s="432"/>
      <c r="AB21" s="432"/>
      <c r="AC21" s="432"/>
      <c r="AD21" s="432"/>
      <c r="AE21" s="432"/>
      <c r="AF21" s="433"/>
    </row>
    <row r="22" spans="2:32" ht="23.1" customHeight="1">
      <c r="B22" s="768"/>
      <c r="C22" s="1051" t="s">
        <v>902</v>
      </c>
      <c r="D22" s="466"/>
      <c r="E22" s="806"/>
      <c r="F22" s="1054">
        <v>4.3478260869565218E-3</v>
      </c>
      <c r="G22" s="1056">
        <v>1</v>
      </c>
      <c r="H22" s="804" t="s">
        <v>912</v>
      </c>
      <c r="I22" s="468">
        <v>3005.06</v>
      </c>
      <c r="J22" s="468">
        <f t="shared" si="0"/>
        <v>4503.2195217391309</v>
      </c>
      <c r="K22" s="468"/>
      <c r="L22" s="468">
        <v>0</v>
      </c>
      <c r="M22" s="468">
        <v>0</v>
      </c>
      <c r="N22" s="468">
        <v>0</v>
      </c>
      <c r="O22" s="468">
        <v>0</v>
      </c>
      <c r="P22" s="468"/>
      <c r="Q22" s="770"/>
      <c r="S22" s="430"/>
      <c r="T22" s="432"/>
      <c r="U22" s="432"/>
      <c r="V22" s="432"/>
      <c r="W22" s="432"/>
      <c r="X22" s="432"/>
      <c r="Y22" s="432"/>
      <c r="Z22" s="432"/>
      <c r="AA22" s="432"/>
      <c r="AB22" s="432"/>
      <c r="AC22" s="432"/>
      <c r="AD22" s="432"/>
      <c r="AE22" s="432"/>
      <c r="AF22" s="433"/>
    </row>
    <row r="23" spans="2:32" ht="23.1" customHeight="1">
      <c r="B23" s="768"/>
      <c r="C23" s="1051" t="s">
        <v>903</v>
      </c>
      <c r="D23" s="466"/>
      <c r="E23" s="806"/>
      <c r="F23" s="1054">
        <v>4.3478260869565218E-3</v>
      </c>
      <c r="G23" s="1056">
        <v>1</v>
      </c>
      <c r="H23" s="804" t="s">
        <v>912</v>
      </c>
      <c r="I23" s="468">
        <v>3005.06</v>
      </c>
      <c r="J23" s="468">
        <f t="shared" si="0"/>
        <v>4503.2195217391309</v>
      </c>
      <c r="K23" s="468"/>
      <c r="L23" s="468">
        <v>0</v>
      </c>
      <c r="M23" s="468">
        <v>0</v>
      </c>
      <c r="N23" s="468">
        <v>0</v>
      </c>
      <c r="O23" s="468">
        <v>0</v>
      </c>
      <c r="P23" s="468"/>
      <c r="Q23" s="770"/>
      <c r="S23" s="430"/>
      <c r="T23" s="432"/>
      <c r="U23" s="432"/>
      <c r="V23" s="432"/>
      <c r="W23" s="432"/>
      <c r="X23" s="432"/>
      <c r="Y23" s="432"/>
      <c r="Z23" s="432"/>
      <c r="AA23" s="432"/>
      <c r="AB23" s="432"/>
      <c r="AC23" s="432"/>
      <c r="AD23" s="432"/>
      <c r="AE23" s="432"/>
      <c r="AF23" s="433"/>
    </row>
    <row r="24" spans="2:32" ht="23.1" customHeight="1">
      <c r="B24" s="768"/>
      <c r="C24" s="1051" t="s">
        <v>904</v>
      </c>
      <c r="D24" s="466"/>
      <c r="E24" s="806"/>
      <c r="F24" s="1054">
        <v>4.3478260869565218E-3</v>
      </c>
      <c r="G24" s="1056">
        <v>1</v>
      </c>
      <c r="H24" s="804" t="s">
        <v>912</v>
      </c>
      <c r="I24" s="468">
        <v>3005.06</v>
      </c>
      <c r="J24" s="468">
        <f t="shared" si="0"/>
        <v>4503.2195217391309</v>
      </c>
      <c r="K24" s="468"/>
      <c r="L24" s="468">
        <v>0</v>
      </c>
      <c r="M24" s="468">
        <v>0</v>
      </c>
      <c r="N24" s="468">
        <v>0</v>
      </c>
      <c r="O24" s="468">
        <v>0</v>
      </c>
      <c r="P24" s="468"/>
      <c r="Q24" s="770"/>
      <c r="S24" s="430"/>
      <c r="T24" s="432"/>
      <c r="U24" s="432"/>
      <c r="V24" s="432"/>
      <c r="W24" s="432"/>
      <c r="X24" s="432"/>
      <c r="Y24" s="432"/>
      <c r="Z24" s="432"/>
      <c r="AA24" s="432"/>
      <c r="AB24" s="432"/>
      <c r="AC24" s="432"/>
      <c r="AD24" s="432"/>
      <c r="AE24" s="432"/>
      <c r="AF24" s="433"/>
    </row>
    <row r="25" spans="2:32" ht="23.1" customHeight="1">
      <c r="B25" s="768"/>
      <c r="C25" s="1051" t="s">
        <v>905</v>
      </c>
      <c r="D25" s="466"/>
      <c r="E25" s="806"/>
      <c r="F25" s="1054">
        <v>4.3478260869565218E-3</v>
      </c>
      <c r="G25" s="1056">
        <v>1</v>
      </c>
      <c r="H25" s="804" t="s">
        <v>912</v>
      </c>
      <c r="I25" s="468">
        <v>3005.06</v>
      </c>
      <c r="J25" s="468">
        <f t="shared" si="0"/>
        <v>4503.2195217391309</v>
      </c>
      <c r="K25" s="468"/>
      <c r="L25" s="468">
        <v>0</v>
      </c>
      <c r="M25" s="468">
        <v>0</v>
      </c>
      <c r="N25" s="468">
        <v>0</v>
      </c>
      <c r="O25" s="468">
        <v>0</v>
      </c>
      <c r="P25" s="468"/>
      <c r="Q25" s="770"/>
      <c r="S25" s="430"/>
      <c r="T25" s="432"/>
      <c r="U25" s="432"/>
      <c r="V25" s="432"/>
      <c r="W25" s="432"/>
      <c r="X25" s="432"/>
      <c r="Y25" s="432"/>
      <c r="Z25" s="432"/>
      <c r="AA25" s="432"/>
      <c r="AB25" s="432"/>
      <c r="AC25" s="432"/>
      <c r="AD25" s="432"/>
      <c r="AE25" s="432"/>
      <c r="AF25" s="433"/>
    </row>
    <row r="26" spans="2:32" ht="23.1" customHeight="1">
      <c r="B26" s="768"/>
      <c r="C26" s="1051" t="s">
        <v>906</v>
      </c>
      <c r="D26" s="466"/>
      <c r="E26" s="806"/>
      <c r="F26" s="1054">
        <v>4.3478260869565218E-3</v>
      </c>
      <c r="G26" s="1056">
        <v>1</v>
      </c>
      <c r="H26" s="804" t="s">
        <v>912</v>
      </c>
      <c r="I26" s="468">
        <v>3005.06</v>
      </c>
      <c r="J26" s="468">
        <f t="shared" si="0"/>
        <v>4503.2195217391309</v>
      </c>
      <c r="K26" s="468"/>
      <c r="L26" s="468">
        <v>0</v>
      </c>
      <c r="M26" s="468">
        <v>0</v>
      </c>
      <c r="N26" s="468">
        <v>0</v>
      </c>
      <c r="O26" s="468">
        <v>0</v>
      </c>
      <c r="P26" s="468"/>
      <c r="Q26" s="770"/>
      <c r="S26" s="430"/>
      <c r="T26" s="432"/>
      <c r="U26" s="432"/>
      <c r="V26" s="432"/>
      <c r="W26" s="432"/>
      <c r="X26" s="432"/>
      <c r="Y26" s="432"/>
      <c r="Z26" s="432"/>
      <c r="AA26" s="432"/>
      <c r="AB26" s="432"/>
      <c r="AC26" s="432"/>
      <c r="AD26" s="432"/>
      <c r="AE26" s="432"/>
      <c r="AF26" s="433"/>
    </row>
    <row r="27" spans="2:32" ht="23.1" customHeight="1">
      <c r="B27" s="768"/>
      <c r="C27" s="1051" t="s">
        <v>907</v>
      </c>
      <c r="D27" s="466"/>
      <c r="E27" s="806"/>
      <c r="F27" s="1054">
        <v>4.3478260869565218E-3</v>
      </c>
      <c r="G27" s="1056">
        <v>1</v>
      </c>
      <c r="H27" s="804" t="s">
        <v>912</v>
      </c>
      <c r="I27" s="468">
        <v>3005.06</v>
      </c>
      <c r="J27" s="468">
        <f t="shared" si="0"/>
        <v>4503.2195217391309</v>
      </c>
      <c r="K27" s="468"/>
      <c r="L27" s="468">
        <v>0</v>
      </c>
      <c r="M27" s="468">
        <v>0</v>
      </c>
      <c r="N27" s="468">
        <v>0</v>
      </c>
      <c r="O27" s="468">
        <v>0</v>
      </c>
      <c r="P27" s="468"/>
      <c r="Q27" s="770"/>
      <c r="S27" s="430"/>
      <c r="T27" s="432"/>
      <c r="U27" s="432"/>
      <c r="V27" s="432"/>
      <c r="W27" s="432"/>
      <c r="X27" s="432"/>
      <c r="Y27" s="432"/>
      <c r="Z27" s="432"/>
      <c r="AA27" s="432"/>
      <c r="AB27" s="432"/>
      <c r="AC27" s="432"/>
      <c r="AD27" s="432"/>
      <c r="AE27" s="432"/>
      <c r="AF27" s="433"/>
    </row>
    <row r="28" spans="2:32" ht="23.1" customHeight="1">
      <c r="B28" s="768"/>
      <c r="C28" s="763"/>
      <c r="D28" s="763"/>
      <c r="E28" s="763"/>
      <c r="F28" s="763"/>
      <c r="G28" s="763"/>
      <c r="H28" s="763"/>
      <c r="I28" s="763"/>
      <c r="J28" s="763"/>
      <c r="K28" s="763"/>
      <c r="L28" s="763"/>
      <c r="M28" s="763"/>
      <c r="N28" s="763"/>
      <c r="O28" s="763"/>
      <c r="P28" s="763"/>
      <c r="Q28" s="770"/>
      <c r="S28" s="430"/>
      <c r="T28" s="432"/>
      <c r="U28" s="432"/>
      <c r="V28" s="432"/>
      <c r="W28" s="432"/>
      <c r="X28" s="432"/>
      <c r="Y28" s="432"/>
      <c r="Z28" s="432"/>
      <c r="AA28" s="432"/>
      <c r="AB28" s="432"/>
      <c r="AC28" s="432"/>
      <c r="AD28" s="432"/>
      <c r="AE28" s="432"/>
      <c r="AF28" s="433"/>
    </row>
    <row r="29" spans="2:32" ht="23.1" customHeight="1">
      <c r="B29" s="768"/>
      <c r="C29" s="782" t="s">
        <v>27</v>
      </c>
      <c r="D29" s="782"/>
      <c r="E29" s="782"/>
      <c r="F29" s="782"/>
      <c r="G29" s="782"/>
      <c r="H29" s="782"/>
      <c r="I29" s="782"/>
      <c r="J29" s="782"/>
      <c r="K29" s="782"/>
      <c r="L29" s="782"/>
      <c r="M29" s="782"/>
      <c r="N29" s="782"/>
      <c r="O29" s="782"/>
      <c r="P29" s="782"/>
      <c r="Q29" s="770"/>
      <c r="S29" s="430"/>
      <c r="T29" s="432"/>
      <c r="U29" s="432"/>
      <c r="V29" s="432"/>
      <c r="W29" s="432"/>
      <c r="X29" s="432"/>
      <c r="Y29" s="432"/>
      <c r="Z29" s="432"/>
      <c r="AA29" s="432"/>
      <c r="AB29" s="432"/>
      <c r="AC29" s="432"/>
      <c r="AD29" s="432"/>
      <c r="AE29" s="432"/>
      <c r="AF29" s="433"/>
    </row>
    <row r="30" spans="2:32" ht="23.1" customHeight="1">
      <c r="B30" s="768"/>
      <c r="C30" s="772"/>
      <c r="D30" s="772"/>
      <c r="E30" s="772"/>
      <c r="F30" s="772"/>
      <c r="G30" s="772"/>
      <c r="H30" s="772"/>
      <c r="I30" s="772"/>
      <c r="J30" s="772"/>
      <c r="K30" s="772"/>
      <c r="L30" s="772"/>
      <c r="M30" s="772"/>
      <c r="N30" s="772"/>
      <c r="O30" s="772"/>
      <c r="P30" s="772"/>
      <c r="Q30" s="770"/>
      <c r="S30" s="440"/>
      <c r="T30" s="441"/>
      <c r="U30" s="441"/>
      <c r="V30" s="441"/>
      <c r="W30" s="441"/>
      <c r="X30" s="441"/>
      <c r="Y30" s="441"/>
      <c r="Z30" s="441"/>
      <c r="AA30" s="441"/>
      <c r="AB30" s="441"/>
      <c r="AC30" s="441"/>
      <c r="AD30" s="441"/>
      <c r="AE30" s="441"/>
      <c r="AF30" s="442"/>
    </row>
    <row r="31" spans="2:32" ht="23.1" customHeight="1">
      <c r="B31" s="768"/>
      <c r="C31" s="763"/>
      <c r="D31" s="763"/>
      <c r="E31" s="763"/>
      <c r="F31" s="1124" t="s">
        <v>760</v>
      </c>
      <c r="G31" s="1124"/>
      <c r="H31" s="1124"/>
      <c r="I31" s="783">
        <f>ejercicio-2</f>
        <v>2016</v>
      </c>
      <c r="J31" s="784"/>
      <c r="K31" s="763"/>
      <c r="L31" s="1125" t="s">
        <v>759</v>
      </c>
      <c r="M31" s="1125"/>
      <c r="N31" s="1125"/>
      <c r="O31" s="795">
        <f>ejercicio-1</f>
        <v>2017</v>
      </c>
      <c r="Q31" s="770"/>
      <c r="S31" s="440"/>
      <c r="T31" s="441"/>
      <c r="U31" s="441"/>
      <c r="V31" s="441"/>
      <c r="W31" s="441"/>
      <c r="X31" s="441"/>
      <c r="Y31" s="441"/>
      <c r="Z31" s="441"/>
      <c r="AA31" s="441"/>
      <c r="AB31" s="441"/>
      <c r="AC31" s="441"/>
      <c r="AD31" s="441"/>
      <c r="AE31" s="441"/>
      <c r="AF31" s="442"/>
    </row>
    <row r="32" spans="2:32" ht="44.1" customHeight="1">
      <c r="B32" s="768"/>
      <c r="C32" s="788" t="s">
        <v>20</v>
      </c>
      <c r="D32" s="788"/>
      <c r="E32" s="789" t="s">
        <v>21</v>
      </c>
      <c r="F32" s="789" t="s">
        <v>22</v>
      </c>
      <c r="G32" s="789" t="s">
        <v>756</v>
      </c>
      <c r="H32" s="790" t="s">
        <v>755</v>
      </c>
      <c r="I32" s="789" t="s">
        <v>763</v>
      </c>
      <c r="J32" s="789" t="s">
        <v>28</v>
      </c>
      <c r="K32" s="789"/>
      <c r="L32" s="789" t="s">
        <v>23</v>
      </c>
      <c r="M32" s="789" t="s">
        <v>24</v>
      </c>
      <c r="N32" s="789" t="s">
        <v>25</v>
      </c>
      <c r="O32" s="789" t="s">
        <v>26</v>
      </c>
      <c r="P32" s="792" t="s">
        <v>585</v>
      </c>
      <c r="Q32" s="770"/>
      <c r="S32" s="430"/>
      <c r="T32" s="432"/>
      <c r="U32" s="432"/>
      <c r="V32" s="432"/>
      <c r="W32" s="432"/>
      <c r="X32" s="432"/>
      <c r="Y32" s="432"/>
      <c r="Z32" s="432"/>
      <c r="AA32" s="432"/>
      <c r="AB32" s="432"/>
      <c r="AC32" s="432"/>
      <c r="AD32" s="432"/>
      <c r="AE32" s="432"/>
      <c r="AF32" s="433"/>
    </row>
    <row r="33" spans="2:32" ht="23.1" customHeight="1">
      <c r="B33" s="768"/>
      <c r="C33" s="463"/>
      <c r="D33" s="463"/>
      <c r="E33" s="805"/>
      <c r="F33" s="575"/>
      <c r="G33" s="803"/>
      <c r="H33" s="464"/>
      <c r="I33" s="465"/>
      <c r="J33" s="465"/>
      <c r="K33" s="465"/>
      <c r="L33" s="465"/>
      <c r="M33" s="465"/>
      <c r="N33" s="465"/>
      <c r="O33" s="465"/>
      <c r="P33" s="465"/>
      <c r="Q33" s="770"/>
      <c r="S33" s="430"/>
      <c r="T33" s="432"/>
      <c r="U33" s="432"/>
      <c r="V33" s="432"/>
      <c r="W33" s="432"/>
      <c r="X33" s="432"/>
      <c r="Y33" s="432"/>
      <c r="Z33" s="432"/>
      <c r="AA33" s="432"/>
      <c r="AB33" s="432"/>
      <c r="AC33" s="432"/>
      <c r="AD33" s="432"/>
      <c r="AE33" s="432"/>
      <c r="AF33" s="433"/>
    </row>
    <row r="34" spans="2:32" ht="23.1" customHeight="1">
      <c r="B34" s="768"/>
      <c r="C34" s="466"/>
      <c r="D34" s="466"/>
      <c r="E34" s="806"/>
      <c r="F34" s="576"/>
      <c r="G34" s="804"/>
      <c r="H34" s="467"/>
      <c r="I34" s="468"/>
      <c r="J34" s="468"/>
      <c r="K34" s="468"/>
      <c r="L34" s="468"/>
      <c r="M34" s="468"/>
      <c r="N34" s="468"/>
      <c r="O34" s="468"/>
      <c r="P34" s="468"/>
      <c r="Q34" s="770"/>
      <c r="S34" s="430"/>
      <c r="T34" s="432"/>
      <c r="U34" s="432"/>
      <c r="V34" s="432"/>
      <c r="W34" s="432"/>
      <c r="X34" s="432"/>
      <c r="Y34" s="432"/>
      <c r="Z34" s="432"/>
      <c r="AA34" s="432"/>
      <c r="AB34" s="432"/>
      <c r="AC34" s="432"/>
      <c r="AD34" s="432"/>
      <c r="AE34" s="432"/>
      <c r="AF34" s="433"/>
    </row>
    <row r="35" spans="2:32" ht="23.1" customHeight="1">
      <c r="B35" s="768"/>
      <c r="C35" s="466"/>
      <c r="D35" s="466"/>
      <c r="E35" s="806"/>
      <c r="F35" s="576"/>
      <c r="G35" s="804"/>
      <c r="H35" s="467"/>
      <c r="I35" s="468"/>
      <c r="J35" s="468"/>
      <c r="K35" s="468"/>
      <c r="L35" s="468"/>
      <c r="M35" s="468"/>
      <c r="N35" s="468"/>
      <c r="O35" s="468"/>
      <c r="P35" s="468"/>
      <c r="Q35" s="770"/>
      <c r="S35" s="430"/>
      <c r="T35" s="432"/>
      <c r="U35" s="432"/>
      <c r="V35" s="432"/>
      <c r="W35" s="432"/>
      <c r="X35" s="432"/>
      <c r="Y35" s="432"/>
      <c r="Z35" s="432"/>
      <c r="AA35" s="432"/>
      <c r="AB35" s="432"/>
      <c r="AC35" s="432"/>
      <c r="AD35" s="432"/>
      <c r="AE35" s="432"/>
      <c r="AF35" s="433"/>
    </row>
    <row r="36" spans="2:32" ht="23.1" customHeight="1">
      <c r="B36" s="768"/>
      <c r="C36" s="466"/>
      <c r="D36" s="466"/>
      <c r="E36" s="806"/>
      <c r="F36" s="576"/>
      <c r="G36" s="804"/>
      <c r="H36" s="467"/>
      <c r="I36" s="468"/>
      <c r="J36" s="468"/>
      <c r="K36" s="468"/>
      <c r="L36" s="468"/>
      <c r="M36" s="468"/>
      <c r="N36" s="468"/>
      <c r="O36" s="468"/>
      <c r="P36" s="468"/>
      <c r="Q36" s="770"/>
      <c r="S36" s="443"/>
      <c r="T36" s="444"/>
      <c r="U36" s="444"/>
      <c r="V36" s="444"/>
      <c r="W36" s="444"/>
      <c r="X36" s="444"/>
      <c r="Y36" s="444"/>
      <c r="Z36" s="444"/>
      <c r="AA36" s="444"/>
      <c r="AB36" s="444"/>
      <c r="AC36" s="444"/>
      <c r="AD36" s="444"/>
      <c r="AE36" s="444"/>
      <c r="AF36" s="445"/>
    </row>
    <row r="37" spans="2:32" ht="23.1" customHeight="1">
      <c r="B37" s="768"/>
      <c r="C37" s="466"/>
      <c r="D37" s="466"/>
      <c r="E37" s="806"/>
      <c r="F37" s="576"/>
      <c r="G37" s="804"/>
      <c r="H37" s="467"/>
      <c r="I37" s="468"/>
      <c r="J37" s="468"/>
      <c r="K37" s="468"/>
      <c r="L37" s="468"/>
      <c r="M37" s="468"/>
      <c r="N37" s="468"/>
      <c r="O37" s="468"/>
      <c r="P37" s="468"/>
      <c r="Q37" s="770"/>
      <c r="S37" s="443"/>
      <c r="T37" s="444"/>
      <c r="U37" s="444"/>
      <c r="V37" s="444"/>
      <c r="W37" s="444"/>
      <c r="X37" s="444"/>
      <c r="Y37" s="444"/>
      <c r="Z37" s="444"/>
      <c r="AA37" s="444"/>
      <c r="AB37" s="444"/>
      <c r="AC37" s="444"/>
      <c r="AD37" s="444"/>
      <c r="AE37" s="444"/>
      <c r="AF37" s="445"/>
    </row>
    <row r="38" spans="2:32" ht="23.1" customHeight="1">
      <c r="B38" s="768"/>
      <c r="C38" s="466"/>
      <c r="D38" s="466"/>
      <c r="E38" s="806"/>
      <c r="F38" s="576"/>
      <c r="G38" s="804"/>
      <c r="H38" s="467"/>
      <c r="I38" s="468"/>
      <c r="J38" s="468"/>
      <c r="K38" s="468"/>
      <c r="L38" s="468"/>
      <c r="M38" s="468"/>
      <c r="N38" s="468"/>
      <c r="O38" s="468"/>
      <c r="P38" s="468"/>
      <c r="Q38" s="770"/>
      <c r="S38" s="443"/>
      <c r="T38" s="444"/>
      <c r="U38" s="444"/>
      <c r="V38" s="444"/>
      <c r="W38" s="444"/>
      <c r="X38" s="444"/>
      <c r="Y38" s="444"/>
      <c r="Z38" s="444"/>
      <c r="AA38" s="444"/>
      <c r="AB38" s="444"/>
      <c r="AC38" s="444"/>
      <c r="AD38" s="444"/>
      <c r="AE38" s="444"/>
      <c r="AF38" s="445"/>
    </row>
    <row r="39" spans="2:32" ht="23.1" customHeight="1">
      <c r="B39" s="768"/>
      <c r="C39" s="466"/>
      <c r="D39" s="466"/>
      <c r="E39" s="806"/>
      <c r="F39" s="576"/>
      <c r="G39" s="804"/>
      <c r="H39" s="467"/>
      <c r="I39" s="468"/>
      <c r="J39" s="468"/>
      <c r="K39" s="468"/>
      <c r="L39" s="468"/>
      <c r="M39" s="468"/>
      <c r="N39" s="468"/>
      <c r="O39" s="468"/>
      <c r="P39" s="468"/>
      <c r="Q39" s="770"/>
      <c r="S39" s="443"/>
      <c r="T39" s="444"/>
      <c r="U39" s="444"/>
      <c r="V39" s="444"/>
      <c r="W39" s="444"/>
      <c r="X39" s="444"/>
      <c r="Y39" s="444"/>
      <c r="Z39" s="444"/>
      <c r="AA39" s="444"/>
      <c r="AB39" s="444"/>
      <c r="AC39" s="444"/>
      <c r="AD39" s="444"/>
      <c r="AE39" s="444"/>
      <c r="AF39" s="445"/>
    </row>
    <row r="40" spans="2:32" ht="23.1" customHeight="1">
      <c r="B40" s="768"/>
      <c r="C40" s="466"/>
      <c r="D40" s="466"/>
      <c r="E40" s="806"/>
      <c r="F40" s="576"/>
      <c r="G40" s="804"/>
      <c r="H40" s="467"/>
      <c r="I40" s="468"/>
      <c r="J40" s="468"/>
      <c r="K40" s="468"/>
      <c r="L40" s="468"/>
      <c r="M40" s="468"/>
      <c r="N40" s="468"/>
      <c r="O40" s="468"/>
      <c r="P40" s="468"/>
      <c r="Q40" s="770"/>
      <c r="S40" s="443"/>
      <c r="T40" s="444"/>
      <c r="U40" s="444"/>
      <c r="V40" s="444"/>
      <c r="W40" s="444"/>
      <c r="X40" s="444"/>
      <c r="Y40" s="444"/>
      <c r="Z40" s="444"/>
      <c r="AA40" s="444"/>
      <c r="AB40" s="444"/>
      <c r="AC40" s="444"/>
      <c r="AD40" s="444"/>
      <c r="AE40" s="444"/>
      <c r="AF40" s="445"/>
    </row>
    <row r="41" spans="2:32" ht="23.1" customHeight="1">
      <c r="B41" s="768"/>
      <c r="C41" s="466"/>
      <c r="D41" s="466"/>
      <c r="E41" s="806"/>
      <c r="F41" s="576"/>
      <c r="G41" s="804"/>
      <c r="H41" s="467"/>
      <c r="I41" s="468"/>
      <c r="J41" s="468"/>
      <c r="K41" s="468"/>
      <c r="L41" s="468"/>
      <c r="M41" s="468"/>
      <c r="N41" s="468"/>
      <c r="O41" s="468"/>
      <c r="P41" s="468"/>
      <c r="Q41" s="770"/>
      <c r="S41" s="443"/>
      <c r="T41" s="444"/>
      <c r="U41" s="444"/>
      <c r="V41" s="444"/>
      <c r="W41" s="444"/>
      <c r="X41" s="444"/>
      <c r="Y41" s="444"/>
      <c r="Z41" s="444"/>
      <c r="AA41" s="444"/>
      <c r="AB41" s="444"/>
      <c r="AC41" s="444"/>
      <c r="AD41" s="444"/>
      <c r="AE41" s="444"/>
      <c r="AF41" s="445"/>
    </row>
    <row r="42" spans="2:32" ht="23.1" customHeight="1">
      <c r="B42" s="768"/>
      <c r="C42" s="466"/>
      <c r="D42" s="466"/>
      <c r="E42" s="806"/>
      <c r="F42" s="576"/>
      <c r="G42" s="804"/>
      <c r="H42" s="467"/>
      <c r="I42" s="468"/>
      <c r="J42" s="468"/>
      <c r="K42" s="468"/>
      <c r="L42" s="468"/>
      <c r="M42" s="468"/>
      <c r="N42" s="468"/>
      <c r="O42" s="468"/>
      <c r="P42" s="468"/>
      <c r="Q42" s="770"/>
      <c r="S42" s="443"/>
      <c r="T42" s="444"/>
      <c r="U42" s="444"/>
      <c r="V42" s="444"/>
      <c r="W42" s="444"/>
      <c r="X42" s="444"/>
      <c r="Y42" s="444"/>
      <c r="Z42" s="444"/>
      <c r="AA42" s="444"/>
      <c r="AB42" s="444"/>
      <c r="AC42" s="444"/>
      <c r="AD42" s="444"/>
      <c r="AE42" s="444"/>
      <c r="AF42" s="445"/>
    </row>
    <row r="43" spans="2:32" ht="23.1" customHeight="1">
      <c r="B43" s="768"/>
      <c r="C43" s="466"/>
      <c r="D43" s="466"/>
      <c r="E43" s="806"/>
      <c r="F43" s="576"/>
      <c r="G43" s="804"/>
      <c r="H43" s="467"/>
      <c r="I43" s="468"/>
      <c r="J43" s="468"/>
      <c r="K43" s="468"/>
      <c r="L43" s="468"/>
      <c r="M43" s="468"/>
      <c r="N43" s="468"/>
      <c r="O43" s="468"/>
      <c r="P43" s="468"/>
      <c r="Q43" s="770"/>
      <c r="S43" s="443"/>
      <c r="T43" s="444"/>
      <c r="U43" s="444"/>
      <c r="V43" s="444"/>
      <c r="W43" s="444"/>
      <c r="X43" s="444"/>
      <c r="Y43" s="444"/>
      <c r="Z43" s="444"/>
      <c r="AA43" s="444"/>
      <c r="AB43" s="444"/>
      <c r="AC43" s="444"/>
      <c r="AD43" s="444"/>
      <c r="AE43" s="444"/>
      <c r="AF43" s="445"/>
    </row>
    <row r="44" spans="2:32" ht="23.1" customHeight="1">
      <c r="B44" s="768"/>
      <c r="C44" s="763"/>
      <c r="D44" s="763"/>
      <c r="E44" s="763"/>
      <c r="F44" s="763"/>
      <c r="G44" s="763"/>
      <c r="H44" s="763"/>
      <c r="I44" s="763"/>
      <c r="J44" s="763"/>
      <c r="K44" s="763"/>
      <c r="L44" s="763"/>
      <c r="M44" s="763"/>
      <c r="N44" s="763"/>
      <c r="O44" s="763"/>
      <c r="P44" s="763"/>
      <c r="Q44" s="770"/>
      <c r="S44" s="443"/>
      <c r="T44" s="444"/>
      <c r="U44" s="444"/>
      <c r="V44" s="444"/>
      <c r="W44" s="444"/>
      <c r="X44" s="444"/>
      <c r="Y44" s="444"/>
      <c r="Z44" s="444"/>
      <c r="AA44" s="444"/>
      <c r="AB44" s="444"/>
      <c r="AC44" s="444"/>
      <c r="AD44" s="444"/>
      <c r="AE44" s="444"/>
      <c r="AF44" s="445"/>
    </row>
    <row r="45" spans="2:32" ht="23.1" customHeight="1">
      <c r="B45" s="768"/>
      <c r="C45" s="782" t="s">
        <v>29</v>
      </c>
      <c r="D45" s="782"/>
      <c r="E45" s="782"/>
      <c r="F45" s="782"/>
      <c r="G45" s="782"/>
      <c r="H45" s="782"/>
      <c r="I45" s="782"/>
      <c r="J45" s="782"/>
      <c r="K45" s="782"/>
      <c r="L45" s="782"/>
      <c r="M45" s="782"/>
      <c r="N45" s="782"/>
      <c r="O45" s="782"/>
      <c r="P45" s="769"/>
      <c r="Q45" s="770"/>
      <c r="S45" s="443"/>
      <c r="T45" s="444"/>
      <c r="U45" s="444"/>
      <c r="V45" s="444"/>
      <c r="W45" s="444"/>
      <c r="X45" s="444"/>
      <c r="Y45" s="444"/>
      <c r="Z45" s="444"/>
      <c r="AA45" s="444"/>
      <c r="AB45" s="444"/>
      <c r="AC45" s="444"/>
      <c r="AD45" s="444"/>
      <c r="AE45" s="444"/>
      <c r="AF45" s="445"/>
    </row>
    <row r="46" spans="2:32" ht="23.1" customHeight="1">
      <c r="B46" s="768"/>
      <c r="C46" s="769"/>
      <c r="D46" s="769"/>
      <c r="E46" s="769"/>
      <c r="F46" s="769"/>
      <c r="G46" s="769"/>
      <c r="H46" s="769"/>
      <c r="I46" s="769"/>
      <c r="J46" s="769"/>
      <c r="K46" s="769"/>
      <c r="L46" s="769"/>
      <c r="M46" s="769"/>
      <c r="N46" s="769"/>
      <c r="O46" s="769"/>
      <c r="P46" s="769"/>
      <c r="Q46" s="770"/>
      <c r="S46" s="443"/>
      <c r="T46" s="444"/>
      <c r="U46" s="444"/>
      <c r="V46" s="444"/>
      <c r="W46" s="444"/>
      <c r="X46" s="444"/>
      <c r="Y46" s="444"/>
      <c r="Z46" s="444"/>
      <c r="AA46" s="444"/>
      <c r="AB46" s="444"/>
      <c r="AC46" s="444"/>
      <c r="AD46" s="444"/>
      <c r="AE46" s="444"/>
      <c r="AF46" s="445"/>
    </row>
    <row r="47" spans="2:32" ht="23.1" customHeight="1">
      <c r="B47" s="768"/>
      <c r="C47" s="1122" t="s">
        <v>30</v>
      </c>
      <c r="D47" s="1122"/>
      <c r="E47" s="788"/>
      <c r="F47" s="789"/>
      <c r="G47" s="796"/>
      <c r="H47" s="796"/>
      <c r="I47" s="796"/>
      <c r="J47" s="796"/>
      <c r="K47" s="796"/>
      <c r="L47" s="796"/>
      <c r="M47" s="796"/>
      <c r="N47" s="796"/>
      <c r="O47" s="796"/>
      <c r="P47" s="796"/>
      <c r="Q47" s="770"/>
      <c r="S47" s="443"/>
      <c r="T47" s="444"/>
      <c r="U47" s="444"/>
      <c r="V47" s="444"/>
      <c r="W47" s="444"/>
      <c r="X47" s="444"/>
      <c r="Y47" s="444"/>
      <c r="Z47" s="444"/>
      <c r="AA47" s="444"/>
      <c r="AB47" s="444"/>
      <c r="AC47" s="444"/>
      <c r="AD47" s="444"/>
      <c r="AE47" s="444"/>
      <c r="AF47" s="445"/>
    </row>
    <row r="48" spans="2:32" ht="23.1" customHeight="1">
      <c r="B48" s="768"/>
      <c r="C48" s="1123" t="s">
        <v>908</v>
      </c>
      <c r="D48" s="1123"/>
      <c r="E48" s="1123"/>
      <c r="F48" s="1123"/>
      <c r="G48" s="763"/>
      <c r="H48" s="763"/>
      <c r="I48" s="763"/>
      <c r="J48" s="763"/>
      <c r="K48" s="763"/>
      <c r="L48" s="763"/>
      <c r="M48" s="763"/>
      <c r="N48" s="763"/>
      <c r="O48" s="763"/>
      <c r="P48" s="763"/>
      <c r="Q48" s="770"/>
      <c r="S48" s="443"/>
      <c r="T48" s="444"/>
      <c r="U48" s="444"/>
      <c r="V48" s="444"/>
      <c r="W48" s="444"/>
      <c r="X48" s="444"/>
      <c r="Y48" s="444"/>
      <c r="Z48" s="444"/>
      <c r="AA48" s="444"/>
      <c r="AB48" s="444"/>
      <c r="AC48" s="444"/>
      <c r="AD48" s="444"/>
      <c r="AE48" s="444"/>
      <c r="AF48" s="445"/>
    </row>
    <row r="49" spans="2:32" ht="23.1" customHeight="1">
      <c r="B49" s="768"/>
      <c r="C49" s="655"/>
      <c r="D49" s="655"/>
      <c r="E49" s="655"/>
      <c r="F49" s="655"/>
      <c r="G49" s="763"/>
      <c r="H49" s="763"/>
      <c r="I49" s="763"/>
      <c r="J49" s="763"/>
      <c r="K49" s="763"/>
      <c r="L49" s="763"/>
      <c r="M49" s="763"/>
      <c r="N49" s="763"/>
      <c r="O49" s="763"/>
      <c r="P49" s="763"/>
      <c r="Q49" s="770"/>
      <c r="S49" s="443"/>
      <c r="T49" s="444"/>
      <c r="U49" s="444"/>
      <c r="V49" s="444"/>
      <c r="W49" s="444"/>
      <c r="X49" s="444"/>
      <c r="Y49" s="444"/>
      <c r="Z49" s="444"/>
      <c r="AA49" s="444"/>
      <c r="AB49" s="444"/>
      <c r="AC49" s="444"/>
      <c r="AD49" s="444"/>
      <c r="AE49" s="444"/>
      <c r="AF49" s="445"/>
    </row>
    <row r="50" spans="2:32" ht="23.1" customHeight="1">
      <c r="B50" s="768"/>
      <c r="C50" s="655"/>
      <c r="D50" s="655"/>
      <c r="E50" s="655"/>
      <c r="F50" s="655"/>
      <c r="G50" s="763"/>
      <c r="H50" s="763"/>
      <c r="I50" s="763"/>
      <c r="J50" s="763"/>
      <c r="K50" s="763"/>
      <c r="L50" s="763"/>
      <c r="M50" s="763"/>
      <c r="N50" s="763"/>
      <c r="O50" s="763"/>
      <c r="P50" s="763"/>
      <c r="Q50" s="770"/>
      <c r="S50" s="443"/>
      <c r="T50" s="444"/>
      <c r="U50" s="444"/>
      <c r="V50" s="444"/>
      <c r="W50" s="444"/>
      <c r="X50" s="444"/>
      <c r="Y50" s="444"/>
      <c r="Z50" s="444"/>
      <c r="AA50" s="444"/>
      <c r="AB50" s="444"/>
      <c r="AC50" s="444"/>
      <c r="AD50" s="444"/>
      <c r="AE50" s="444"/>
      <c r="AF50" s="445"/>
    </row>
    <row r="51" spans="2:32" ht="23.1" customHeight="1">
      <c r="B51" s="768"/>
      <c r="C51" s="725" t="s">
        <v>416</v>
      </c>
      <c r="D51" s="655"/>
      <c r="E51" s="655"/>
      <c r="F51" s="655"/>
      <c r="G51" s="763"/>
      <c r="H51" s="763"/>
      <c r="I51" s="763"/>
      <c r="J51" s="763"/>
      <c r="K51" s="763"/>
      <c r="L51" s="763"/>
      <c r="M51" s="763"/>
      <c r="N51" s="763"/>
      <c r="O51" s="763"/>
      <c r="P51" s="763"/>
      <c r="Q51" s="770"/>
      <c r="S51" s="443"/>
      <c r="T51" s="444"/>
      <c r="U51" s="444"/>
      <c r="V51" s="444"/>
      <c r="W51" s="444"/>
      <c r="X51" s="444"/>
      <c r="Y51" s="444"/>
      <c r="Z51" s="444"/>
      <c r="AA51" s="444"/>
      <c r="AB51" s="444"/>
      <c r="AC51" s="444"/>
      <c r="AD51" s="444"/>
      <c r="AE51" s="444"/>
      <c r="AF51" s="445"/>
    </row>
    <row r="52" spans="2:32" ht="23.1" customHeight="1">
      <c r="B52" s="768"/>
      <c r="C52" s="726" t="s">
        <v>762</v>
      </c>
      <c r="D52" s="655"/>
      <c r="E52" s="655"/>
      <c r="F52" s="655"/>
      <c r="G52" s="763"/>
      <c r="H52" s="763"/>
      <c r="I52" s="763"/>
      <c r="J52" s="763"/>
      <c r="K52" s="763"/>
      <c r="L52" s="763"/>
      <c r="M52" s="763"/>
      <c r="N52" s="763"/>
      <c r="O52" s="763"/>
      <c r="P52" s="763"/>
      <c r="Q52" s="770"/>
      <c r="S52" s="443"/>
      <c r="T52" s="444"/>
      <c r="U52" s="444"/>
      <c r="V52" s="444"/>
      <c r="W52" s="444"/>
      <c r="X52" s="444"/>
      <c r="Y52" s="444"/>
      <c r="Z52" s="444"/>
      <c r="AA52" s="444"/>
      <c r="AB52" s="444"/>
      <c r="AC52" s="444"/>
      <c r="AD52" s="444"/>
      <c r="AE52" s="444"/>
      <c r="AF52" s="445"/>
    </row>
    <row r="53" spans="2:32" ht="23.1" customHeight="1">
      <c r="B53" s="768"/>
      <c r="C53" s="797" t="s">
        <v>765</v>
      </c>
      <c r="D53" s="655"/>
      <c r="E53" s="655"/>
      <c r="F53" s="655"/>
      <c r="G53" s="763"/>
      <c r="H53" s="763"/>
      <c r="I53" s="763"/>
      <c r="J53" s="763"/>
      <c r="K53" s="763"/>
      <c r="L53" s="763"/>
      <c r="M53" s="763"/>
      <c r="N53" s="763"/>
      <c r="O53" s="763"/>
      <c r="P53" s="763"/>
      <c r="Q53" s="770"/>
      <c r="S53" s="443"/>
      <c r="T53" s="444"/>
      <c r="U53" s="444"/>
      <c r="V53" s="444"/>
      <c r="W53" s="444"/>
      <c r="X53" s="444"/>
      <c r="Y53" s="444"/>
      <c r="Z53" s="444"/>
      <c r="AA53" s="444"/>
      <c r="AB53" s="444"/>
      <c r="AC53" s="444"/>
      <c r="AD53" s="444"/>
      <c r="AE53" s="444"/>
      <c r="AF53" s="445"/>
    </row>
    <row r="54" spans="2:32" ht="23.1" customHeight="1">
      <c r="B54" s="768"/>
      <c r="C54" s="797" t="s">
        <v>833</v>
      </c>
      <c r="D54" s="655"/>
      <c r="E54" s="655"/>
      <c r="F54" s="655"/>
      <c r="G54" s="763"/>
      <c r="H54" s="763"/>
      <c r="I54" s="763"/>
      <c r="J54" s="763"/>
      <c r="K54" s="763"/>
      <c r="L54" s="763"/>
      <c r="M54" s="763"/>
      <c r="N54" s="763"/>
      <c r="O54" s="763"/>
      <c r="P54" s="763"/>
      <c r="Q54" s="770"/>
      <c r="S54" s="443"/>
      <c r="T54" s="444"/>
      <c r="U54" s="444"/>
      <c r="V54" s="444"/>
      <c r="W54" s="444"/>
      <c r="X54" s="444"/>
      <c r="Y54" s="444"/>
      <c r="Z54" s="444"/>
      <c r="AA54" s="444"/>
      <c r="AB54" s="444"/>
      <c r="AC54" s="444"/>
      <c r="AD54" s="444"/>
      <c r="AE54" s="444"/>
      <c r="AF54" s="445"/>
    </row>
    <row r="55" spans="2:32" ht="23.1" customHeight="1" thickBot="1">
      <c r="B55" s="798"/>
      <c r="C55" s="1120"/>
      <c r="D55" s="1120"/>
      <c r="E55" s="1120"/>
      <c r="F55" s="1120"/>
      <c r="G55" s="799"/>
      <c r="H55" s="799"/>
      <c r="I55" s="799"/>
      <c r="J55" s="799"/>
      <c r="K55" s="799"/>
      <c r="L55" s="799"/>
      <c r="M55" s="799"/>
      <c r="N55" s="799"/>
      <c r="O55" s="799"/>
      <c r="P55" s="799"/>
      <c r="Q55" s="800"/>
      <c r="S55" s="446"/>
      <c r="T55" s="447"/>
      <c r="U55" s="447"/>
      <c r="V55" s="447"/>
      <c r="W55" s="447"/>
      <c r="X55" s="447"/>
      <c r="Y55" s="447"/>
      <c r="Z55" s="447"/>
      <c r="AA55" s="447"/>
      <c r="AB55" s="447"/>
      <c r="AC55" s="447"/>
      <c r="AD55" s="447"/>
      <c r="AE55" s="447"/>
      <c r="AF55" s="448"/>
    </row>
    <row r="56" spans="2:32" ht="23.1" customHeight="1">
      <c r="C56" s="763"/>
      <c r="D56" s="763"/>
      <c r="E56" s="763"/>
      <c r="F56" s="763"/>
      <c r="G56" s="763"/>
      <c r="H56" s="763"/>
      <c r="I56" s="763"/>
      <c r="J56" s="763"/>
      <c r="K56" s="763"/>
      <c r="L56" s="763"/>
      <c r="M56" s="763"/>
      <c r="N56" s="763"/>
      <c r="O56" s="763"/>
      <c r="P56" s="763"/>
    </row>
    <row r="57" spans="2:32" ht="13.2">
      <c r="C57" s="801" t="s">
        <v>77</v>
      </c>
      <c r="D57" s="763"/>
      <c r="E57" s="763"/>
      <c r="F57" s="763"/>
      <c r="G57" s="763"/>
      <c r="H57" s="763"/>
      <c r="I57" s="763"/>
      <c r="J57" s="763"/>
      <c r="K57" s="763"/>
      <c r="L57" s="763"/>
      <c r="M57" s="763"/>
      <c r="N57" s="763"/>
      <c r="P57" s="732" t="s">
        <v>84</v>
      </c>
    </row>
    <row r="58" spans="2:32" ht="13.2">
      <c r="C58" s="802" t="s">
        <v>78</v>
      </c>
      <c r="D58" s="763"/>
      <c r="E58" s="763"/>
      <c r="F58" s="763"/>
      <c r="G58" s="763"/>
      <c r="H58" s="763"/>
      <c r="I58" s="763"/>
      <c r="J58" s="763"/>
      <c r="K58" s="763"/>
      <c r="L58" s="763"/>
      <c r="M58" s="763"/>
      <c r="N58" s="763"/>
      <c r="O58" s="763"/>
      <c r="P58" s="763"/>
    </row>
    <row r="59" spans="2:32" ht="13.2">
      <c r="C59" s="802" t="s">
        <v>79</v>
      </c>
      <c r="D59" s="763"/>
      <c r="E59" s="763"/>
      <c r="F59" s="763"/>
      <c r="G59" s="763"/>
      <c r="H59" s="763"/>
      <c r="I59" s="763"/>
      <c r="J59" s="763"/>
      <c r="K59" s="763"/>
      <c r="L59" s="763"/>
      <c r="M59" s="763"/>
      <c r="N59" s="763"/>
      <c r="O59" s="763"/>
      <c r="P59" s="763"/>
    </row>
    <row r="60" spans="2:32" ht="13.2">
      <c r="C60" s="802" t="s">
        <v>80</v>
      </c>
      <c r="D60" s="763"/>
      <c r="E60" s="763"/>
      <c r="F60" s="763"/>
      <c r="G60" s="763"/>
      <c r="H60" s="763"/>
      <c r="I60" s="763"/>
      <c r="J60" s="763"/>
      <c r="K60" s="763"/>
      <c r="L60" s="763"/>
      <c r="M60" s="763"/>
      <c r="N60" s="763"/>
      <c r="O60" s="763"/>
      <c r="P60" s="763"/>
    </row>
    <row r="61" spans="2:32" ht="13.2">
      <c r="C61" s="802" t="s">
        <v>81</v>
      </c>
      <c r="D61" s="763"/>
      <c r="E61" s="763"/>
      <c r="F61" s="763"/>
      <c r="G61" s="763"/>
      <c r="H61" s="763"/>
      <c r="I61" s="763"/>
      <c r="J61" s="763"/>
      <c r="K61" s="763"/>
      <c r="L61" s="763"/>
      <c r="M61" s="763"/>
      <c r="N61" s="763"/>
      <c r="O61" s="763"/>
      <c r="P61" s="763"/>
    </row>
    <row r="62" spans="2:32" ht="23.1" customHeight="1">
      <c r="C62" s="763"/>
      <c r="D62" s="763"/>
      <c r="E62" s="763"/>
      <c r="F62" s="763"/>
      <c r="G62" s="763"/>
      <c r="H62" s="763"/>
      <c r="I62" s="763"/>
      <c r="J62" s="763"/>
      <c r="K62" s="763"/>
      <c r="L62" s="763"/>
      <c r="M62" s="763"/>
      <c r="N62" s="763"/>
      <c r="O62" s="763"/>
      <c r="P62" s="763"/>
    </row>
    <row r="63" spans="2:32" ht="23.1" customHeight="1">
      <c r="C63" s="763"/>
      <c r="D63" s="763"/>
      <c r="E63" s="763"/>
      <c r="F63" s="763"/>
      <c r="G63" s="763"/>
      <c r="H63" s="763"/>
      <c r="I63" s="763"/>
      <c r="J63" s="763"/>
      <c r="K63" s="763"/>
      <c r="L63" s="763"/>
      <c r="M63" s="763"/>
      <c r="N63" s="763"/>
      <c r="O63" s="763"/>
      <c r="P63" s="763"/>
    </row>
    <row r="64" spans="2:32" ht="23.1" customHeight="1">
      <c r="C64" s="763"/>
      <c r="D64" s="763"/>
      <c r="E64" s="763"/>
      <c r="F64" s="763"/>
      <c r="G64" s="763"/>
      <c r="H64" s="763"/>
      <c r="I64" s="763"/>
      <c r="J64" s="763"/>
      <c r="K64" s="763"/>
      <c r="L64" s="763"/>
      <c r="M64" s="763"/>
      <c r="N64" s="763"/>
      <c r="O64" s="763"/>
      <c r="P64" s="763"/>
    </row>
    <row r="65" spans="3:16" ht="23.1" customHeight="1">
      <c r="C65" s="763"/>
      <c r="D65" s="763"/>
      <c r="E65" s="763"/>
      <c r="F65" s="763"/>
      <c r="G65" s="763"/>
      <c r="H65" s="763"/>
      <c r="I65" s="763"/>
      <c r="J65" s="763"/>
      <c r="K65" s="763"/>
      <c r="L65" s="763"/>
      <c r="M65" s="763"/>
      <c r="N65" s="763"/>
      <c r="O65" s="763"/>
      <c r="P65" s="763"/>
    </row>
    <row r="66" spans="3:16" ht="23.1" customHeight="1">
      <c r="F66" s="763"/>
      <c r="G66" s="763"/>
      <c r="H66" s="763"/>
      <c r="I66" s="763"/>
      <c r="J66" s="763"/>
      <c r="K66" s="763"/>
      <c r="L66" s="763"/>
      <c r="M66" s="763"/>
      <c r="N66" s="763"/>
      <c r="O66" s="763"/>
      <c r="P66" s="763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60"/>
  <sheetViews>
    <sheetView zoomScale="25" zoomScaleNormal="25" zoomScalePageLayoutView="70" workbookViewId="0">
      <selection activeCell="L98" sqref="L98"/>
    </sheetView>
  </sheetViews>
  <sheetFormatPr baseColWidth="10" defaultColWidth="10.90625" defaultRowHeight="23.1" customHeight="1"/>
  <cols>
    <col min="1" max="2" width="3.08984375" style="762" customWidth="1"/>
    <col min="3" max="4" width="14.90625" style="762" customWidth="1"/>
    <col min="5" max="6" width="15.453125" style="762" customWidth="1"/>
    <col min="7" max="10" width="14.90625" style="762" customWidth="1"/>
    <col min="11" max="11" width="16.453125" style="762" customWidth="1"/>
    <col min="12" max="12" width="16.08984375" style="762" customWidth="1"/>
    <col min="13" max="13" width="60.90625" style="762" customWidth="1"/>
    <col min="14" max="14" width="16.54296875" style="762" customWidth="1"/>
    <col min="15" max="15" width="4" style="762" customWidth="1"/>
    <col min="16" max="16384" width="10.90625" style="762"/>
  </cols>
  <sheetData>
    <row r="1" spans="2:30" ht="23.1" customHeight="1">
      <c r="D1" s="763"/>
      <c r="E1" s="763"/>
    </row>
    <row r="2" spans="2:30" ht="23.1" customHeight="1">
      <c r="D2" s="764" t="s">
        <v>31</v>
      </c>
      <c r="E2" s="764"/>
    </row>
    <row r="3" spans="2:30" ht="23.1" customHeight="1">
      <c r="D3" s="764" t="s">
        <v>32</v>
      </c>
      <c r="E3" s="764"/>
    </row>
    <row r="4" spans="2:30" ht="23.1" customHeight="1" thickBot="1"/>
    <row r="5" spans="2:30" ht="9" customHeight="1">
      <c r="B5" s="765"/>
      <c r="C5" s="766"/>
      <c r="D5" s="766"/>
      <c r="E5" s="766"/>
      <c r="F5" s="766"/>
      <c r="G5" s="766"/>
      <c r="H5" s="766"/>
      <c r="I5" s="766"/>
      <c r="J5" s="766"/>
      <c r="K5" s="766"/>
      <c r="L5" s="766"/>
      <c r="M5" s="766"/>
      <c r="N5" s="766"/>
      <c r="O5" s="767"/>
      <c r="Q5" s="427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8"/>
      <c r="AC5" s="428"/>
      <c r="AD5" s="429"/>
    </row>
    <row r="6" spans="2:30" ht="30" customHeight="1">
      <c r="B6" s="768"/>
      <c r="C6" s="769" t="s">
        <v>0</v>
      </c>
      <c r="D6" s="763"/>
      <c r="E6" s="763"/>
      <c r="F6" s="763"/>
      <c r="G6" s="763"/>
      <c r="H6" s="763"/>
      <c r="I6" s="763"/>
      <c r="J6" s="763"/>
      <c r="K6" s="763"/>
      <c r="L6" s="763"/>
      <c r="M6" s="763"/>
      <c r="N6" s="1119">
        <f>ejercicio</f>
        <v>2018</v>
      </c>
      <c r="O6" s="770"/>
      <c r="Q6" s="430"/>
      <c r="R6" s="431" t="s">
        <v>707</v>
      </c>
      <c r="S6" s="432"/>
      <c r="T6" s="432"/>
      <c r="U6" s="432"/>
      <c r="V6" s="432"/>
      <c r="W6" s="432"/>
      <c r="X6" s="432"/>
      <c r="Y6" s="432"/>
      <c r="Z6" s="432"/>
      <c r="AA6" s="432"/>
      <c r="AB6" s="432"/>
      <c r="AC6" s="432"/>
      <c r="AD6" s="433"/>
    </row>
    <row r="7" spans="2:30" ht="30" customHeight="1">
      <c r="B7" s="768"/>
      <c r="C7" s="769" t="s">
        <v>1</v>
      </c>
      <c r="D7" s="763"/>
      <c r="E7" s="763"/>
      <c r="F7" s="763"/>
      <c r="G7" s="763"/>
      <c r="H7" s="763"/>
      <c r="I7" s="763"/>
      <c r="J7" s="763"/>
      <c r="K7" s="763"/>
      <c r="L7" s="763"/>
      <c r="M7" s="763"/>
      <c r="N7" s="1119"/>
      <c r="O7" s="770"/>
      <c r="Q7" s="430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3"/>
    </row>
    <row r="8" spans="2:30" ht="30" customHeight="1">
      <c r="B8" s="768"/>
      <c r="C8" s="772"/>
      <c r="D8" s="763"/>
      <c r="E8" s="763"/>
      <c r="F8" s="763"/>
      <c r="G8" s="763"/>
      <c r="H8" s="763"/>
      <c r="I8" s="763"/>
      <c r="J8" s="763"/>
      <c r="K8" s="763"/>
      <c r="L8" s="763"/>
      <c r="M8" s="763"/>
      <c r="N8" s="773"/>
      <c r="O8" s="770"/>
      <c r="Q8" s="430"/>
      <c r="R8" s="432"/>
      <c r="S8" s="432"/>
      <c r="T8" s="432"/>
      <c r="U8" s="432"/>
      <c r="V8" s="432"/>
      <c r="W8" s="432"/>
      <c r="X8" s="432"/>
      <c r="Y8" s="432"/>
      <c r="Z8" s="432"/>
      <c r="AA8" s="432"/>
      <c r="AB8" s="432"/>
      <c r="AC8" s="432"/>
      <c r="AD8" s="433"/>
    </row>
    <row r="9" spans="2:30" s="777" customFormat="1" ht="30" customHeight="1">
      <c r="B9" s="774"/>
      <c r="C9" s="775" t="s">
        <v>2</v>
      </c>
      <c r="D9" s="1121" t="str">
        <f>Entidad</f>
        <v>SPET, Turismo de Tenerife, S.A.</v>
      </c>
      <c r="E9" s="1121"/>
      <c r="F9" s="1121"/>
      <c r="G9" s="1121"/>
      <c r="H9" s="1121"/>
      <c r="I9" s="1121"/>
      <c r="J9" s="1121"/>
      <c r="K9" s="1121"/>
      <c r="L9" s="1121"/>
      <c r="M9" s="1121"/>
      <c r="N9" s="752"/>
      <c r="O9" s="776"/>
      <c r="Q9" s="434"/>
      <c r="R9" s="435"/>
      <c r="S9" s="435"/>
      <c r="T9" s="435"/>
      <c r="U9" s="435"/>
      <c r="V9" s="435"/>
      <c r="W9" s="435"/>
      <c r="X9" s="435"/>
      <c r="Y9" s="435"/>
      <c r="Z9" s="435"/>
      <c r="AA9" s="435"/>
      <c r="AB9" s="435"/>
      <c r="AC9" s="435"/>
      <c r="AD9" s="436"/>
    </row>
    <row r="10" spans="2:30" ht="7.35" customHeight="1">
      <c r="B10" s="768"/>
      <c r="C10" s="763"/>
      <c r="D10" s="763"/>
      <c r="E10" s="763"/>
      <c r="F10" s="763"/>
      <c r="G10" s="763"/>
      <c r="H10" s="763"/>
      <c r="I10" s="763"/>
      <c r="J10" s="771"/>
      <c r="K10" s="763"/>
      <c r="L10" s="763"/>
      <c r="M10" s="763"/>
      <c r="N10" s="763"/>
      <c r="O10" s="770"/>
      <c r="Q10" s="430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2"/>
      <c r="AD10" s="433"/>
    </row>
    <row r="11" spans="2:30" s="781" customFormat="1" ht="30" customHeight="1">
      <c r="B11" s="778"/>
      <c r="C11" s="779" t="s">
        <v>775</v>
      </c>
      <c r="D11" s="779"/>
      <c r="E11" s="779"/>
      <c r="F11" s="779"/>
      <c r="G11" s="779"/>
      <c r="H11" s="779"/>
      <c r="I11" s="779"/>
      <c r="J11" s="779"/>
      <c r="K11" s="779"/>
      <c r="L11" s="779"/>
      <c r="M11" s="779"/>
      <c r="N11" s="779"/>
      <c r="O11" s="780"/>
      <c r="Q11" s="437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439"/>
    </row>
    <row r="12" spans="2:30" s="810" customFormat="1" ht="23.1" customHeight="1">
      <c r="B12" s="807"/>
      <c r="C12" s="808"/>
      <c r="D12" s="808"/>
      <c r="E12" s="808"/>
      <c r="F12" s="808"/>
      <c r="G12" s="808"/>
      <c r="H12" s="808"/>
      <c r="I12" s="808"/>
      <c r="J12" s="808"/>
      <c r="K12" s="808"/>
      <c r="L12" s="808"/>
      <c r="M12" s="808"/>
      <c r="N12" s="808"/>
      <c r="O12" s="809"/>
      <c r="Q12" s="811"/>
      <c r="R12" s="812"/>
      <c r="S12" s="812"/>
      <c r="T12" s="812"/>
      <c r="U12" s="812"/>
      <c r="V12" s="812"/>
      <c r="W12" s="812"/>
      <c r="X12" s="812"/>
      <c r="Y12" s="812"/>
      <c r="Z12" s="812"/>
      <c r="AA12" s="812"/>
      <c r="AB12" s="812"/>
      <c r="AC12" s="812"/>
      <c r="AD12" s="813"/>
    </row>
    <row r="13" spans="2:30" s="810" customFormat="1" ht="51" customHeight="1">
      <c r="B13" s="807"/>
      <c r="C13" s="826" t="s">
        <v>769</v>
      </c>
      <c r="D13" s="826" t="s">
        <v>768</v>
      </c>
      <c r="E13" s="1128" t="s">
        <v>772</v>
      </c>
      <c r="F13" s="1129"/>
      <c r="G13" s="826" t="s">
        <v>755</v>
      </c>
      <c r="H13" s="826" t="s">
        <v>770</v>
      </c>
      <c r="I13" s="826" t="s">
        <v>771</v>
      </c>
      <c r="J13" s="826" t="s">
        <v>774</v>
      </c>
      <c r="K13" s="826" t="s">
        <v>777</v>
      </c>
      <c r="L13" s="826" t="s">
        <v>773</v>
      </c>
      <c r="M13" s="1128" t="s">
        <v>780</v>
      </c>
      <c r="N13" s="1129"/>
      <c r="O13" s="809"/>
      <c r="Q13" s="815"/>
      <c r="R13" s="816"/>
      <c r="S13" s="816"/>
      <c r="T13" s="816"/>
      <c r="U13" s="816"/>
      <c r="V13" s="816"/>
      <c r="W13" s="816"/>
      <c r="X13" s="816"/>
      <c r="Y13" s="816"/>
      <c r="Z13" s="816"/>
      <c r="AA13" s="816"/>
      <c r="AB13" s="816"/>
      <c r="AC13" s="816"/>
      <c r="AD13" s="817"/>
    </row>
    <row r="14" spans="2:30" s="810" customFormat="1" ht="23.1" customHeight="1">
      <c r="B14" s="807"/>
      <c r="C14" s="837">
        <v>33778</v>
      </c>
      <c r="D14" s="838">
        <v>76</v>
      </c>
      <c r="E14" s="839">
        <v>1</v>
      </c>
      <c r="F14" s="840">
        <v>76</v>
      </c>
      <c r="G14" s="1057" t="s">
        <v>912</v>
      </c>
      <c r="H14" s="841">
        <v>3005.06</v>
      </c>
      <c r="I14" s="841">
        <v>0</v>
      </c>
      <c r="J14" s="827">
        <f>(D14*(H14+I14))</f>
        <v>228384.56</v>
      </c>
      <c r="K14" s="861"/>
      <c r="L14" s="862"/>
      <c r="M14" s="1130"/>
      <c r="N14" s="1131"/>
      <c r="O14" s="809"/>
      <c r="Q14" s="815"/>
      <c r="R14" s="816"/>
      <c r="S14" s="816"/>
      <c r="T14" s="816"/>
      <c r="U14" s="816"/>
      <c r="V14" s="816"/>
      <c r="W14" s="816"/>
      <c r="X14" s="816"/>
      <c r="Y14" s="816"/>
      <c r="Z14" s="816"/>
      <c r="AA14" s="816"/>
      <c r="AB14" s="816"/>
      <c r="AC14" s="816"/>
      <c r="AD14" s="817"/>
    </row>
    <row r="15" spans="2:30" s="820" customFormat="1" ht="23.1" customHeight="1">
      <c r="B15" s="818"/>
      <c r="C15" s="842">
        <v>34610</v>
      </c>
      <c r="D15" s="843">
        <v>42</v>
      </c>
      <c r="E15" s="844">
        <v>79</v>
      </c>
      <c r="F15" s="845">
        <v>120</v>
      </c>
      <c r="G15" s="1059" t="s">
        <v>912</v>
      </c>
      <c r="H15" s="846">
        <v>3005.06</v>
      </c>
      <c r="I15" s="846">
        <v>0</v>
      </c>
      <c r="J15" s="828">
        <f t="shared" ref="J15:J43" si="0">(D15*(H15+I15))</f>
        <v>126212.52</v>
      </c>
      <c r="K15" s="863"/>
      <c r="L15" s="864"/>
      <c r="M15" s="1126"/>
      <c r="N15" s="1127"/>
      <c r="O15" s="819"/>
      <c r="Q15" s="815"/>
      <c r="R15" s="816"/>
      <c r="S15" s="816"/>
      <c r="T15" s="816"/>
      <c r="U15" s="816"/>
      <c r="V15" s="816"/>
      <c r="W15" s="816"/>
      <c r="X15" s="816"/>
      <c r="Y15" s="816"/>
      <c r="Z15" s="816"/>
      <c r="AA15" s="816"/>
      <c r="AB15" s="816"/>
      <c r="AC15" s="816"/>
      <c r="AD15" s="817"/>
    </row>
    <row r="16" spans="2:30" s="810" customFormat="1" ht="23.1" customHeight="1">
      <c r="B16" s="807"/>
      <c r="C16" s="847">
        <v>40242</v>
      </c>
      <c r="D16" s="848">
        <v>92</v>
      </c>
      <c r="E16" s="849">
        <v>1</v>
      </c>
      <c r="F16" s="850">
        <v>92</v>
      </c>
      <c r="G16" s="1058" t="s">
        <v>913</v>
      </c>
      <c r="H16" s="852">
        <v>3005.06</v>
      </c>
      <c r="I16" s="852">
        <v>0</v>
      </c>
      <c r="J16" s="828">
        <f t="shared" si="0"/>
        <v>276465.52</v>
      </c>
      <c r="K16" s="865"/>
      <c r="L16" s="866"/>
      <c r="M16" s="1126"/>
      <c r="N16" s="1127"/>
      <c r="O16" s="809"/>
      <c r="Q16" s="815"/>
      <c r="R16" s="816"/>
      <c r="S16" s="816"/>
      <c r="T16" s="816"/>
      <c r="U16" s="816"/>
      <c r="V16" s="816"/>
      <c r="W16" s="816"/>
      <c r="X16" s="816"/>
      <c r="Y16" s="816"/>
      <c r="Z16" s="816"/>
      <c r="AA16" s="816"/>
      <c r="AB16" s="816"/>
      <c r="AC16" s="816"/>
      <c r="AD16" s="817"/>
    </row>
    <row r="17" spans="2:30" s="810" customFormat="1" ht="23.1" customHeight="1">
      <c r="B17" s="807"/>
      <c r="C17" s="847"/>
      <c r="D17" s="848"/>
      <c r="E17" s="849"/>
      <c r="F17" s="850"/>
      <c r="G17" s="851"/>
      <c r="H17" s="852"/>
      <c r="I17" s="852"/>
      <c r="J17" s="828">
        <f t="shared" si="0"/>
        <v>0</v>
      </c>
      <c r="K17" s="865"/>
      <c r="L17" s="866"/>
      <c r="M17" s="1126"/>
      <c r="N17" s="1127"/>
      <c r="O17" s="809"/>
      <c r="Q17" s="815"/>
      <c r="R17" s="816"/>
      <c r="S17" s="816"/>
      <c r="T17" s="816"/>
      <c r="U17" s="816"/>
      <c r="V17" s="816"/>
      <c r="W17" s="816"/>
      <c r="X17" s="816"/>
      <c r="Y17" s="816"/>
      <c r="Z17" s="816"/>
      <c r="AA17" s="816"/>
      <c r="AB17" s="816"/>
      <c r="AC17" s="816"/>
      <c r="AD17" s="817"/>
    </row>
    <row r="18" spans="2:30" s="810" customFormat="1" ht="23.1" customHeight="1">
      <c r="B18" s="807"/>
      <c r="C18" s="847"/>
      <c r="D18" s="848"/>
      <c r="E18" s="849"/>
      <c r="F18" s="850"/>
      <c r="G18" s="851"/>
      <c r="H18" s="852"/>
      <c r="I18" s="852"/>
      <c r="J18" s="828">
        <f t="shared" si="0"/>
        <v>0</v>
      </c>
      <c r="K18" s="865"/>
      <c r="L18" s="866"/>
      <c r="M18" s="1126"/>
      <c r="N18" s="1127"/>
      <c r="O18" s="809"/>
      <c r="Q18" s="815"/>
      <c r="R18" s="816"/>
      <c r="S18" s="816"/>
      <c r="T18" s="816"/>
      <c r="U18" s="816"/>
      <c r="V18" s="816"/>
      <c r="W18" s="816"/>
      <c r="X18" s="816"/>
      <c r="Y18" s="816"/>
      <c r="Z18" s="816"/>
      <c r="AA18" s="816"/>
      <c r="AB18" s="816"/>
      <c r="AC18" s="816"/>
      <c r="AD18" s="817"/>
    </row>
    <row r="19" spans="2:30" s="810" customFormat="1" ht="23.1" customHeight="1">
      <c r="B19" s="807"/>
      <c r="C19" s="847"/>
      <c r="D19" s="848"/>
      <c r="E19" s="849"/>
      <c r="F19" s="850"/>
      <c r="G19" s="851"/>
      <c r="H19" s="852"/>
      <c r="I19" s="852"/>
      <c r="J19" s="828">
        <f t="shared" si="0"/>
        <v>0</v>
      </c>
      <c r="K19" s="865"/>
      <c r="L19" s="866"/>
      <c r="M19" s="1126"/>
      <c r="N19" s="1127"/>
      <c r="O19" s="809"/>
      <c r="Q19" s="815"/>
      <c r="R19" s="816"/>
      <c r="S19" s="816"/>
      <c r="T19" s="816"/>
      <c r="U19" s="816"/>
      <c r="V19" s="816"/>
      <c r="W19" s="816"/>
      <c r="X19" s="816"/>
      <c r="Y19" s="816"/>
      <c r="Z19" s="816"/>
      <c r="AA19" s="816"/>
      <c r="AB19" s="816"/>
      <c r="AC19" s="816"/>
      <c r="AD19" s="817"/>
    </row>
    <row r="20" spans="2:30" s="810" customFormat="1" ht="23.1" customHeight="1">
      <c r="B20" s="807"/>
      <c r="C20" s="847"/>
      <c r="D20" s="848"/>
      <c r="E20" s="849"/>
      <c r="F20" s="850"/>
      <c r="G20" s="851"/>
      <c r="H20" s="852"/>
      <c r="I20" s="852"/>
      <c r="J20" s="828">
        <f t="shared" si="0"/>
        <v>0</v>
      </c>
      <c r="K20" s="865"/>
      <c r="L20" s="866"/>
      <c r="M20" s="1126"/>
      <c r="N20" s="1127"/>
      <c r="O20" s="809"/>
      <c r="Q20" s="815"/>
      <c r="R20" s="816"/>
      <c r="S20" s="816"/>
      <c r="T20" s="816"/>
      <c r="U20" s="816"/>
      <c r="V20" s="816"/>
      <c r="W20" s="816"/>
      <c r="X20" s="816"/>
      <c r="Y20" s="816"/>
      <c r="Z20" s="816"/>
      <c r="AA20" s="816"/>
      <c r="AB20" s="816"/>
      <c r="AC20" s="816"/>
      <c r="AD20" s="817"/>
    </row>
    <row r="21" spans="2:30" s="810" customFormat="1" ht="23.1" customHeight="1">
      <c r="B21" s="807"/>
      <c r="C21" s="847"/>
      <c r="D21" s="848"/>
      <c r="E21" s="849"/>
      <c r="F21" s="850"/>
      <c r="G21" s="851"/>
      <c r="H21" s="852"/>
      <c r="I21" s="852"/>
      <c r="J21" s="828">
        <f t="shared" si="0"/>
        <v>0</v>
      </c>
      <c r="K21" s="865"/>
      <c r="L21" s="866"/>
      <c r="M21" s="1126"/>
      <c r="N21" s="1127"/>
      <c r="O21" s="809"/>
      <c r="Q21" s="815"/>
      <c r="R21" s="816"/>
      <c r="S21" s="816"/>
      <c r="T21" s="816"/>
      <c r="U21" s="816"/>
      <c r="V21" s="816"/>
      <c r="W21" s="816"/>
      <c r="X21" s="816"/>
      <c r="Y21" s="816"/>
      <c r="Z21" s="816"/>
      <c r="AA21" s="816"/>
      <c r="AB21" s="816"/>
      <c r="AC21" s="816"/>
      <c r="AD21" s="817"/>
    </row>
    <row r="22" spans="2:30" s="810" customFormat="1" ht="23.1" customHeight="1">
      <c r="B22" s="807"/>
      <c r="C22" s="847"/>
      <c r="D22" s="848"/>
      <c r="E22" s="849"/>
      <c r="F22" s="850"/>
      <c r="G22" s="851"/>
      <c r="H22" s="852"/>
      <c r="I22" s="852"/>
      <c r="J22" s="828">
        <f t="shared" si="0"/>
        <v>0</v>
      </c>
      <c r="K22" s="865"/>
      <c r="L22" s="866"/>
      <c r="M22" s="1126"/>
      <c r="N22" s="1127"/>
      <c r="O22" s="809"/>
      <c r="Q22" s="815"/>
      <c r="R22" s="816"/>
      <c r="S22" s="816"/>
      <c r="T22" s="816"/>
      <c r="U22" s="816"/>
      <c r="V22" s="816"/>
      <c r="W22" s="816"/>
      <c r="X22" s="816"/>
      <c r="Y22" s="816"/>
      <c r="Z22" s="816"/>
      <c r="AA22" s="816"/>
      <c r="AB22" s="816"/>
      <c r="AC22" s="816"/>
      <c r="AD22" s="817"/>
    </row>
    <row r="23" spans="2:30" s="810" customFormat="1" ht="23.1" customHeight="1">
      <c r="B23" s="807"/>
      <c r="C23" s="847"/>
      <c r="D23" s="848"/>
      <c r="E23" s="849"/>
      <c r="F23" s="850"/>
      <c r="G23" s="851"/>
      <c r="H23" s="853"/>
      <c r="I23" s="853"/>
      <c r="J23" s="828">
        <f t="shared" si="0"/>
        <v>0</v>
      </c>
      <c r="K23" s="867"/>
      <c r="L23" s="868"/>
      <c r="M23" s="1126"/>
      <c r="N23" s="1127"/>
      <c r="O23" s="809"/>
      <c r="Q23" s="815"/>
      <c r="R23" s="816"/>
      <c r="S23" s="816"/>
      <c r="T23" s="816"/>
      <c r="U23" s="816"/>
      <c r="V23" s="816"/>
      <c r="W23" s="816"/>
      <c r="X23" s="816"/>
      <c r="Y23" s="816"/>
      <c r="Z23" s="816"/>
      <c r="AA23" s="816"/>
      <c r="AB23" s="816"/>
      <c r="AC23" s="816"/>
      <c r="AD23" s="817"/>
    </row>
    <row r="24" spans="2:30" s="810" customFormat="1" ht="23.1" customHeight="1">
      <c r="B24" s="807"/>
      <c r="C24" s="847"/>
      <c r="D24" s="848"/>
      <c r="E24" s="849"/>
      <c r="F24" s="850"/>
      <c r="G24" s="851"/>
      <c r="H24" s="853"/>
      <c r="I24" s="853"/>
      <c r="J24" s="828">
        <f t="shared" si="0"/>
        <v>0</v>
      </c>
      <c r="K24" s="867"/>
      <c r="L24" s="868"/>
      <c r="M24" s="859"/>
      <c r="N24" s="860"/>
      <c r="O24" s="809"/>
      <c r="Q24" s="815"/>
      <c r="R24" s="816"/>
      <c r="S24" s="816"/>
      <c r="T24" s="816"/>
      <c r="U24" s="816"/>
      <c r="V24" s="816"/>
      <c r="W24" s="816"/>
      <c r="X24" s="816"/>
      <c r="Y24" s="816"/>
      <c r="Z24" s="816"/>
      <c r="AA24" s="816"/>
      <c r="AB24" s="816"/>
      <c r="AC24" s="816"/>
      <c r="AD24" s="817"/>
    </row>
    <row r="25" spans="2:30" s="810" customFormat="1" ht="23.1" customHeight="1">
      <c r="B25" s="807"/>
      <c r="C25" s="847"/>
      <c r="D25" s="848"/>
      <c r="E25" s="849"/>
      <c r="F25" s="850"/>
      <c r="G25" s="851"/>
      <c r="H25" s="853"/>
      <c r="I25" s="853"/>
      <c r="J25" s="828">
        <f t="shared" si="0"/>
        <v>0</v>
      </c>
      <c r="K25" s="867"/>
      <c r="L25" s="868"/>
      <c r="M25" s="859"/>
      <c r="N25" s="860"/>
      <c r="O25" s="809"/>
      <c r="Q25" s="815"/>
      <c r="R25" s="816"/>
      <c r="S25" s="816"/>
      <c r="T25" s="816"/>
      <c r="U25" s="816"/>
      <c r="V25" s="816"/>
      <c r="W25" s="816"/>
      <c r="X25" s="816"/>
      <c r="Y25" s="816"/>
      <c r="Z25" s="816"/>
      <c r="AA25" s="816"/>
      <c r="AB25" s="816"/>
      <c r="AC25" s="816"/>
      <c r="AD25" s="817"/>
    </row>
    <row r="26" spans="2:30" s="810" customFormat="1" ht="23.1" customHeight="1">
      <c r="B26" s="807"/>
      <c r="C26" s="847"/>
      <c r="D26" s="848"/>
      <c r="E26" s="849"/>
      <c r="F26" s="850"/>
      <c r="G26" s="851"/>
      <c r="H26" s="853"/>
      <c r="I26" s="853"/>
      <c r="J26" s="828">
        <f t="shared" si="0"/>
        <v>0</v>
      </c>
      <c r="K26" s="867"/>
      <c r="L26" s="868"/>
      <c r="M26" s="859"/>
      <c r="N26" s="860"/>
      <c r="O26" s="809"/>
      <c r="Q26" s="815"/>
      <c r="R26" s="816"/>
      <c r="S26" s="816"/>
      <c r="T26" s="816"/>
      <c r="U26" s="816"/>
      <c r="V26" s="816"/>
      <c r="W26" s="816"/>
      <c r="X26" s="816"/>
      <c r="Y26" s="816"/>
      <c r="Z26" s="816"/>
      <c r="AA26" s="816"/>
      <c r="AB26" s="816"/>
      <c r="AC26" s="816"/>
      <c r="AD26" s="817"/>
    </row>
    <row r="27" spans="2:30" s="810" customFormat="1" ht="23.1" customHeight="1">
      <c r="B27" s="807"/>
      <c r="C27" s="847"/>
      <c r="D27" s="848"/>
      <c r="E27" s="849"/>
      <c r="F27" s="850"/>
      <c r="G27" s="851"/>
      <c r="H27" s="853"/>
      <c r="I27" s="853"/>
      <c r="J27" s="828">
        <f t="shared" si="0"/>
        <v>0</v>
      </c>
      <c r="K27" s="867"/>
      <c r="L27" s="868"/>
      <c r="M27" s="859"/>
      <c r="N27" s="860"/>
      <c r="O27" s="809"/>
      <c r="Q27" s="815"/>
      <c r="R27" s="816"/>
      <c r="S27" s="816"/>
      <c r="T27" s="816"/>
      <c r="U27" s="816"/>
      <c r="V27" s="816"/>
      <c r="W27" s="816"/>
      <c r="X27" s="816"/>
      <c r="Y27" s="816"/>
      <c r="Z27" s="816"/>
      <c r="AA27" s="816"/>
      <c r="AB27" s="816"/>
      <c r="AC27" s="816"/>
      <c r="AD27" s="817"/>
    </row>
    <row r="28" spans="2:30" s="810" customFormat="1" ht="23.1" customHeight="1">
      <c r="B28" s="807"/>
      <c r="C28" s="847"/>
      <c r="D28" s="848"/>
      <c r="E28" s="849"/>
      <c r="F28" s="850"/>
      <c r="G28" s="851"/>
      <c r="H28" s="853"/>
      <c r="I28" s="853"/>
      <c r="J28" s="828">
        <f t="shared" si="0"/>
        <v>0</v>
      </c>
      <c r="K28" s="867"/>
      <c r="L28" s="868"/>
      <c r="M28" s="859"/>
      <c r="N28" s="860"/>
      <c r="O28" s="809"/>
      <c r="Q28" s="815"/>
      <c r="R28" s="816"/>
      <c r="S28" s="816"/>
      <c r="T28" s="816"/>
      <c r="U28" s="816"/>
      <c r="V28" s="816"/>
      <c r="W28" s="816"/>
      <c r="X28" s="816"/>
      <c r="Y28" s="816"/>
      <c r="Z28" s="816"/>
      <c r="AA28" s="816"/>
      <c r="AB28" s="816"/>
      <c r="AC28" s="816"/>
      <c r="AD28" s="817"/>
    </row>
    <row r="29" spans="2:30" s="810" customFormat="1" ht="23.1" customHeight="1">
      <c r="B29" s="807"/>
      <c r="C29" s="847"/>
      <c r="D29" s="848"/>
      <c r="E29" s="849"/>
      <c r="F29" s="850"/>
      <c r="G29" s="851"/>
      <c r="H29" s="853"/>
      <c r="I29" s="853"/>
      <c r="J29" s="828">
        <f t="shared" si="0"/>
        <v>0</v>
      </c>
      <c r="K29" s="867"/>
      <c r="L29" s="868"/>
      <c r="M29" s="859"/>
      <c r="N29" s="860"/>
      <c r="O29" s="809"/>
      <c r="Q29" s="815"/>
      <c r="R29" s="816"/>
      <c r="S29" s="816"/>
      <c r="T29" s="816"/>
      <c r="U29" s="816"/>
      <c r="V29" s="816"/>
      <c r="W29" s="816"/>
      <c r="X29" s="816"/>
      <c r="Y29" s="816"/>
      <c r="Z29" s="816"/>
      <c r="AA29" s="816"/>
      <c r="AB29" s="816"/>
      <c r="AC29" s="816"/>
      <c r="AD29" s="817"/>
    </row>
    <row r="30" spans="2:30" s="810" customFormat="1" ht="23.1" customHeight="1">
      <c r="B30" s="807"/>
      <c r="C30" s="847"/>
      <c r="D30" s="848"/>
      <c r="E30" s="849"/>
      <c r="F30" s="850"/>
      <c r="G30" s="851"/>
      <c r="H30" s="853"/>
      <c r="I30" s="853"/>
      <c r="J30" s="828">
        <f t="shared" si="0"/>
        <v>0</v>
      </c>
      <c r="K30" s="867"/>
      <c r="L30" s="868"/>
      <c r="M30" s="859"/>
      <c r="N30" s="860"/>
      <c r="O30" s="809"/>
      <c r="Q30" s="815"/>
      <c r="R30" s="816"/>
      <c r="S30" s="816"/>
      <c r="T30" s="816"/>
      <c r="U30" s="816"/>
      <c r="V30" s="816"/>
      <c r="W30" s="816"/>
      <c r="X30" s="816"/>
      <c r="Y30" s="816"/>
      <c r="Z30" s="816"/>
      <c r="AA30" s="816"/>
      <c r="AB30" s="816"/>
      <c r="AC30" s="816"/>
      <c r="AD30" s="817"/>
    </row>
    <row r="31" spans="2:30" s="810" customFormat="1" ht="23.1" customHeight="1">
      <c r="B31" s="807"/>
      <c r="C31" s="847"/>
      <c r="D31" s="848"/>
      <c r="E31" s="849"/>
      <c r="F31" s="850"/>
      <c r="G31" s="851"/>
      <c r="H31" s="853"/>
      <c r="I31" s="853"/>
      <c r="J31" s="828">
        <f t="shared" si="0"/>
        <v>0</v>
      </c>
      <c r="K31" s="867"/>
      <c r="L31" s="868"/>
      <c r="M31" s="859"/>
      <c r="N31" s="860"/>
      <c r="O31" s="809"/>
      <c r="Q31" s="815"/>
      <c r="R31" s="816"/>
      <c r="S31" s="816"/>
      <c r="T31" s="816"/>
      <c r="U31" s="816"/>
      <c r="V31" s="816"/>
      <c r="W31" s="816"/>
      <c r="X31" s="816"/>
      <c r="Y31" s="816"/>
      <c r="Z31" s="816"/>
      <c r="AA31" s="816"/>
      <c r="AB31" s="816"/>
      <c r="AC31" s="816"/>
      <c r="AD31" s="817"/>
    </row>
    <row r="32" spans="2:30" s="810" customFormat="1" ht="23.1" customHeight="1">
      <c r="B32" s="807"/>
      <c r="C32" s="847"/>
      <c r="D32" s="848"/>
      <c r="E32" s="849"/>
      <c r="F32" s="850"/>
      <c r="G32" s="851"/>
      <c r="H32" s="853"/>
      <c r="I32" s="853"/>
      <c r="J32" s="828">
        <f t="shared" si="0"/>
        <v>0</v>
      </c>
      <c r="K32" s="867"/>
      <c r="L32" s="868"/>
      <c r="M32" s="859"/>
      <c r="N32" s="860"/>
      <c r="O32" s="809"/>
      <c r="Q32" s="815"/>
      <c r="R32" s="816"/>
      <c r="S32" s="816"/>
      <c r="T32" s="816"/>
      <c r="U32" s="816"/>
      <c r="V32" s="816"/>
      <c r="W32" s="816"/>
      <c r="X32" s="816"/>
      <c r="Y32" s="816"/>
      <c r="Z32" s="816"/>
      <c r="AA32" s="816"/>
      <c r="AB32" s="816"/>
      <c r="AC32" s="816"/>
      <c r="AD32" s="817"/>
    </row>
    <row r="33" spans="2:30" s="810" customFormat="1" ht="23.1" customHeight="1">
      <c r="B33" s="807"/>
      <c r="C33" s="847"/>
      <c r="D33" s="848"/>
      <c r="E33" s="849"/>
      <c r="F33" s="850"/>
      <c r="G33" s="851"/>
      <c r="H33" s="853"/>
      <c r="I33" s="853"/>
      <c r="J33" s="828">
        <f t="shared" si="0"/>
        <v>0</v>
      </c>
      <c r="K33" s="867"/>
      <c r="L33" s="868"/>
      <c r="M33" s="1126"/>
      <c r="N33" s="1127"/>
      <c r="O33" s="809"/>
      <c r="Q33" s="815"/>
      <c r="R33" s="816"/>
      <c r="S33" s="816"/>
      <c r="T33" s="816"/>
      <c r="U33" s="816"/>
      <c r="V33" s="816"/>
      <c r="W33" s="816"/>
      <c r="X33" s="816"/>
      <c r="Y33" s="816"/>
      <c r="Z33" s="816"/>
      <c r="AA33" s="816"/>
      <c r="AB33" s="816"/>
      <c r="AC33" s="816"/>
      <c r="AD33" s="817"/>
    </row>
    <row r="34" spans="2:30" s="810" customFormat="1" ht="23.1" customHeight="1">
      <c r="B34" s="807"/>
      <c r="C34" s="847"/>
      <c r="D34" s="848"/>
      <c r="E34" s="849"/>
      <c r="F34" s="850"/>
      <c r="G34" s="851"/>
      <c r="H34" s="853"/>
      <c r="I34" s="853"/>
      <c r="J34" s="828">
        <f t="shared" si="0"/>
        <v>0</v>
      </c>
      <c r="K34" s="867"/>
      <c r="L34" s="868"/>
      <c r="M34" s="1126"/>
      <c r="N34" s="1127"/>
      <c r="O34" s="809"/>
      <c r="Q34" s="815"/>
      <c r="R34" s="816"/>
      <c r="S34" s="816"/>
      <c r="T34" s="816"/>
      <c r="U34" s="816"/>
      <c r="V34" s="816"/>
      <c r="W34" s="816"/>
      <c r="X34" s="816"/>
      <c r="Y34" s="816"/>
      <c r="Z34" s="816"/>
      <c r="AA34" s="816"/>
      <c r="AB34" s="816"/>
      <c r="AC34" s="816"/>
      <c r="AD34" s="817"/>
    </row>
    <row r="35" spans="2:30" s="810" customFormat="1" ht="23.1" customHeight="1">
      <c r="B35" s="807"/>
      <c r="C35" s="847"/>
      <c r="D35" s="848"/>
      <c r="E35" s="849"/>
      <c r="F35" s="850"/>
      <c r="G35" s="851"/>
      <c r="H35" s="853"/>
      <c r="I35" s="853"/>
      <c r="J35" s="828">
        <f t="shared" si="0"/>
        <v>0</v>
      </c>
      <c r="K35" s="867"/>
      <c r="L35" s="868"/>
      <c r="M35" s="1126"/>
      <c r="N35" s="1127"/>
      <c r="O35" s="809"/>
      <c r="Q35" s="815"/>
      <c r="R35" s="816"/>
      <c r="S35" s="816"/>
      <c r="T35" s="816"/>
      <c r="U35" s="816"/>
      <c r="V35" s="816"/>
      <c r="W35" s="816"/>
      <c r="X35" s="816"/>
      <c r="Y35" s="816"/>
      <c r="Z35" s="816"/>
      <c r="AA35" s="816"/>
      <c r="AB35" s="816"/>
      <c r="AC35" s="816"/>
      <c r="AD35" s="817"/>
    </row>
    <row r="36" spans="2:30" s="810" customFormat="1" ht="23.1" customHeight="1">
      <c r="B36" s="807"/>
      <c r="C36" s="847"/>
      <c r="D36" s="848"/>
      <c r="E36" s="849"/>
      <c r="F36" s="850"/>
      <c r="G36" s="851"/>
      <c r="H36" s="853"/>
      <c r="I36" s="853"/>
      <c r="J36" s="828">
        <f t="shared" si="0"/>
        <v>0</v>
      </c>
      <c r="K36" s="867"/>
      <c r="L36" s="868"/>
      <c r="M36" s="1126"/>
      <c r="N36" s="1127"/>
      <c r="O36" s="809"/>
      <c r="Q36" s="815"/>
      <c r="R36" s="816"/>
      <c r="S36" s="816"/>
      <c r="T36" s="816"/>
      <c r="U36" s="816"/>
      <c r="V36" s="816"/>
      <c r="W36" s="816"/>
      <c r="X36" s="816"/>
      <c r="Y36" s="816"/>
      <c r="Z36" s="816"/>
      <c r="AA36" s="816"/>
      <c r="AB36" s="816"/>
      <c r="AC36" s="816"/>
      <c r="AD36" s="817"/>
    </row>
    <row r="37" spans="2:30" s="810" customFormat="1" ht="23.1" customHeight="1">
      <c r="B37" s="807"/>
      <c r="C37" s="847"/>
      <c r="D37" s="848"/>
      <c r="E37" s="849"/>
      <c r="F37" s="850"/>
      <c r="G37" s="851"/>
      <c r="H37" s="853"/>
      <c r="I37" s="853"/>
      <c r="J37" s="828">
        <f t="shared" si="0"/>
        <v>0</v>
      </c>
      <c r="K37" s="867"/>
      <c r="L37" s="868"/>
      <c r="M37" s="1126"/>
      <c r="N37" s="1127"/>
      <c r="O37" s="809"/>
      <c r="Q37" s="815"/>
      <c r="R37" s="816"/>
      <c r="S37" s="816"/>
      <c r="T37" s="816"/>
      <c r="U37" s="816"/>
      <c r="V37" s="816"/>
      <c r="W37" s="816"/>
      <c r="X37" s="816"/>
      <c r="Y37" s="816"/>
      <c r="Z37" s="816"/>
      <c r="AA37" s="816"/>
      <c r="AB37" s="816"/>
      <c r="AC37" s="816"/>
      <c r="AD37" s="817"/>
    </row>
    <row r="38" spans="2:30" s="810" customFormat="1" ht="23.1" customHeight="1">
      <c r="B38" s="807"/>
      <c r="C38" s="847"/>
      <c r="D38" s="848"/>
      <c r="E38" s="849"/>
      <c r="F38" s="850"/>
      <c r="G38" s="851"/>
      <c r="H38" s="853"/>
      <c r="I38" s="853"/>
      <c r="J38" s="828">
        <f t="shared" si="0"/>
        <v>0</v>
      </c>
      <c r="K38" s="867"/>
      <c r="L38" s="868"/>
      <c r="M38" s="1126"/>
      <c r="N38" s="1127"/>
      <c r="O38" s="809"/>
      <c r="Q38" s="821"/>
      <c r="R38" s="431"/>
      <c r="S38" s="431"/>
      <c r="T38" s="431"/>
      <c r="U38" s="431"/>
      <c r="V38" s="431"/>
      <c r="W38" s="431"/>
      <c r="X38" s="431"/>
      <c r="Y38" s="431"/>
      <c r="Z38" s="431"/>
      <c r="AA38" s="431"/>
      <c r="AB38" s="431"/>
      <c r="AC38" s="431"/>
      <c r="AD38" s="822"/>
    </row>
    <row r="39" spans="2:30" s="810" customFormat="1" ht="23.1" customHeight="1">
      <c r="B39" s="807"/>
      <c r="C39" s="847"/>
      <c r="D39" s="848"/>
      <c r="E39" s="849"/>
      <c r="F39" s="850"/>
      <c r="G39" s="851"/>
      <c r="H39" s="853"/>
      <c r="I39" s="853"/>
      <c r="J39" s="828">
        <f t="shared" si="0"/>
        <v>0</v>
      </c>
      <c r="K39" s="867"/>
      <c r="L39" s="868"/>
      <c r="M39" s="1126"/>
      <c r="N39" s="1127"/>
      <c r="O39" s="809"/>
      <c r="Q39" s="821"/>
      <c r="R39" s="431"/>
      <c r="S39" s="431"/>
      <c r="T39" s="431"/>
      <c r="U39" s="431"/>
      <c r="V39" s="431"/>
      <c r="W39" s="431"/>
      <c r="X39" s="431"/>
      <c r="Y39" s="431"/>
      <c r="Z39" s="431"/>
      <c r="AA39" s="431"/>
      <c r="AB39" s="431"/>
      <c r="AC39" s="431"/>
      <c r="AD39" s="822"/>
    </row>
    <row r="40" spans="2:30" s="810" customFormat="1" ht="23.1" customHeight="1">
      <c r="B40" s="807"/>
      <c r="C40" s="847"/>
      <c r="D40" s="848"/>
      <c r="E40" s="849"/>
      <c r="F40" s="850"/>
      <c r="G40" s="851"/>
      <c r="H40" s="853"/>
      <c r="I40" s="853"/>
      <c r="J40" s="828">
        <f t="shared" si="0"/>
        <v>0</v>
      </c>
      <c r="K40" s="867"/>
      <c r="L40" s="868"/>
      <c r="M40" s="1126"/>
      <c r="N40" s="1127"/>
      <c r="O40" s="809"/>
      <c r="Q40" s="815"/>
      <c r="R40" s="816"/>
      <c r="S40" s="816"/>
      <c r="T40" s="816"/>
      <c r="U40" s="816"/>
      <c r="V40" s="816"/>
      <c r="W40" s="816"/>
      <c r="X40" s="816"/>
      <c r="Y40" s="816"/>
      <c r="Z40" s="816"/>
      <c r="AA40" s="816"/>
      <c r="AB40" s="816"/>
      <c r="AC40" s="816"/>
      <c r="AD40" s="817"/>
    </row>
    <row r="41" spans="2:30" s="810" customFormat="1" ht="23.1" customHeight="1">
      <c r="B41" s="807"/>
      <c r="C41" s="847"/>
      <c r="D41" s="848"/>
      <c r="E41" s="849"/>
      <c r="F41" s="850"/>
      <c r="G41" s="851"/>
      <c r="H41" s="853"/>
      <c r="I41" s="853"/>
      <c r="J41" s="828">
        <f t="shared" si="0"/>
        <v>0</v>
      </c>
      <c r="K41" s="867"/>
      <c r="L41" s="868"/>
      <c r="M41" s="1126"/>
      <c r="N41" s="1127"/>
      <c r="O41" s="809"/>
      <c r="Q41" s="815"/>
      <c r="R41" s="816"/>
      <c r="S41" s="816"/>
      <c r="T41" s="816"/>
      <c r="U41" s="816"/>
      <c r="V41" s="816"/>
      <c r="W41" s="816"/>
      <c r="X41" s="816"/>
      <c r="Y41" s="816"/>
      <c r="Z41" s="816"/>
      <c r="AA41" s="816"/>
      <c r="AB41" s="816"/>
      <c r="AC41" s="816"/>
      <c r="AD41" s="817"/>
    </row>
    <row r="42" spans="2:30" s="810" customFormat="1" ht="23.1" customHeight="1">
      <c r="B42" s="807"/>
      <c r="C42" s="847"/>
      <c r="D42" s="848"/>
      <c r="E42" s="849"/>
      <c r="F42" s="850"/>
      <c r="G42" s="851"/>
      <c r="H42" s="853"/>
      <c r="I42" s="853"/>
      <c r="J42" s="828">
        <f t="shared" si="0"/>
        <v>0</v>
      </c>
      <c r="K42" s="867"/>
      <c r="L42" s="868"/>
      <c r="M42" s="1126"/>
      <c r="N42" s="1127"/>
      <c r="O42" s="809"/>
      <c r="Q42" s="815"/>
      <c r="R42" s="816"/>
      <c r="S42" s="816"/>
      <c r="T42" s="816"/>
      <c r="U42" s="816"/>
      <c r="V42" s="816"/>
      <c r="W42" s="816"/>
      <c r="X42" s="816"/>
      <c r="Y42" s="816"/>
      <c r="Z42" s="816"/>
      <c r="AA42" s="816"/>
      <c r="AB42" s="816"/>
      <c r="AC42" s="816"/>
      <c r="AD42" s="817"/>
    </row>
    <row r="43" spans="2:30" s="810" customFormat="1" ht="23.1" customHeight="1" thickBot="1">
      <c r="B43" s="807"/>
      <c r="C43" s="854"/>
      <c r="D43" s="855"/>
      <c r="E43" s="855"/>
      <c r="F43" s="856"/>
      <c r="G43" s="857"/>
      <c r="H43" s="911"/>
      <c r="I43" s="911"/>
      <c r="J43" s="829">
        <f t="shared" si="0"/>
        <v>0</v>
      </c>
      <c r="K43" s="869"/>
      <c r="L43" s="870"/>
      <c r="M43" s="1132"/>
      <c r="N43" s="1133"/>
      <c r="O43" s="809"/>
      <c r="Q43" s="823"/>
      <c r="R43" s="824"/>
      <c r="S43" s="824"/>
      <c r="T43" s="824"/>
      <c r="U43" s="824"/>
      <c r="V43" s="824"/>
      <c r="W43" s="824"/>
      <c r="X43" s="824"/>
      <c r="Y43" s="824"/>
      <c r="Z43" s="824"/>
      <c r="AA43" s="824"/>
      <c r="AB43" s="824"/>
      <c r="AC43" s="824"/>
      <c r="AD43" s="825"/>
    </row>
    <row r="44" spans="2:30" s="810" customFormat="1" ht="23.1" customHeight="1" thickBot="1">
      <c r="B44" s="807"/>
      <c r="C44" s="830" t="s">
        <v>393</v>
      </c>
      <c r="D44" s="831">
        <f>SUM(D14:D43)</f>
        <v>210</v>
      </c>
      <c r="E44" s="832"/>
      <c r="F44" s="833"/>
      <c r="G44" s="834"/>
      <c r="H44" s="858"/>
      <c r="I44" s="858"/>
      <c r="J44" s="835">
        <f>SUM(J14:J43)</f>
        <v>631062.60000000009</v>
      </c>
      <c r="K44" s="858"/>
      <c r="L44" s="836">
        <f>K44*D44</f>
        <v>0</v>
      </c>
      <c r="M44" s="808"/>
      <c r="N44" s="808"/>
      <c r="O44" s="809"/>
      <c r="Q44" s="823"/>
      <c r="R44" s="824"/>
      <c r="S44" s="824"/>
      <c r="T44" s="824"/>
      <c r="U44" s="824"/>
      <c r="V44" s="824"/>
      <c r="W44" s="824"/>
      <c r="X44" s="824"/>
      <c r="Y44" s="824"/>
      <c r="Z44" s="824"/>
      <c r="AA44" s="824"/>
      <c r="AB44" s="824"/>
      <c r="AC44" s="824"/>
      <c r="AD44" s="825"/>
    </row>
    <row r="45" spans="2:30" s="810" customFormat="1" ht="23.1" customHeight="1">
      <c r="B45" s="807"/>
      <c r="C45" s="814"/>
      <c r="D45" s="814"/>
      <c r="E45" s="814"/>
      <c r="F45" s="814"/>
      <c r="G45" s="814"/>
      <c r="H45" s="808"/>
      <c r="I45" s="808"/>
      <c r="J45" s="808"/>
      <c r="K45" s="808"/>
      <c r="L45" s="808"/>
      <c r="M45" s="808"/>
      <c r="N45" s="808"/>
      <c r="O45" s="809"/>
      <c r="Q45" s="823"/>
      <c r="R45" s="824"/>
      <c r="S45" s="824"/>
      <c r="T45" s="824"/>
      <c r="U45" s="824"/>
      <c r="V45" s="824"/>
      <c r="W45" s="824"/>
      <c r="X45" s="824"/>
      <c r="Y45" s="824"/>
      <c r="Z45" s="824"/>
      <c r="AA45" s="824"/>
      <c r="AB45" s="824"/>
      <c r="AC45" s="824"/>
      <c r="AD45" s="825"/>
    </row>
    <row r="46" spans="2:30" ht="23.1" customHeight="1">
      <c r="B46" s="768"/>
      <c r="C46" s="725" t="s">
        <v>416</v>
      </c>
      <c r="D46" s="655"/>
      <c r="E46" s="655"/>
      <c r="F46" s="655"/>
      <c r="G46" s="655"/>
      <c r="H46" s="763"/>
      <c r="I46" s="763"/>
      <c r="J46" s="763"/>
      <c r="K46" s="763"/>
      <c r="L46" s="763"/>
      <c r="M46" s="763"/>
      <c r="N46" s="763"/>
      <c r="O46" s="770"/>
      <c r="Q46" s="443"/>
      <c r="R46" s="444"/>
      <c r="S46" s="444"/>
      <c r="T46" s="444"/>
      <c r="U46" s="444"/>
      <c r="V46" s="444"/>
      <c r="W46" s="444"/>
      <c r="X46" s="444"/>
      <c r="Y46" s="444"/>
      <c r="Z46" s="444"/>
      <c r="AA46" s="444"/>
      <c r="AB46" s="444"/>
      <c r="AC46" s="444"/>
      <c r="AD46" s="445"/>
    </row>
    <row r="47" spans="2:30" ht="23.1" customHeight="1">
      <c r="B47" s="768"/>
      <c r="C47" s="797" t="s">
        <v>776</v>
      </c>
      <c r="D47" s="655"/>
      <c r="E47" s="655"/>
      <c r="F47" s="655"/>
      <c r="G47" s="655"/>
      <c r="H47" s="763"/>
      <c r="I47" s="763"/>
      <c r="J47" s="763"/>
      <c r="K47" s="763"/>
      <c r="L47" s="763"/>
      <c r="M47" s="763"/>
      <c r="N47" s="763"/>
      <c r="O47" s="770"/>
      <c r="Q47" s="443"/>
      <c r="R47" s="444"/>
      <c r="S47" s="444"/>
      <c r="T47" s="444"/>
      <c r="U47" s="444"/>
      <c r="V47" s="444"/>
      <c r="W47" s="444"/>
      <c r="X47" s="444"/>
      <c r="Y47" s="444"/>
      <c r="Z47" s="444"/>
      <c r="AA47" s="444"/>
      <c r="AB47" s="444"/>
      <c r="AC47" s="444"/>
      <c r="AD47" s="445"/>
    </row>
    <row r="48" spans="2:30" ht="23.1" customHeight="1">
      <c r="B48" s="768"/>
      <c r="C48" s="797" t="s">
        <v>779</v>
      </c>
      <c r="D48" s="655"/>
      <c r="E48" s="655"/>
      <c r="F48" s="655"/>
      <c r="G48" s="655"/>
      <c r="H48" s="763"/>
      <c r="I48" s="763"/>
      <c r="J48" s="655">
        <f>ejercicio-2</f>
        <v>2016</v>
      </c>
      <c r="K48" s="763" t="s">
        <v>778</v>
      </c>
      <c r="L48" s="763"/>
      <c r="M48" s="763"/>
      <c r="N48" s="763"/>
      <c r="O48" s="770"/>
      <c r="Q48" s="443"/>
      <c r="R48" s="444"/>
      <c r="S48" s="444"/>
      <c r="T48" s="444"/>
      <c r="U48" s="444"/>
      <c r="V48" s="444"/>
      <c r="W48" s="444"/>
      <c r="X48" s="444"/>
      <c r="Y48" s="444"/>
      <c r="Z48" s="444"/>
      <c r="AA48" s="444"/>
      <c r="AB48" s="444"/>
      <c r="AC48" s="444"/>
      <c r="AD48" s="445"/>
    </row>
    <row r="49" spans="2:30" ht="23.1" customHeight="1" thickBot="1">
      <c r="B49" s="798"/>
      <c r="C49" s="1120"/>
      <c r="D49" s="1120"/>
      <c r="E49" s="1120"/>
      <c r="F49" s="1120"/>
      <c r="G49" s="1120"/>
      <c r="H49" s="799"/>
      <c r="I49" s="799"/>
      <c r="J49" s="799"/>
      <c r="K49" s="799"/>
      <c r="L49" s="799"/>
      <c r="M49" s="799"/>
      <c r="N49" s="799"/>
      <c r="O49" s="800"/>
      <c r="Q49" s="446"/>
      <c r="R49" s="447"/>
      <c r="S49" s="447"/>
      <c r="T49" s="447"/>
      <c r="U49" s="447"/>
      <c r="V49" s="447"/>
      <c r="W49" s="447"/>
      <c r="X49" s="447"/>
      <c r="Y49" s="447"/>
      <c r="Z49" s="447"/>
      <c r="AA49" s="447"/>
      <c r="AB49" s="447"/>
      <c r="AC49" s="447"/>
      <c r="AD49" s="448"/>
    </row>
    <row r="50" spans="2:30" ht="23.1" customHeight="1">
      <c r="C50" s="763"/>
      <c r="D50" s="763"/>
      <c r="E50" s="763"/>
      <c r="F50" s="763"/>
      <c r="G50" s="763"/>
      <c r="H50" s="763"/>
      <c r="I50" s="763"/>
      <c r="J50" s="763"/>
      <c r="K50" s="763"/>
      <c r="L50" s="763"/>
      <c r="M50" s="763"/>
      <c r="N50" s="763"/>
    </row>
    <row r="51" spans="2:30" ht="13.2">
      <c r="C51" s="801" t="s">
        <v>77</v>
      </c>
      <c r="D51" s="763"/>
      <c r="E51" s="763"/>
      <c r="F51" s="763"/>
      <c r="G51" s="763"/>
      <c r="H51" s="763"/>
      <c r="I51" s="763"/>
      <c r="J51" s="763"/>
      <c r="K51" s="763"/>
      <c r="L51" s="763"/>
      <c r="M51" s="763"/>
      <c r="N51" s="732" t="s">
        <v>787</v>
      </c>
    </row>
    <row r="52" spans="2:30" ht="13.2">
      <c r="C52" s="802" t="s">
        <v>78</v>
      </c>
      <c r="D52" s="763"/>
      <c r="E52" s="763"/>
      <c r="F52" s="763"/>
      <c r="G52" s="763"/>
      <c r="H52" s="763"/>
      <c r="I52" s="763"/>
      <c r="J52" s="763"/>
      <c r="K52" s="763"/>
      <c r="L52" s="763"/>
      <c r="M52" s="763"/>
      <c r="N52" s="763"/>
    </row>
    <row r="53" spans="2:30" ht="13.2">
      <c r="C53" s="802" t="s">
        <v>79</v>
      </c>
      <c r="D53" s="763"/>
      <c r="E53" s="763"/>
      <c r="F53" s="763"/>
      <c r="G53" s="763"/>
      <c r="H53" s="763"/>
      <c r="I53" s="763"/>
      <c r="J53" s="763"/>
      <c r="K53" s="763"/>
      <c r="L53" s="763"/>
      <c r="M53" s="763"/>
      <c r="N53" s="763"/>
    </row>
    <row r="54" spans="2:30" ht="13.2">
      <c r="C54" s="802" t="s">
        <v>80</v>
      </c>
      <c r="D54" s="763"/>
      <c r="E54" s="763"/>
      <c r="F54" s="763"/>
      <c r="G54" s="763"/>
      <c r="H54" s="763"/>
      <c r="I54" s="763"/>
      <c r="J54" s="763"/>
      <c r="K54" s="763"/>
      <c r="L54" s="763"/>
      <c r="M54" s="763"/>
      <c r="N54" s="763"/>
    </row>
    <row r="55" spans="2:30" ht="13.2">
      <c r="C55" s="802" t="s">
        <v>81</v>
      </c>
      <c r="D55" s="763"/>
      <c r="E55" s="763"/>
      <c r="F55" s="763"/>
      <c r="G55" s="763"/>
      <c r="H55" s="763"/>
      <c r="I55" s="763"/>
      <c r="J55" s="763"/>
      <c r="K55" s="763"/>
      <c r="L55" s="763"/>
      <c r="M55" s="763"/>
      <c r="N55" s="763"/>
    </row>
    <row r="56" spans="2:30" ht="23.1" customHeight="1">
      <c r="C56" s="763"/>
      <c r="D56" s="763"/>
      <c r="E56" s="763"/>
      <c r="F56" s="763"/>
      <c r="G56" s="763"/>
      <c r="H56" s="763"/>
      <c r="I56" s="763"/>
      <c r="J56" s="763"/>
      <c r="K56" s="763"/>
      <c r="L56" s="763"/>
      <c r="M56" s="763"/>
      <c r="N56" s="763"/>
    </row>
    <row r="57" spans="2:30" ht="23.1" customHeight="1">
      <c r="C57" s="763"/>
      <c r="D57" s="763"/>
      <c r="E57" s="763"/>
      <c r="F57" s="763"/>
      <c r="G57" s="763"/>
      <c r="H57" s="763"/>
      <c r="I57" s="763"/>
      <c r="J57" s="763"/>
      <c r="K57" s="763"/>
      <c r="L57" s="763"/>
      <c r="M57" s="763"/>
      <c r="N57" s="763"/>
    </row>
    <row r="58" spans="2:30" ht="23.1" customHeight="1">
      <c r="C58" s="763"/>
      <c r="D58" s="763"/>
      <c r="E58" s="763"/>
      <c r="F58" s="763"/>
      <c r="G58" s="763"/>
      <c r="H58" s="763"/>
      <c r="I58" s="763"/>
      <c r="J58" s="763"/>
      <c r="K58" s="763"/>
      <c r="L58" s="763"/>
      <c r="M58" s="763"/>
      <c r="N58" s="763"/>
    </row>
    <row r="59" spans="2:30" ht="23.1" customHeight="1">
      <c r="C59" s="763"/>
      <c r="D59" s="763"/>
      <c r="E59" s="763"/>
      <c r="F59" s="763"/>
      <c r="G59" s="763"/>
      <c r="H59" s="763"/>
      <c r="I59" s="763"/>
      <c r="J59" s="763"/>
      <c r="K59" s="763"/>
      <c r="L59" s="763"/>
      <c r="M59" s="763"/>
      <c r="N59" s="763"/>
    </row>
    <row r="60" spans="2:30" ht="23.1" customHeight="1">
      <c r="G60" s="763"/>
      <c r="H60" s="763"/>
      <c r="I60" s="763"/>
      <c r="J60" s="763"/>
      <c r="K60" s="763"/>
      <c r="L60" s="763"/>
      <c r="M60" s="763"/>
      <c r="N60" s="763"/>
    </row>
  </sheetData>
  <sheetProtection password="E059" sheet="1" objects="1" scenarios="1"/>
  <mergeCells count="26">
    <mergeCell ref="M36:N36"/>
    <mergeCell ref="M37:N37"/>
    <mergeCell ref="M38:N38"/>
    <mergeCell ref="M39:N39"/>
    <mergeCell ref="M40:N40"/>
    <mergeCell ref="C49:G49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34:N34"/>
    <mergeCell ref="M41:N41"/>
    <mergeCell ref="M42:N42"/>
    <mergeCell ref="M43:N43"/>
    <mergeCell ref="E13:F13"/>
    <mergeCell ref="M35:N35"/>
    <mergeCell ref="N6:N7"/>
    <mergeCell ref="D9:M9"/>
    <mergeCell ref="M22:N22"/>
    <mergeCell ref="M23:N23"/>
    <mergeCell ref="M33:N33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34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7"/>
  <sheetViews>
    <sheetView zoomScale="70" zoomScaleNormal="70" zoomScalePageLayoutView="85" workbookViewId="0">
      <selection activeCell="D34" sqref="D34"/>
    </sheetView>
  </sheetViews>
  <sheetFormatPr baseColWidth="10" defaultColWidth="10.90625" defaultRowHeight="23.1" customHeight="1"/>
  <cols>
    <col min="1" max="2" width="3.08984375" style="42" customWidth="1"/>
    <col min="3" max="3" width="13.54296875" style="42" customWidth="1"/>
    <col min="4" max="4" width="76.90625" style="42" customWidth="1"/>
    <col min="5" max="7" width="18.08984375" style="42" customWidth="1"/>
    <col min="8" max="8" width="3.08984375" style="42" customWidth="1"/>
    <col min="9" max="16384" width="10.90625" style="42"/>
  </cols>
  <sheetData>
    <row r="1" spans="2:23" ht="23.1" customHeight="1">
      <c r="D1" s="44"/>
    </row>
    <row r="2" spans="2:23" ht="23.1" customHeight="1">
      <c r="D2" s="63" t="s">
        <v>31</v>
      </c>
    </row>
    <row r="3" spans="2:23" ht="23.1" customHeight="1">
      <c r="D3" s="63" t="s">
        <v>32</v>
      </c>
    </row>
    <row r="4" spans="2:23" ht="23.1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427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9"/>
    </row>
    <row r="6" spans="2:23" ht="30" customHeight="1">
      <c r="B6" s="48"/>
      <c r="C6" s="1" t="s">
        <v>0</v>
      </c>
      <c r="D6" s="44"/>
      <c r="E6" s="44"/>
      <c r="F6" s="44"/>
      <c r="G6" s="1111">
        <f>ejercicio</f>
        <v>2018</v>
      </c>
      <c r="H6" s="50"/>
      <c r="J6" s="430"/>
      <c r="K6" s="431" t="s">
        <v>707</v>
      </c>
      <c r="L6" s="432"/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3"/>
    </row>
    <row r="7" spans="2:23" ht="30" customHeight="1">
      <c r="B7" s="48"/>
      <c r="C7" s="1" t="s">
        <v>1</v>
      </c>
      <c r="D7" s="44"/>
      <c r="E7" s="44"/>
      <c r="F7" s="44"/>
      <c r="G7" s="1111"/>
      <c r="H7" s="50"/>
      <c r="J7" s="430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3"/>
    </row>
    <row r="8" spans="2:23" ht="30" customHeight="1">
      <c r="B8" s="48"/>
      <c r="C8" s="49"/>
      <c r="D8" s="44"/>
      <c r="E8" s="44"/>
      <c r="F8" s="44"/>
      <c r="G8" s="51"/>
      <c r="H8" s="50"/>
      <c r="J8" s="430"/>
      <c r="K8" s="432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3"/>
    </row>
    <row r="9" spans="2:23" s="60" customFormat="1" ht="30" customHeight="1">
      <c r="B9" s="58"/>
      <c r="C9" s="39" t="s">
        <v>2</v>
      </c>
      <c r="D9" s="1135" t="str">
        <f>Entidad</f>
        <v>SPET, Turismo de Tenerife, S.A.</v>
      </c>
      <c r="E9" s="1135"/>
      <c r="F9" s="1135"/>
      <c r="G9" s="1135"/>
      <c r="H9" s="59"/>
      <c r="J9" s="434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6"/>
    </row>
    <row r="10" spans="2:23" ht="7.35" customHeight="1">
      <c r="B10" s="48"/>
      <c r="C10" s="44"/>
      <c r="D10" s="44"/>
      <c r="E10" s="44"/>
      <c r="F10" s="44"/>
      <c r="G10" s="44"/>
      <c r="H10" s="50"/>
      <c r="J10" s="430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3"/>
    </row>
    <row r="11" spans="2:23" s="62" customFormat="1" ht="30" customHeight="1">
      <c r="B11" s="24"/>
      <c r="C11" s="11" t="s">
        <v>85</v>
      </c>
      <c r="D11" s="11"/>
      <c r="E11" s="11"/>
      <c r="F11" s="11"/>
      <c r="G11" s="11"/>
      <c r="H11" s="61"/>
      <c r="J11" s="437"/>
      <c r="K11" s="438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9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37"/>
      <c r="K12" s="438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439"/>
    </row>
    <row r="13" spans="2:23" ht="23.1" customHeight="1">
      <c r="B13" s="48"/>
      <c r="C13" s="346"/>
      <c r="D13" s="347"/>
      <c r="E13" s="348" t="s">
        <v>183</v>
      </c>
      <c r="F13" s="349" t="s">
        <v>184</v>
      </c>
      <c r="G13" s="350" t="s">
        <v>185</v>
      </c>
      <c r="H13" s="50"/>
      <c r="J13" s="430"/>
      <c r="K13" s="432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3"/>
    </row>
    <row r="14" spans="2:23" ht="23.1" customHeight="1">
      <c r="B14" s="48"/>
      <c r="C14" s="351"/>
      <c r="D14" s="70"/>
      <c r="E14" s="332">
        <f>ejercicio-2</f>
        <v>2016</v>
      </c>
      <c r="F14" s="339">
        <f>ejercicio-1</f>
        <v>2017</v>
      </c>
      <c r="G14" s="331">
        <f>ejercicio</f>
        <v>2018</v>
      </c>
      <c r="H14" s="50"/>
      <c r="J14" s="430"/>
      <c r="K14" s="432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3"/>
    </row>
    <row r="15" spans="2:23" ht="23.1" customHeight="1">
      <c r="B15" s="48"/>
      <c r="C15" s="352" t="s">
        <v>86</v>
      </c>
      <c r="D15" s="88" t="s">
        <v>87</v>
      </c>
      <c r="E15" s="132"/>
      <c r="F15" s="132"/>
      <c r="G15" s="132"/>
      <c r="H15" s="50"/>
      <c r="J15" s="430"/>
      <c r="K15" s="432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3"/>
    </row>
    <row r="16" spans="2:23" ht="23.1" customHeight="1">
      <c r="B16" s="48"/>
      <c r="C16" s="356" t="s">
        <v>88</v>
      </c>
      <c r="D16" s="72" t="s">
        <v>747</v>
      </c>
      <c r="E16" s="134">
        <f>SUM(E17:E19)</f>
        <v>1131177.94</v>
      </c>
      <c r="F16" s="134">
        <f>SUM(F17:F19)</f>
        <v>1344929.24</v>
      </c>
      <c r="G16" s="134">
        <f>SUM(G17:G19)</f>
        <v>1339288.1599999999</v>
      </c>
      <c r="H16" s="50"/>
      <c r="J16" s="430"/>
      <c r="K16" s="432"/>
      <c r="L16" s="432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3"/>
    </row>
    <row r="17" spans="2:23" ht="23.1" customHeight="1">
      <c r="B17" s="48"/>
      <c r="C17" s="358" t="s">
        <v>89</v>
      </c>
      <c r="D17" s="73" t="s">
        <v>90</v>
      </c>
      <c r="E17" s="469"/>
      <c r="F17" s="469"/>
      <c r="G17" s="469"/>
      <c r="H17" s="50"/>
      <c r="J17" s="430"/>
      <c r="K17" s="432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3"/>
    </row>
    <row r="18" spans="2:23" ht="23.1" customHeight="1">
      <c r="B18" s="48"/>
      <c r="C18" s="359" t="s">
        <v>91</v>
      </c>
      <c r="D18" s="74" t="s">
        <v>92</v>
      </c>
      <c r="E18" s="470">
        <v>1131177.94</v>
      </c>
      <c r="F18" s="470">
        <v>1344929.24</v>
      </c>
      <c r="G18" s="470">
        <v>1339288.1599999999</v>
      </c>
      <c r="H18" s="50"/>
      <c r="J18" s="430"/>
      <c r="K18" s="432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3"/>
    </row>
    <row r="19" spans="2:23" ht="23.1" customHeight="1">
      <c r="B19" s="48"/>
      <c r="C19" s="359" t="s">
        <v>93</v>
      </c>
      <c r="D19" s="74" t="s">
        <v>94</v>
      </c>
      <c r="E19" s="470"/>
      <c r="F19" s="470"/>
      <c r="G19" s="470"/>
      <c r="H19" s="50"/>
      <c r="J19" s="430"/>
      <c r="K19" s="432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3"/>
    </row>
    <row r="20" spans="2:23" ht="23.1" customHeight="1">
      <c r="B20" s="48"/>
      <c r="C20" s="356" t="s">
        <v>95</v>
      </c>
      <c r="D20" s="72" t="s">
        <v>96</v>
      </c>
      <c r="E20" s="471"/>
      <c r="F20" s="471"/>
      <c r="G20" s="471"/>
      <c r="H20" s="50"/>
      <c r="J20" s="430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3"/>
    </row>
    <row r="21" spans="2:23" ht="23.1" customHeight="1">
      <c r="B21" s="48"/>
      <c r="C21" s="356" t="s">
        <v>97</v>
      </c>
      <c r="D21" s="72" t="s">
        <v>98</v>
      </c>
      <c r="E21" s="471"/>
      <c r="F21" s="471"/>
      <c r="G21" s="471"/>
      <c r="H21" s="50"/>
      <c r="J21" s="430"/>
      <c r="K21" s="432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3"/>
    </row>
    <row r="22" spans="2:23" ht="23.1" customHeight="1">
      <c r="B22" s="48"/>
      <c r="C22" s="356" t="s">
        <v>99</v>
      </c>
      <c r="D22" s="72" t="s">
        <v>100</v>
      </c>
      <c r="E22" s="134">
        <f>SUM(E23:E26)</f>
        <v>-5762.52</v>
      </c>
      <c r="F22" s="134">
        <f t="shared" ref="F22:G22" si="0">SUM(F23:F26)</f>
        <v>0</v>
      </c>
      <c r="G22" s="134">
        <f t="shared" si="0"/>
        <v>0</v>
      </c>
      <c r="H22" s="50"/>
      <c r="J22" s="430"/>
      <c r="K22" s="432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3"/>
    </row>
    <row r="23" spans="2:23" ht="23.1" customHeight="1">
      <c r="B23" s="48"/>
      <c r="C23" s="358" t="s">
        <v>89</v>
      </c>
      <c r="D23" s="73" t="s">
        <v>101</v>
      </c>
      <c r="E23" s="469">
        <v>-5762.52</v>
      </c>
      <c r="F23" s="469">
        <v>0</v>
      </c>
      <c r="G23" s="469">
        <v>0</v>
      </c>
      <c r="H23" s="50"/>
      <c r="J23" s="430"/>
      <c r="K23" s="432"/>
      <c r="L23" s="432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3"/>
    </row>
    <row r="24" spans="2:23" ht="23.1" customHeight="1">
      <c r="B24" s="48"/>
      <c r="C24" s="359" t="s">
        <v>91</v>
      </c>
      <c r="D24" s="74" t="s">
        <v>102</v>
      </c>
      <c r="E24" s="470"/>
      <c r="F24" s="470"/>
      <c r="G24" s="470"/>
      <c r="H24" s="50"/>
      <c r="J24" s="430"/>
      <c r="K24" s="432"/>
      <c r="L24" s="432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3"/>
    </row>
    <row r="25" spans="2:23" ht="23.1" customHeight="1">
      <c r="B25" s="48"/>
      <c r="C25" s="359" t="s">
        <v>93</v>
      </c>
      <c r="D25" s="74" t="s">
        <v>103</v>
      </c>
      <c r="E25" s="470"/>
      <c r="F25" s="470"/>
      <c r="G25" s="470"/>
      <c r="H25" s="50"/>
      <c r="J25" s="430"/>
      <c r="K25" s="432"/>
      <c r="L25" s="432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3"/>
    </row>
    <row r="26" spans="2:23" ht="23.1" customHeight="1">
      <c r="B26" s="48"/>
      <c r="C26" s="359" t="s">
        <v>104</v>
      </c>
      <c r="D26" s="74" t="s">
        <v>105</v>
      </c>
      <c r="E26" s="470"/>
      <c r="F26" s="470"/>
      <c r="G26" s="470"/>
      <c r="H26" s="50"/>
      <c r="J26" s="430"/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3"/>
    </row>
    <row r="27" spans="2:23" ht="23.1" customHeight="1">
      <c r="B27" s="48"/>
      <c r="C27" s="356" t="s">
        <v>106</v>
      </c>
      <c r="D27" s="72" t="s">
        <v>750</v>
      </c>
      <c r="E27" s="134">
        <f>SUM(E28:E29)</f>
        <v>10455473.24</v>
      </c>
      <c r="F27" s="134">
        <f t="shared" ref="F27:G27" si="1">SUM(F28:F29)</f>
        <v>10886352.780000001</v>
      </c>
      <c r="G27" s="134">
        <f t="shared" si="1"/>
        <v>11851286.25</v>
      </c>
      <c r="H27" s="50"/>
      <c r="J27" s="430"/>
      <c r="K27" s="432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3"/>
    </row>
    <row r="28" spans="2:23" ht="23.1" customHeight="1">
      <c r="B28" s="48"/>
      <c r="C28" s="358" t="s">
        <v>89</v>
      </c>
      <c r="D28" s="73" t="s">
        <v>107</v>
      </c>
      <c r="E28" s="469"/>
      <c r="F28" s="469"/>
      <c r="G28" s="469"/>
      <c r="H28" s="50"/>
      <c r="J28" s="430"/>
      <c r="K28" s="432"/>
      <c r="L28" s="432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3"/>
    </row>
    <row r="29" spans="2:23" ht="23.1" customHeight="1">
      <c r="B29" s="48"/>
      <c r="C29" s="359" t="s">
        <v>91</v>
      </c>
      <c r="D29" s="74" t="s">
        <v>108</v>
      </c>
      <c r="E29" s="470">
        <v>10455473.24</v>
      </c>
      <c r="F29" s="470">
        <v>10886352.780000001</v>
      </c>
      <c r="G29" s="470">
        <f>11369286.25-18000+500000</f>
        <v>11851286.25</v>
      </c>
      <c r="H29" s="50"/>
      <c r="J29" s="430"/>
      <c r="K29" s="432"/>
      <c r="L29" s="432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3"/>
    </row>
    <row r="30" spans="2:23" ht="23.1" customHeight="1">
      <c r="B30" s="48"/>
      <c r="C30" s="356" t="s">
        <v>109</v>
      </c>
      <c r="D30" s="72" t="s">
        <v>110</v>
      </c>
      <c r="E30" s="134">
        <f>SUM(E31:E33)</f>
        <v>-2019898.33</v>
      </c>
      <c r="F30" s="134">
        <f t="shared" ref="F30:G30" si="2">SUM(F31:F33)</f>
        <v>-2017619.26</v>
      </c>
      <c r="G30" s="134">
        <f t="shared" si="2"/>
        <v>-2133144.6</v>
      </c>
      <c r="H30" s="50"/>
      <c r="J30" s="440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2"/>
    </row>
    <row r="31" spans="2:23" ht="23.1" customHeight="1">
      <c r="B31" s="48"/>
      <c r="C31" s="358" t="s">
        <v>89</v>
      </c>
      <c r="D31" s="73" t="s">
        <v>111</v>
      </c>
      <c r="E31" s="469">
        <v>-1563740.47</v>
      </c>
      <c r="F31" s="469">
        <v>-1544350.55</v>
      </c>
      <c r="G31" s="469">
        <f>-'FC-13_PERSONAL'!J45</f>
        <v>-1624533.97</v>
      </c>
      <c r="H31" s="50"/>
      <c r="J31" s="440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2"/>
    </row>
    <row r="32" spans="2:23" ht="23.1" customHeight="1">
      <c r="B32" s="48"/>
      <c r="C32" s="359" t="s">
        <v>91</v>
      </c>
      <c r="D32" s="74" t="s">
        <v>112</v>
      </c>
      <c r="E32" s="470">
        <v>-456157.86</v>
      </c>
      <c r="F32" s="470">
        <v>-473268.71</v>
      </c>
      <c r="G32" s="470">
        <f>-'FC-13_PERSONAL'!F53</f>
        <v>-508610.63</v>
      </c>
      <c r="H32" s="50"/>
      <c r="J32" s="430"/>
      <c r="K32" s="432"/>
      <c r="L32" s="432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433"/>
    </row>
    <row r="33" spans="2:23" ht="23.1" customHeight="1">
      <c r="B33" s="48"/>
      <c r="C33" s="359" t="s">
        <v>93</v>
      </c>
      <c r="D33" s="74" t="s">
        <v>113</v>
      </c>
      <c r="E33" s="470"/>
      <c r="F33" s="470"/>
      <c r="G33" s="470"/>
      <c r="H33" s="50"/>
      <c r="J33" s="430"/>
      <c r="K33" s="432"/>
      <c r="L33" s="432"/>
      <c r="M33" s="432"/>
      <c r="N33" s="432"/>
      <c r="O33" s="432"/>
      <c r="P33" s="432"/>
      <c r="Q33" s="432"/>
      <c r="R33" s="432"/>
      <c r="S33" s="432"/>
      <c r="T33" s="432"/>
      <c r="U33" s="432"/>
      <c r="V33" s="432"/>
      <c r="W33" s="433"/>
    </row>
    <row r="34" spans="2:23" ht="23.1" customHeight="1">
      <c r="B34" s="48"/>
      <c r="C34" s="356" t="s">
        <v>114</v>
      </c>
      <c r="D34" s="72" t="s">
        <v>115</v>
      </c>
      <c r="E34" s="134">
        <f>SUM(E35:E39)</f>
        <v>-11291981.27</v>
      </c>
      <c r="F34" s="134">
        <f t="shared" ref="F34:G34" si="3">SUM(F35:F39)</f>
        <v>-12193287.32</v>
      </c>
      <c r="G34" s="134">
        <f t="shared" si="3"/>
        <v>-13089574.130000001</v>
      </c>
      <c r="H34" s="50"/>
      <c r="J34" s="430"/>
      <c r="K34" s="432"/>
      <c r="L34" s="432"/>
      <c r="M34" s="432"/>
      <c r="N34" s="432"/>
      <c r="O34" s="432"/>
      <c r="P34" s="432"/>
      <c r="Q34" s="432"/>
      <c r="R34" s="432"/>
      <c r="S34" s="432"/>
      <c r="T34" s="432"/>
      <c r="U34" s="432"/>
      <c r="V34" s="432"/>
      <c r="W34" s="433"/>
    </row>
    <row r="35" spans="2:23" ht="23.1" customHeight="1">
      <c r="B35" s="48"/>
      <c r="C35" s="358" t="s">
        <v>89</v>
      </c>
      <c r="D35" s="73" t="s">
        <v>116</v>
      </c>
      <c r="E35" s="469">
        <v>-10878152.77</v>
      </c>
      <c r="F35" s="469">
        <v>-12187287.32</v>
      </c>
      <c r="G35" s="469">
        <f>-12697150.07+18000-500000+95575.94</f>
        <v>-13083574.130000001</v>
      </c>
      <c r="H35" s="50"/>
      <c r="J35" s="430"/>
      <c r="K35" s="432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3"/>
    </row>
    <row r="36" spans="2:23" ht="23.1" customHeight="1">
      <c r="B36" s="48"/>
      <c r="C36" s="359" t="s">
        <v>91</v>
      </c>
      <c r="D36" s="74" t="s">
        <v>117</v>
      </c>
      <c r="E36" s="470">
        <v>-9083.3799999999992</v>
      </c>
      <c r="F36" s="470">
        <v>-6000</v>
      </c>
      <c r="G36" s="470">
        <v>-6000</v>
      </c>
      <c r="H36" s="50"/>
      <c r="J36" s="443"/>
      <c r="K36" s="444"/>
      <c r="L36" s="444"/>
      <c r="M36" s="444"/>
      <c r="N36" s="444"/>
      <c r="O36" s="444"/>
      <c r="P36" s="444"/>
      <c r="Q36" s="444"/>
      <c r="R36" s="444"/>
      <c r="S36" s="444"/>
      <c r="T36" s="444"/>
      <c r="U36" s="444"/>
      <c r="V36" s="444"/>
      <c r="W36" s="445"/>
    </row>
    <row r="37" spans="2:23" ht="23.1" customHeight="1">
      <c r="B37" s="48"/>
      <c r="C37" s="359" t="s">
        <v>93</v>
      </c>
      <c r="D37" s="74" t="s">
        <v>118</v>
      </c>
      <c r="E37" s="470">
        <v>-379745.12</v>
      </c>
      <c r="F37" s="470">
        <v>0</v>
      </c>
      <c r="G37" s="470">
        <v>0</v>
      </c>
      <c r="H37" s="50"/>
      <c r="J37" s="443"/>
      <c r="K37" s="444"/>
      <c r="L37" s="444"/>
      <c r="M37" s="444"/>
      <c r="N37" s="444"/>
      <c r="O37" s="444"/>
      <c r="P37" s="444"/>
      <c r="Q37" s="444"/>
      <c r="R37" s="444"/>
      <c r="S37" s="444"/>
      <c r="T37" s="444"/>
      <c r="U37" s="444"/>
      <c r="V37" s="444"/>
      <c r="W37" s="445"/>
    </row>
    <row r="38" spans="2:23" ht="23.1" customHeight="1">
      <c r="B38" s="48"/>
      <c r="C38" s="359" t="s">
        <v>104</v>
      </c>
      <c r="D38" s="74" t="s">
        <v>119</v>
      </c>
      <c r="E38" s="470">
        <v>-25000</v>
      </c>
      <c r="F38" s="470"/>
      <c r="G38" s="470"/>
      <c r="H38" s="50"/>
      <c r="J38" s="443"/>
      <c r="K38" s="444"/>
      <c r="L38" s="444"/>
      <c r="M38" s="444"/>
      <c r="N38" s="444"/>
      <c r="O38" s="444"/>
      <c r="P38" s="444"/>
      <c r="Q38" s="444"/>
      <c r="R38" s="444"/>
      <c r="S38" s="444"/>
      <c r="T38" s="444"/>
      <c r="U38" s="444"/>
      <c r="V38" s="444"/>
      <c r="W38" s="445"/>
    </row>
    <row r="39" spans="2:23" ht="23.1" customHeight="1">
      <c r="B39" s="48"/>
      <c r="C39" s="359" t="s">
        <v>120</v>
      </c>
      <c r="D39" s="74" t="s">
        <v>121</v>
      </c>
      <c r="E39" s="470"/>
      <c r="F39" s="470"/>
      <c r="G39" s="470"/>
      <c r="H39" s="50"/>
      <c r="J39" s="443"/>
      <c r="K39" s="444"/>
      <c r="L39" s="444"/>
      <c r="M39" s="444"/>
      <c r="N39" s="444"/>
      <c r="O39" s="444"/>
      <c r="P39" s="444"/>
      <c r="Q39" s="444"/>
      <c r="R39" s="444"/>
      <c r="S39" s="444"/>
      <c r="T39" s="444"/>
      <c r="U39" s="444"/>
      <c r="V39" s="444"/>
      <c r="W39" s="445"/>
    </row>
    <row r="40" spans="2:23" ht="23.1" customHeight="1">
      <c r="B40" s="48"/>
      <c r="C40" s="356" t="s">
        <v>122</v>
      </c>
      <c r="D40" s="72" t="s">
        <v>123</v>
      </c>
      <c r="E40" s="471">
        <v>-100565.04</v>
      </c>
      <c r="F40" s="471">
        <v>-82395.98</v>
      </c>
      <c r="G40" s="471">
        <v>-49469.55</v>
      </c>
      <c r="H40" s="50"/>
      <c r="J40" s="443"/>
      <c r="K40" s="444"/>
      <c r="L40" s="444"/>
      <c r="M40" s="444"/>
      <c r="N40" s="444"/>
      <c r="O40" s="444"/>
      <c r="P40" s="444"/>
      <c r="Q40" s="444"/>
      <c r="R40" s="444"/>
      <c r="S40" s="444"/>
      <c r="T40" s="444"/>
      <c r="U40" s="444"/>
      <c r="V40" s="444"/>
      <c r="W40" s="445"/>
    </row>
    <row r="41" spans="2:23" ht="23.1" customHeight="1">
      <c r="B41" s="48"/>
      <c r="C41" s="356" t="s">
        <v>124</v>
      </c>
      <c r="D41" s="72" t="s">
        <v>125</v>
      </c>
      <c r="E41" s="471">
        <v>5840.5</v>
      </c>
      <c r="F41" s="471">
        <v>5824.53</v>
      </c>
      <c r="G41" s="471">
        <v>5824.53</v>
      </c>
      <c r="H41" s="50"/>
      <c r="J41" s="443"/>
      <c r="K41" s="444"/>
      <c r="L41" s="444"/>
      <c r="M41" s="444"/>
      <c r="N41" s="444"/>
      <c r="O41" s="444"/>
      <c r="P41" s="444"/>
      <c r="Q41" s="444"/>
      <c r="R41" s="444"/>
      <c r="S41" s="444"/>
      <c r="T41" s="444"/>
      <c r="U41" s="444"/>
      <c r="V41" s="444"/>
      <c r="W41" s="445"/>
    </row>
    <row r="42" spans="2:23" ht="23.1" customHeight="1">
      <c r="B42" s="48"/>
      <c r="C42" s="356" t="s">
        <v>126</v>
      </c>
      <c r="D42" s="72" t="s">
        <v>127</v>
      </c>
      <c r="E42" s="471"/>
      <c r="F42" s="471"/>
      <c r="G42" s="471"/>
      <c r="H42" s="50"/>
      <c r="J42" s="443"/>
      <c r="K42" s="444"/>
      <c r="L42" s="444"/>
      <c r="M42" s="444"/>
      <c r="N42" s="444"/>
      <c r="O42" s="444"/>
      <c r="P42" s="444"/>
      <c r="Q42" s="444"/>
      <c r="R42" s="444"/>
      <c r="S42" s="444"/>
      <c r="T42" s="444"/>
      <c r="U42" s="444"/>
      <c r="V42" s="444"/>
      <c r="W42" s="445"/>
    </row>
    <row r="43" spans="2:23" ht="23.1" customHeight="1">
      <c r="B43" s="48"/>
      <c r="C43" s="356" t="s">
        <v>128</v>
      </c>
      <c r="D43" s="72" t="s">
        <v>129</v>
      </c>
      <c r="E43" s="134">
        <f>SUM(E44:E46)</f>
        <v>0</v>
      </c>
      <c r="F43" s="134">
        <f t="shared" ref="F43:G43" si="4">SUM(F44:F46)</f>
        <v>0</v>
      </c>
      <c r="G43" s="134">
        <f t="shared" si="4"/>
        <v>0</v>
      </c>
      <c r="H43" s="50"/>
      <c r="J43" s="443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5"/>
    </row>
    <row r="44" spans="2:23" ht="23.1" customHeight="1">
      <c r="B44" s="48"/>
      <c r="C44" s="358" t="s">
        <v>89</v>
      </c>
      <c r="D44" s="73" t="s">
        <v>130</v>
      </c>
      <c r="E44" s="469"/>
      <c r="F44" s="469"/>
      <c r="G44" s="469"/>
      <c r="H44" s="50"/>
      <c r="J44" s="443"/>
      <c r="K44" s="444"/>
      <c r="L44" s="444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5"/>
    </row>
    <row r="45" spans="2:23" ht="23.1" customHeight="1">
      <c r="B45" s="48"/>
      <c r="C45" s="359" t="s">
        <v>91</v>
      </c>
      <c r="D45" s="74" t="s">
        <v>131</v>
      </c>
      <c r="E45" s="470"/>
      <c r="F45" s="470"/>
      <c r="G45" s="470"/>
      <c r="H45" s="50"/>
      <c r="J45" s="443"/>
      <c r="K45" s="444"/>
      <c r="L45" s="444"/>
      <c r="M45" s="444"/>
      <c r="N45" s="444"/>
      <c r="O45" s="444"/>
      <c r="P45" s="444"/>
      <c r="Q45" s="444"/>
      <c r="R45" s="444"/>
      <c r="S45" s="444"/>
      <c r="T45" s="444"/>
      <c r="U45" s="444"/>
      <c r="V45" s="444"/>
      <c r="W45" s="445"/>
    </row>
    <row r="46" spans="2:23" ht="23.1" customHeight="1">
      <c r="B46" s="48"/>
      <c r="C46" s="359" t="s">
        <v>93</v>
      </c>
      <c r="D46" s="74" t="s">
        <v>132</v>
      </c>
      <c r="E46" s="470"/>
      <c r="F46" s="470"/>
      <c r="G46" s="470"/>
      <c r="H46" s="50"/>
      <c r="J46" s="443"/>
      <c r="K46" s="444"/>
      <c r="L46" s="444"/>
      <c r="M46" s="444"/>
      <c r="N46" s="444"/>
      <c r="O46" s="444"/>
      <c r="P46" s="444"/>
      <c r="Q46" s="444"/>
      <c r="R46" s="444"/>
      <c r="S46" s="444"/>
      <c r="T46" s="444"/>
      <c r="U46" s="444"/>
      <c r="V46" s="444"/>
      <c r="W46" s="445"/>
    </row>
    <row r="47" spans="2:23" ht="23.1" customHeight="1">
      <c r="B47" s="48"/>
      <c r="C47" s="356" t="s">
        <v>133</v>
      </c>
      <c r="D47" s="72" t="s">
        <v>134</v>
      </c>
      <c r="E47" s="471"/>
      <c r="F47" s="471"/>
      <c r="G47" s="471"/>
      <c r="H47" s="50"/>
      <c r="J47" s="443"/>
      <c r="K47" s="444"/>
      <c r="L47" s="444"/>
      <c r="M47" s="444"/>
      <c r="N47" s="444"/>
      <c r="O47" s="444"/>
      <c r="P47" s="444"/>
      <c r="Q47" s="444"/>
      <c r="R47" s="444"/>
      <c r="S47" s="444"/>
      <c r="T47" s="444"/>
      <c r="U47" s="444"/>
      <c r="V47" s="444"/>
      <c r="W47" s="445"/>
    </row>
    <row r="48" spans="2:23" ht="23.1" customHeight="1">
      <c r="B48" s="48"/>
      <c r="C48" s="356" t="s">
        <v>135</v>
      </c>
      <c r="D48" s="72" t="s">
        <v>751</v>
      </c>
      <c r="E48" s="471">
        <v>35697.339999999997</v>
      </c>
      <c r="F48" s="471">
        <v>0</v>
      </c>
      <c r="G48" s="471">
        <v>0</v>
      </c>
      <c r="H48" s="50"/>
      <c r="J48" s="443"/>
      <c r="K48" s="444"/>
      <c r="L48" s="444"/>
      <c r="M48" s="444"/>
      <c r="N48" s="444"/>
      <c r="O48" s="444"/>
      <c r="P48" s="444"/>
      <c r="Q48" s="444"/>
      <c r="R48" s="444"/>
      <c r="S48" s="444"/>
      <c r="T48" s="444"/>
      <c r="U48" s="444"/>
      <c r="V48" s="444"/>
      <c r="W48" s="445"/>
    </row>
    <row r="49" spans="2:23" s="77" customFormat="1" ht="23.1" customHeight="1" thickBot="1">
      <c r="B49" s="24"/>
      <c r="C49" s="365" t="s">
        <v>136</v>
      </c>
      <c r="D49" s="85" t="s">
        <v>137</v>
      </c>
      <c r="E49" s="373">
        <f>E16+E20+E21+E22+E27+E30+E34+E40+E41+E42+E43+E47+E48</f>
        <v>-1790018.1399999994</v>
      </c>
      <c r="F49" s="373">
        <f t="shared" ref="F49:G49" si="5">F16+F20+F21+F22+F27+F30+F34+F40+F41+F42+F43+F47+F48</f>
        <v>-2056196.0099999986</v>
      </c>
      <c r="G49" s="373">
        <f t="shared" si="5"/>
        <v>-2075789.3400000003</v>
      </c>
      <c r="H49" s="61"/>
      <c r="J49" s="443"/>
      <c r="K49" s="444"/>
      <c r="L49" s="444"/>
      <c r="M49" s="444"/>
      <c r="N49" s="444"/>
      <c r="O49" s="444"/>
      <c r="P49" s="444"/>
      <c r="Q49" s="444"/>
      <c r="R49" s="444"/>
      <c r="S49" s="444"/>
      <c r="T49" s="444"/>
      <c r="U49" s="444"/>
      <c r="V49" s="444"/>
      <c r="W49" s="445"/>
    </row>
    <row r="50" spans="2:23" ht="23.1" customHeight="1">
      <c r="B50" s="48"/>
      <c r="C50" s="366"/>
      <c r="D50" s="1"/>
      <c r="E50" s="132"/>
      <c r="F50" s="132"/>
      <c r="G50" s="132"/>
      <c r="H50" s="50"/>
      <c r="J50" s="443"/>
      <c r="K50" s="444"/>
      <c r="L50" s="444"/>
      <c r="M50" s="444"/>
      <c r="N50" s="444"/>
      <c r="O50" s="444"/>
      <c r="P50" s="444"/>
      <c r="Q50" s="444"/>
      <c r="R50" s="444"/>
      <c r="S50" s="444"/>
      <c r="T50" s="444"/>
      <c r="U50" s="444"/>
      <c r="V50" s="444"/>
      <c r="W50" s="445"/>
    </row>
    <row r="51" spans="2:23" ht="23.1" customHeight="1">
      <c r="B51" s="48"/>
      <c r="C51" s="356" t="s">
        <v>138</v>
      </c>
      <c r="D51" s="72" t="s">
        <v>139</v>
      </c>
      <c r="E51" s="134">
        <f>E52+E55+E58</f>
        <v>1539.43</v>
      </c>
      <c r="F51" s="134">
        <f t="shared" ref="F51:G51" si="6">F52+F55+F58</f>
        <v>3000</v>
      </c>
      <c r="G51" s="134">
        <f t="shared" si="6"/>
        <v>3000</v>
      </c>
      <c r="H51" s="50"/>
      <c r="J51" s="443"/>
      <c r="K51" s="444"/>
      <c r="L51" s="444"/>
      <c r="M51" s="444"/>
      <c r="N51" s="444"/>
      <c r="O51" s="444"/>
      <c r="P51" s="444"/>
      <c r="Q51" s="444"/>
      <c r="R51" s="444"/>
      <c r="S51" s="444"/>
      <c r="T51" s="444"/>
      <c r="U51" s="444"/>
      <c r="V51" s="444"/>
      <c r="W51" s="445"/>
    </row>
    <row r="52" spans="2:23" ht="23.1" customHeight="1">
      <c r="B52" s="48"/>
      <c r="C52" s="358" t="s">
        <v>89</v>
      </c>
      <c r="D52" s="73" t="s">
        <v>140</v>
      </c>
      <c r="E52" s="135">
        <f>SUM(E53:E54)</f>
        <v>0</v>
      </c>
      <c r="F52" s="135">
        <f t="shared" ref="F52:G52" si="7">SUM(F53:F54)</f>
        <v>0</v>
      </c>
      <c r="G52" s="135">
        <f t="shared" si="7"/>
        <v>0</v>
      </c>
      <c r="H52" s="50"/>
      <c r="J52" s="443"/>
      <c r="K52" s="444"/>
      <c r="L52" s="444"/>
      <c r="M52" s="444"/>
      <c r="N52" s="444"/>
      <c r="O52" s="444"/>
      <c r="P52" s="444"/>
      <c r="Q52" s="444"/>
      <c r="R52" s="444"/>
      <c r="S52" s="444"/>
      <c r="T52" s="444"/>
      <c r="U52" s="444"/>
      <c r="V52" s="444"/>
      <c r="W52" s="445"/>
    </row>
    <row r="53" spans="2:23" ht="23.1" customHeight="1">
      <c r="B53" s="48"/>
      <c r="C53" s="367" t="s">
        <v>141</v>
      </c>
      <c r="D53" s="80" t="s">
        <v>142</v>
      </c>
      <c r="E53" s="748">
        <v>0</v>
      </c>
      <c r="F53" s="748">
        <v>0</v>
      </c>
      <c r="G53" s="748">
        <v>0</v>
      </c>
      <c r="H53" s="50"/>
      <c r="J53" s="443"/>
      <c r="K53" s="444"/>
      <c r="L53" s="444"/>
      <c r="M53" s="444"/>
      <c r="N53" s="444"/>
      <c r="O53" s="444"/>
      <c r="P53" s="444"/>
      <c r="Q53" s="444"/>
      <c r="R53" s="444"/>
      <c r="S53" s="444"/>
      <c r="T53" s="444"/>
      <c r="U53" s="444"/>
      <c r="V53" s="444"/>
      <c r="W53" s="445"/>
    </row>
    <row r="54" spans="2:23" ht="23.1" customHeight="1">
      <c r="B54" s="48"/>
      <c r="C54" s="367" t="s">
        <v>143</v>
      </c>
      <c r="D54" s="80" t="s">
        <v>144</v>
      </c>
      <c r="E54" s="748">
        <v>0</v>
      </c>
      <c r="F54" s="748"/>
      <c r="G54" s="748"/>
      <c r="H54" s="50"/>
      <c r="J54" s="443"/>
      <c r="K54" s="444"/>
      <c r="L54" s="444"/>
      <c r="M54" s="444"/>
      <c r="N54" s="444"/>
      <c r="O54" s="444"/>
      <c r="P54" s="444"/>
      <c r="Q54" s="444"/>
      <c r="R54" s="444"/>
      <c r="S54" s="444"/>
      <c r="T54" s="444"/>
      <c r="U54" s="444"/>
      <c r="V54" s="444"/>
      <c r="W54" s="445"/>
    </row>
    <row r="55" spans="2:23" ht="23.1" customHeight="1">
      <c r="B55" s="48"/>
      <c r="C55" s="368" t="s">
        <v>91</v>
      </c>
      <c r="D55" s="75" t="s">
        <v>145</v>
      </c>
      <c r="E55" s="374">
        <f>SUM(E56:E57)</f>
        <v>1539.43</v>
      </c>
      <c r="F55" s="374">
        <f t="shared" ref="F55:G55" si="8">SUM(F56:F57)</f>
        <v>3000</v>
      </c>
      <c r="G55" s="374">
        <f t="shared" si="8"/>
        <v>3000</v>
      </c>
      <c r="H55" s="50"/>
      <c r="J55" s="443"/>
      <c r="K55" s="444"/>
      <c r="L55" s="444"/>
      <c r="M55" s="444"/>
      <c r="N55" s="444"/>
      <c r="O55" s="444"/>
      <c r="P55" s="444"/>
      <c r="Q55" s="444"/>
      <c r="R55" s="444"/>
      <c r="S55" s="444"/>
      <c r="T55" s="444"/>
      <c r="U55" s="444"/>
      <c r="V55" s="444"/>
      <c r="W55" s="445"/>
    </row>
    <row r="56" spans="2:23" ht="23.1" customHeight="1">
      <c r="B56" s="48"/>
      <c r="C56" s="367" t="s">
        <v>146</v>
      </c>
      <c r="D56" s="80" t="s">
        <v>147</v>
      </c>
      <c r="E56" s="748"/>
      <c r="F56" s="748"/>
      <c r="G56" s="748"/>
      <c r="H56" s="50"/>
      <c r="J56" s="443"/>
      <c r="K56" s="444"/>
      <c r="L56" s="444"/>
      <c r="M56" s="444"/>
      <c r="N56" s="444"/>
      <c r="O56" s="444"/>
      <c r="P56" s="444"/>
      <c r="Q56" s="444"/>
      <c r="R56" s="444"/>
      <c r="S56" s="444"/>
      <c r="T56" s="444"/>
      <c r="U56" s="444"/>
      <c r="V56" s="444"/>
      <c r="W56" s="445"/>
    </row>
    <row r="57" spans="2:23" ht="23.1" customHeight="1">
      <c r="B57" s="48"/>
      <c r="C57" s="367" t="s">
        <v>148</v>
      </c>
      <c r="D57" s="80" t="s">
        <v>149</v>
      </c>
      <c r="E57" s="748">
        <v>1539.43</v>
      </c>
      <c r="F57" s="748">
        <v>3000</v>
      </c>
      <c r="G57" s="748">
        <v>3000</v>
      </c>
      <c r="H57" s="50"/>
      <c r="J57" s="443"/>
      <c r="K57" s="444"/>
      <c r="L57" s="444"/>
      <c r="M57" s="444"/>
      <c r="N57" s="444"/>
      <c r="O57" s="444"/>
      <c r="P57" s="444"/>
      <c r="Q57" s="444"/>
      <c r="R57" s="444"/>
      <c r="S57" s="444"/>
      <c r="T57" s="444"/>
      <c r="U57" s="444"/>
      <c r="V57" s="444"/>
      <c r="W57" s="445"/>
    </row>
    <row r="58" spans="2:23" ht="23.1" customHeight="1">
      <c r="B58" s="48"/>
      <c r="C58" s="368" t="s">
        <v>93</v>
      </c>
      <c r="D58" s="75" t="s">
        <v>150</v>
      </c>
      <c r="E58" s="472"/>
      <c r="F58" s="472"/>
      <c r="G58" s="472"/>
      <c r="H58" s="50"/>
      <c r="J58" s="443"/>
      <c r="K58" s="444"/>
      <c r="L58" s="444"/>
      <c r="M58" s="444"/>
      <c r="N58" s="444"/>
      <c r="O58" s="444"/>
      <c r="P58" s="444"/>
      <c r="Q58" s="444"/>
      <c r="R58" s="444"/>
      <c r="S58" s="444"/>
      <c r="T58" s="444"/>
      <c r="U58" s="444"/>
      <c r="V58" s="444"/>
      <c r="W58" s="445"/>
    </row>
    <row r="59" spans="2:23" ht="23.1" customHeight="1">
      <c r="B59" s="48"/>
      <c r="C59" s="356" t="s">
        <v>151</v>
      </c>
      <c r="D59" s="72" t="s">
        <v>152</v>
      </c>
      <c r="E59" s="134">
        <f>SUM(E60:E62)</f>
        <v>-2135.1</v>
      </c>
      <c r="F59" s="134">
        <f t="shared" ref="F59:G59" si="9">SUM(F60:F62)</f>
        <v>-3000</v>
      </c>
      <c r="G59" s="134">
        <f t="shared" si="9"/>
        <v>-3000</v>
      </c>
      <c r="H59" s="50"/>
      <c r="J59" s="443"/>
      <c r="K59" s="444"/>
      <c r="L59" s="444"/>
      <c r="M59" s="444"/>
      <c r="N59" s="444"/>
      <c r="O59" s="444"/>
      <c r="P59" s="444"/>
      <c r="Q59" s="444"/>
      <c r="R59" s="444"/>
      <c r="S59" s="444"/>
      <c r="T59" s="444"/>
      <c r="U59" s="444"/>
      <c r="V59" s="444"/>
      <c r="W59" s="445"/>
    </row>
    <row r="60" spans="2:23" ht="23.1" customHeight="1">
      <c r="B60" s="48"/>
      <c r="C60" s="368" t="s">
        <v>89</v>
      </c>
      <c r="D60" s="75" t="s">
        <v>153</v>
      </c>
      <c r="E60" s="472"/>
      <c r="F60" s="472"/>
      <c r="G60" s="472"/>
      <c r="H60" s="50"/>
      <c r="J60" s="443"/>
      <c r="K60" s="444"/>
      <c r="L60" s="444"/>
      <c r="M60" s="444"/>
      <c r="N60" s="444"/>
      <c r="O60" s="444"/>
      <c r="P60" s="444"/>
      <c r="Q60" s="444"/>
      <c r="R60" s="444"/>
      <c r="S60" s="444"/>
      <c r="T60" s="444"/>
      <c r="U60" s="444"/>
      <c r="V60" s="444"/>
      <c r="W60" s="445"/>
    </row>
    <row r="61" spans="2:23" ht="23.1" customHeight="1">
      <c r="B61" s="48"/>
      <c r="C61" s="368" t="s">
        <v>91</v>
      </c>
      <c r="D61" s="75" t="s">
        <v>154</v>
      </c>
      <c r="E61" s="472">
        <v>-2135.1</v>
      </c>
      <c r="F61" s="472">
        <v>-3000</v>
      </c>
      <c r="G61" s="472">
        <v>-3000</v>
      </c>
      <c r="H61" s="50"/>
      <c r="J61" s="443"/>
      <c r="K61" s="444"/>
      <c r="L61" s="444"/>
      <c r="M61" s="444"/>
      <c r="N61" s="444"/>
      <c r="O61" s="444"/>
      <c r="P61" s="444"/>
      <c r="Q61" s="444"/>
      <c r="R61" s="444"/>
      <c r="S61" s="444"/>
      <c r="T61" s="444"/>
      <c r="U61" s="444"/>
      <c r="V61" s="444"/>
      <c r="W61" s="445"/>
    </row>
    <row r="62" spans="2:23" ht="23.1" customHeight="1">
      <c r="B62" s="48"/>
      <c r="C62" s="368" t="s">
        <v>93</v>
      </c>
      <c r="D62" s="75" t="s">
        <v>155</v>
      </c>
      <c r="E62" s="472"/>
      <c r="F62" s="472"/>
      <c r="G62" s="472"/>
      <c r="H62" s="50"/>
      <c r="J62" s="443"/>
      <c r="K62" s="444"/>
      <c r="L62" s="444"/>
      <c r="M62" s="444"/>
      <c r="N62" s="444"/>
      <c r="O62" s="444"/>
      <c r="P62" s="444"/>
      <c r="Q62" s="444"/>
      <c r="R62" s="444"/>
      <c r="S62" s="444"/>
      <c r="T62" s="444"/>
      <c r="U62" s="444"/>
      <c r="V62" s="444"/>
      <c r="W62" s="445"/>
    </row>
    <row r="63" spans="2:23" ht="23.1" customHeight="1">
      <c r="B63" s="48"/>
      <c r="C63" s="356" t="s">
        <v>156</v>
      </c>
      <c r="D63" s="72" t="s">
        <v>157</v>
      </c>
      <c r="E63" s="134">
        <f>SUM(E64:E65)</f>
        <v>0</v>
      </c>
      <c r="F63" s="134">
        <f t="shared" ref="F63:G63" si="10">SUM(F64:F65)</f>
        <v>0</v>
      </c>
      <c r="G63" s="134">
        <f t="shared" si="10"/>
        <v>0</v>
      </c>
      <c r="H63" s="50"/>
      <c r="J63" s="443"/>
      <c r="K63" s="444"/>
      <c r="L63" s="444"/>
      <c r="M63" s="444"/>
      <c r="N63" s="444"/>
      <c r="O63" s="444"/>
      <c r="P63" s="444"/>
      <c r="Q63" s="444"/>
      <c r="R63" s="444"/>
      <c r="S63" s="444"/>
      <c r="T63" s="444"/>
      <c r="U63" s="444"/>
      <c r="V63" s="444"/>
      <c r="W63" s="445"/>
    </row>
    <row r="64" spans="2:23" ht="23.1" customHeight="1">
      <c r="B64" s="48"/>
      <c r="C64" s="368" t="s">
        <v>89</v>
      </c>
      <c r="D64" s="75" t="s">
        <v>158</v>
      </c>
      <c r="E64" s="472"/>
      <c r="F64" s="472"/>
      <c r="G64" s="472"/>
      <c r="H64" s="50"/>
      <c r="J64" s="443"/>
      <c r="K64" s="444"/>
      <c r="L64" s="444"/>
      <c r="M64" s="444"/>
      <c r="N64" s="444"/>
      <c r="O64" s="444"/>
      <c r="P64" s="444"/>
      <c r="Q64" s="444"/>
      <c r="R64" s="444"/>
      <c r="S64" s="444"/>
      <c r="T64" s="444"/>
      <c r="U64" s="444"/>
      <c r="V64" s="444"/>
      <c r="W64" s="445"/>
    </row>
    <row r="65" spans="2:23" ht="23.1" customHeight="1">
      <c r="B65" s="48"/>
      <c r="C65" s="368" t="s">
        <v>91</v>
      </c>
      <c r="D65" s="75" t="s">
        <v>159</v>
      </c>
      <c r="E65" s="472"/>
      <c r="F65" s="472"/>
      <c r="G65" s="472"/>
      <c r="H65" s="50"/>
      <c r="J65" s="443"/>
      <c r="K65" s="444"/>
      <c r="L65" s="444"/>
      <c r="M65" s="444"/>
      <c r="N65" s="444"/>
      <c r="O65" s="444"/>
      <c r="P65" s="444"/>
      <c r="Q65" s="444"/>
      <c r="R65" s="444"/>
      <c r="S65" s="444"/>
      <c r="T65" s="444"/>
      <c r="U65" s="444"/>
      <c r="V65" s="444"/>
      <c r="W65" s="445"/>
    </row>
    <row r="66" spans="2:23" ht="23.1" customHeight="1">
      <c r="B66" s="48"/>
      <c r="C66" s="356" t="s">
        <v>160</v>
      </c>
      <c r="D66" s="72" t="s">
        <v>161</v>
      </c>
      <c r="E66" s="134">
        <v>0</v>
      </c>
      <c r="F66" s="134">
        <v>0</v>
      </c>
      <c r="G66" s="134">
        <v>0</v>
      </c>
      <c r="H66" s="50"/>
      <c r="J66" s="443"/>
      <c r="K66" s="444"/>
      <c r="L66" s="444"/>
      <c r="M66" s="444"/>
      <c r="N66" s="444"/>
      <c r="O66" s="444"/>
      <c r="P66" s="444"/>
      <c r="Q66" s="444"/>
      <c r="R66" s="444"/>
      <c r="S66" s="444"/>
      <c r="T66" s="444"/>
      <c r="U66" s="444"/>
      <c r="V66" s="444"/>
      <c r="W66" s="445"/>
    </row>
    <row r="67" spans="2:23" ht="23.1" customHeight="1">
      <c r="B67" s="48"/>
      <c r="C67" s="356" t="s">
        <v>162</v>
      </c>
      <c r="D67" s="72" t="s">
        <v>163</v>
      </c>
      <c r="E67" s="134">
        <f>SUM(E68:E69)</f>
        <v>-111500</v>
      </c>
      <c r="F67" s="134">
        <f t="shared" ref="F67:G67" si="11">SUM(F68:F69)</f>
        <v>0</v>
      </c>
      <c r="G67" s="134">
        <f t="shared" si="11"/>
        <v>0</v>
      </c>
      <c r="H67" s="50"/>
      <c r="J67" s="443"/>
      <c r="K67" s="444"/>
      <c r="L67" s="444"/>
      <c r="M67" s="444"/>
      <c r="N67" s="444"/>
      <c r="O67" s="444"/>
      <c r="P67" s="444"/>
      <c r="Q67" s="444"/>
      <c r="R67" s="444"/>
      <c r="S67" s="444"/>
      <c r="T67" s="444"/>
      <c r="U67" s="444"/>
      <c r="V67" s="444"/>
      <c r="W67" s="445"/>
    </row>
    <row r="68" spans="2:23" ht="23.1" customHeight="1">
      <c r="B68" s="48"/>
      <c r="C68" s="368" t="s">
        <v>89</v>
      </c>
      <c r="D68" s="75" t="s">
        <v>164</v>
      </c>
      <c r="E68" s="472">
        <v>-111500</v>
      </c>
      <c r="F68" s="472">
        <v>0</v>
      </c>
      <c r="G68" s="472">
        <v>0</v>
      </c>
      <c r="H68" s="50"/>
      <c r="J68" s="443"/>
      <c r="K68" s="444"/>
      <c r="L68" s="444"/>
      <c r="M68" s="444"/>
      <c r="N68" s="444"/>
      <c r="O68" s="444"/>
      <c r="P68" s="444"/>
      <c r="Q68" s="444"/>
      <c r="R68" s="444"/>
      <c r="S68" s="444"/>
      <c r="T68" s="444"/>
      <c r="U68" s="444"/>
      <c r="V68" s="444"/>
      <c r="W68" s="445"/>
    </row>
    <row r="69" spans="2:23" ht="23.1" customHeight="1">
      <c r="B69" s="48"/>
      <c r="C69" s="368" t="s">
        <v>91</v>
      </c>
      <c r="D69" s="75" t="s">
        <v>131</v>
      </c>
      <c r="E69" s="472"/>
      <c r="F69" s="472"/>
      <c r="G69" s="472"/>
      <c r="H69" s="50"/>
      <c r="J69" s="443"/>
      <c r="K69" s="444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5"/>
    </row>
    <row r="70" spans="2:23" ht="23.1" customHeight="1">
      <c r="B70" s="48"/>
      <c r="C70" s="356" t="s">
        <v>165</v>
      </c>
      <c r="D70" s="72" t="s">
        <v>166</v>
      </c>
      <c r="E70" s="134">
        <f>SUM(E71:E73)</f>
        <v>2168.14</v>
      </c>
      <c r="F70" s="134">
        <f t="shared" ref="F70:G70" si="12">SUM(F71:F73)</f>
        <v>0</v>
      </c>
      <c r="G70" s="134">
        <f t="shared" si="12"/>
        <v>0</v>
      </c>
      <c r="H70" s="50"/>
      <c r="J70" s="443"/>
      <c r="K70" s="444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5"/>
    </row>
    <row r="71" spans="2:23" ht="23.1" customHeight="1">
      <c r="B71" s="48"/>
      <c r="C71" s="368" t="s">
        <v>89</v>
      </c>
      <c r="D71" s="75" t="s">
        <v>167</v>
      </c>
      <c r="E71" s="472"/>
      <c r="F71" s="472"/>
      <c r="G71" s="472"/>
      <c r="H71" s="50"/>
      <c r="J71" s="443"/>
      <c r="K71" s="444"/>
      <c r="L71" s="444"/>
      <c r="M71" s="444"/>
      <c r="N71" s="444"/>
      <c r="O71" s="444"/>
      <c r="P71" s="444"/>
      <c r="Q71" s="444"/>
      <c r="R71" s="444"/>
      <c r="S71" s="444"/>
      <c r="T71" s="444"/>
      <c r="U71" s="444"/>
      <c r="V71" s="444"/>
      <c r="W71" s="445"/>
    </row>
    <row r="72" spans="2:23" ht="23.1" customHeight="1">
      <c r="B72" s="48"/>
      <c r="C72" s="368" t="s">
        <v>91</v>
      </c>
      <c r="D72" s="75" t="s">
        <v>168</v>
      </c>
      <c r="E72" s="472"/>
      <c r="F72" s="472"/>
      <c r="G72" s="472"/>
      <c r="H72" s="50"/>
      <c r="J72" s="443"/>
      <c r="K72" s="444"/>
      <c r="L72" s="444"/>
      <c r="M72" s="444"/>
      <c r="N72" s="444"/>
      <c r="O72" s="444"/>
      <c r="P72" s="444"/>
      <c r="Q72" s="444"/>
      <c r="R72" s="444"/>
      <c r="S72" s="444"/>
      <c r="T72" s="444"/>
      <c r="U72" s="444"/>
      <c r="V72" s="444"/>
      <c r="W72" s="445"/>
    </row>
    <row r="73" spans="2:23" ht="23.1" customHeight="1">
      <c r="B73" s="48"/>
      <c r="C73" s="368" t="s">
        <v>93</v>
      </c>
      <c r="D73" s="75" t="s">
        <v>169</v>
      </c>
      <c r="E73" s="472">
        <v>2168.14</v>
      </c>
      <c r="F73" s="472"/>
      <c r="G73" s="472"/>
      <c r="H73" s="50"/>
      <c r="J73" s="443"/>
      <c r="K73" s="444"/>
      <c r="L73" s="444"/>
      <c r="M73" s="444"/>
      <c r="N73" s="444"/>
      <c r="O73" s="444"/>
      <c r="P73" s="444"/>
      <c r="Q73" s="444"/>
      <c r="R73" s="444"/>
      <c r="S73" s="444"/>
      <c r="T73" s="444"/>
      <c r="U73" s="444"/>
      <c r="V73" s="444"/>
      <c r="W73" s="445"/>
    </row>
    <row r="74" spans="2:23" s="77" customFormat="1" ht="23.1" customHeight="1" thickBot="1">
      <c r="B74" s="24"/>
      <c r="C74" s="369" t="s">
        <v>170</v>
      </c>
      <c r="D74" s="76" t="s">
        <v>171</v>
      </c>
      <c r="E74" s="373">
        <f>E51+E59+E63+E67+E70</f>
        <v>-109927.53</v>
      </c>
      <c r="F74" s="373">
        <f t="shared" ref="F74:G74" si="13">F51+F59+F63+F67+F70</f>
        <v>0</v>
      </c>
      <c r="G74" s="373">
        <f t="shared" si="13"/>
        <v>0</v>
      </c>
      <c r="H74" s="61"/>
      <c r="J74" s="443"/>
      <c r="K74" s="444"/>
      <c r="L74" s="444"/>
      <c r="M74" s="444"/>
      <c r="N74" s="444"/>
      <c r="O74" s="444"/>
      <c r="P74" s="444"/>
      <c r="Q74" s="444"/>
      <c r="R74" s="444"/>
      <c r="S74" s="444"/>
      <c r="T74" s="444"/>
      <c r="U74" s="444"/>
      <c r="V74" s="444"/>
      <c r="W74" s="445"/>
    </row>
    <row r="75" spans="2:23" ht="23.1" customHeight="1">
      <c r="B75" s="48"/>
      <c r="C75" s="370"/>
      <c r="D75" s="79"/>
      <c r="E75" s="375"/>
      <c r="F75" s="375"/>
      <c r="G75" s="375"/>
      <c r="H75" s="50"/>
      <c r="J75" s="443"/>
      <c r="K75" s="444"/>
      <c r="L75" s="444"/>
      <c r="M75" s="444"/>
      <c r="N75" s="444"/>
      <c r="O75" s="444"/>
      <c r="P75" s="444"/>
      <c r="Q75" s="444"/>
      <c r="R75" s="444"/>
      <c r="S75" s="444"/>
      <c r="T75" s="444"/>
      <c r="U75" s="444"/>
      <c r="V75" s="444"/>
      <c r="W75" s="445"/>
    </row>
    <row r="76" spans="2:23" s="77" customFormat="1" ht="23.1" customHeight="1" thickBot="1">
      <c r="B76" s="24"/>
      <c r="C76" s="371" t="s">
        <v>172</v>
      </c>
      <c r="D76" s="78" t="s">
        <v>173</v>
      </c>
      <c r="E76" s="376">
        <f>E74+E49</f>
        <v>-1899945.6699999995</v>
      </c>
      <c r="F76" s="376">
        <f t="shared" ref="F76:G76" si="14">F74+F49</f>
        <v>-2056196.0099999986</v>
      </c>
      <c r="G76" s="376">
        <f t="shared" si="14"/>
        <v>-2075789.3400000003</v>
      </c>
      <c r="H76" s="61"/>
      <c r="J76" s="443"/>
      <c r="K76" s="444"/>
      <c r="L76" s="444"/>
      <c r="M76" s="444"/>
      <c r="N76" s="444"/>
      <c r="O76" s="444"/>
      <c r="P76" s="444"/>
      <c r="Q76" s="444"/>
      <c r="R76" s="444"/>
      <c r="S76" s="444"/>
      <c r="T76" s="444"/>
      <c r="U76" s="444"/>
      <c r="V76" s="444"/>
      <c r="W76" s="445"/>
    </row>
    <row r="77" spans="2:23" ht="23.1" customHeight="1">
      <c r="B77" s="48"/>
      <c r="C77" s="356" t="s">
        <v>174</v>
      </c>
      <c r="D77" s="72" t="s">
        <v>175</v>
      </c>
      <c r="E77" s="471"/>
      <c r="F77" s="471"/>
      <c r="G77" s="471"/>
      <c r="H77" s="50"/>
      <c r="J77" s="443"/>
      <c r="K77" s="444"/>
      <c r="L77" s="444"/>
      <c r="M77" s="444"/>
      <c r="N77" s="444"/>
      <c r="O77" s="444"/>
      <c r="P77" s="444"/>
      <c r="Q77" s="444"/>
      <c r="R77" s="444"/>
      <c r="S77" s="444"/>
      <c r="T77" s="444"/>
      <c r="U77" s="444"/>
      <c r="V77" s="444"/>
      <c r="W77" s="445"/>
    </row>
    <row r="78" spans="2:23" ht="23.1" customHeight="1">
      <c r="B78" s="48"/>
      <c r="C78" s="361"/>
      <c r="D78" s="64"/>
      <c r="E78" s="132"/>
      <c r="F78" s="132"/>
      <c r="G78" s="132"/>
      <c r="H78" s="50"/>
      <c r="J78" s="443"/>
      <c r="K78" s="444"/>
      <c r="L78" s="444"/>
      <c r="M78" s="444"/>
      <c r="N78" s="444"/>
      <c r="O78" s="444"/>
      <c r="P78" s="444"/>
      <c r="Q78" s="444"/>
      <c r="R78" s="444"/>
      <c r="S78" s="444"/>
      <c r="T78" s="444"/>
      <c r="U78" s="444"/>
      <c r="V78" s="444"/>
      <c r="W78" s="445"/>
    </row>
    <row r="79" spans="2:23" s="77" customFormat="1" ht="23.1" customHeight="1" thickBot="1">
      <c r="B79" s="24"/>
      <c r="C79" s="371" t="s">
        <v>176</v>
      </c>
      <c r="D79" s="78" t="s">
        <v>186</v>
      </c>
      <c r="E79" s="376">
        <f>E76+E77</f>
        <v>-1899945.6699999995</v>
      </c>
      <c r="F79" s="376">
        <f t="shared" ref="F79:G79" si="15">F76+F77</f>
        <v>-2056196.0099999986</v>
      </c>
      <c r="G79" s="376">
        <f t="shared" si="15"/>
        <v>-2075789.3400000003</v>
      </c>
      <c r="H79" s="61"/>
      <c r="J79" s="443"/>
      <c r="K79" s="444"/>
      <c r="L79" s="444"/>
      <c r="M79" s="444"/>
      <c r="N79" s="444"/>
      <c r="O79" s="444"/>
      <c r="P79" s="444"/>
      <c r="Q79" s="444"/>
      <c r="R79" s="444"/>
      <c r="S79" s="444"/>
      <c r="T79" s="444"/>
      <c r="U79" s="444"/>
      <c r="V79" s="444"/>
      <c r="W79" s="445"/>
    </row>
    <row r="80" spans="2:23" ht="23.1" customHeight="1">
      <c r="B80" s="48"/>
      <c r="C80" s="361"/>
      <c r="D80" s="64"/>
      <c r="E80" s="132"/>
      <c r="F80" s="132"/>
      <c r="G80" s="132"/>
      <c r="H80" s="50"/>
      <c r="J80" s="443"/>
      <c r="K80" s="444"/>
      <c r="L80" s="444"/>
      <c r="M80" s="444"/>
      <c r="N80" s="444"/>
      <c r="O80" s="444"/>
      <c r="P80" s="444"/>
      <c r="Q80" s="444"/>
      <c r="R80" s="444"/>
      <c r="S80" s="444"/>
      <c r="T80" s="444"/>
      <c r="U80" s="444"/>
      <c r="V80" s="444"/>
      <c r="W80" s="445"/>
    </row>
    <row r="81" spans="2:23" ht="23.1" customHeight="1">
      <c r="B81" s="48"/>
      <c r="C81" s="352" t="s">
        <v>177</v>
      </c>
      <c r="D81" s="88" t="s">
        <v>178</v>
      </c>
      <c r="E81" s="132"/>
      <c r="F81" s="132"/>
      <c r="G81" s="132"/>
      <c r="H81" s="50"/>
      <c r="J81" s="443"/>
      <c r="K81" s="444"/>
      <c r="L81" s="444"/>
      <c r="M81" s="444"/>
      <c r="N81" s="444"/>
      <c r="O81" s="444"/>
      <c r="P81" s="444"/>
      <c r="Q81" s="444"/>
      <c r="R81" s="444"/>
      <c r="S81" s="444"/>
      <c r="T81" s="444"/>
      <c r="U81" s="444"/>
      <c r="V81" s="444"/>
      <c r="W81" s="445"/>
    </row>
    <row r="82" spans="2:23" ht="23.1" customHeight="1">
      <c r="B82" s="48"/>
      <c r="C82" s="356" t="s">
        <v>179</v>
      </c>
      <c r="D82" s="72" t="s">
        <v>180</v>
      </c>
      <c r="E82" s="471"/>
      <c r="F82" s="471"/>
      <c r="G82" s="471"/>
      <c r="H82" s="50"/>
      <c r="J82" s="443"/>
      <c r="K82" s="444"/>
      <c r="L82" s="444"/>
      <c r="M82" s="444"/>
      <c r="N82" s="444"/>
      <c r="O82" s="444"/>
      <c r="P82" s="444"/>
      <c r="Q82" s="444"/>
      <c r="R82" s="444"/>
      <c r="S82" s="444"/>
      <c r="T82" s="444"/>
      <c r="U82" s="444"/>
      <c r="V82" s="444"/>
      <c r="W82" s="445"/>
    </row>
    <row r="83" spans="2:23" ht="23.1" customHeight="1">
      <c r="B83" s="48"/>
      <c r="C83" s="361"/>
      <c r="D83" s="64"/>
      <c r="E83" s="132"/>
      <c r="F83" s="132"/>
      <c r="G83" s="132"/>
      <c r="H83" s="50"/>
      <c r="J83" s="443"/>
      <c r="K83" s="444"/>
      <c r="L83" s="444"/>
      <c r="M83" s="444"/>
      <c r="N83" s="444"/>
      <c r="O83" s="444"/>
      <c r="P83" s="444"/>
      <c r="Q83" s="444"/>
      <c r="R83" s="444"/>
      <c r="S83" s="444"/>
      <c r="T83" s="444"/>
      <c r="U83" s="444"/>
      <c r="V83" s="444"/>
      <c r="W83" s="445"/>
    </row>
    <row r="84" spans="2:23" s="77" customFormat="1" ht="23.1" customHeight="1" thickBot="1">
      <c r="B84" s="24"/>
      <c r="C84" s="372" t="s">
        <v>181</v>
      </c>
      <c r="D84" s="81" t="s">
        <v>182</v>
      </c>
      <c r="E84" s="138">
        <f>E79+E82</f>
        <v>-1899945.6699999995</v>
      </c>
      <c r="F84" s="138">
        <f t="shared" ref="F84:G84" si="16">F79+F82</f>
        <v>-2056196.0099999986</v>
      </c>
      <c r="G84" s="138">
        <f t="shared" si="16"/>
        <v>-2075789.3400000003</v>
      </c>
      <c r="H84" s="61"/>
      <c r="J84" s="443"/>
      <c r="K84" s="444"/>
      <c r="L84" s="444"/>
      <c r="M84" s="444"/>
      <c r="N84" s="444"/>
      <c r="O84" s="444"/>
      <c r="P84" s="444"/>
      <c r="Q84" s="444"/>
      <c r="R84" s="444"/>
      <c r="S84" s="444"/>
      <c r="T84" s="444"/>
      <c r="U84" s="444"/>
      <c r="V84" s="444"/>
      <c r="W84" s="445"/>
    </row>
    <row r="85" spans="2:23" ht="23.1" customHeight="1">
      <c r="B85" s="48"/>
      <c r="C85" s="44"/>
      <c r="D85" s="44"/>
      <c r="E85" s="44"/>
      <c r="F85" s="44"/>
      <c r="G85" s="44"/>
      <c r="H85" s="50"/>
      <c r="J85" s="443"/>
      <c r="K85" s="444"/>
      <c r="L85" s="444"/>
      <c r="M85" s="444"/>
      <c r="N85" s="444"/>
      <c r="O85" s="444"/>
      <c r="P85" s="444"/>
      <c r="Q85" s="444"/>
      <c r="R85" s="444"/>
      <c r="S85" s="444"/>
      <c r="T85" s="444"/>
      <c r="U85" s="444"/>
      <c r="V85" s="444"/>
      <c r="W85" s="445"/>
    </row>
    <row r="86" spans="2:23" ht="23.1" customHeight="1" thickBot="1">
      <c r="B86" s="52"/>
      <c r="C86" s="1134"/>
      <c r="D86" s="1134"/>
      <c r="E86" s="1134"/>
      <c r="F86" s="1134"/>
      <c r="G86" s="54"/>
      <c r="H86" s="55"/>
      <c r="J86" s="446"/>
      <c r="K86" s="447"/>
      <c r="L86" s="447"/>
      <c r="M86" s="447"/>
      <c r="N86" s="447"/>
      <c r="O86" s="447"/>
      <c r="P86" s="447"/>
      <c r="Q86" s="447"/>
      <c r="R86" s="447"/>
      <c r="S86" s="447"/>
      <c r="T86" s="447"/>
      <c r="U86" s="447"/>
      <c r="V86" s="447"/>
      <c r="W86" s="448"/>
    </row>
    <row r="87" spans="2:23" ht="23.1" customHeight="1">
      <c r="C87" s="44"/>
      <c r="D87" s="44"/>
      <c r="E87" s="44"/>
      <c r="F87" s="44"/>
      <c r="G87" s="44"/>
    </row>
    <row r="88" spans="2:23" ht="13.2">
      <c r="C88" s="37" t="s">
        <v>77</v>
      </c>
      <c r="D88" s="44"/>
      <c r="E88" s="44"/>
      <c r="F88" s="44"/>
      <c r="G88" s="41" t="s">
        <v>41</v>
      </c>
    </row>
    <row r="89" spans="2:23" ht="13.2">
      <c r="C89" s="38" t="s">
        <v>78</v>
      </c>
      <c r="D89" s="44"/>
      <c r="E89" s="44"/>
      <c r="F89" s="44"/>
      <c r="G89" s="44"/>
    </row>
    <row r="90" spans="2:23" ht="13.2">
      <c r="C90" s="38" t="s">
        <v>79</v>
      </c>
      <c r="D90" s="44"/>
      <c r="E90" s="44"/>
      <c r="F90" s="44"/>
      <c r="G90" s="44"/>
    </row>
    <row r="91" spans="2:23" ht="13.2">
      <c r="C91" s="38" t="s">
        <v>80</v>
      </c>
      <c r="D91" s="44"/>
      <c r="E91" s="44"/>
      <c r="F91" s="44"/>
      <c r="G91" s="44"/>
    </row>
    <row r="92" spans="2:23" ht="13.2">
      <c r="C92" s="38" t="s">
        <v>81</v>
      </c>
      <c r="D92" s="44"/>
      <c r="E92" s="44"/>
      <c r="F92" s="44"/>
      <c r="G92" s="44"/>
    </row>
    <row r="93" spans="2:23" ht="23.1" customHeight="1">
      <c r="C93" s="44"/>
      <c r="D93" s="44"/>
      <c r="E93" s="44"/>
      <c r="F93" s="44"/>
      <c r="G93" s="44"/>
    </row>
    <row r="94" spans="2:23" ht="23.1" customHeight="1">
      <c r="C94" s="44"/>
      <c r="D94" s="44"/>
      <c r="E94" s="44"/>
      <c r="F94" s="44"/>
      <c r="G94" s="44"/>
    </row>
    <row r="95" spans="2:23" ht="23.1" customHeight="1">
      <c r="C95" s="44"/>
      <c r="D95" s="44"/>
      <c r="E95" s="44"/>
      <c r="F95" s="44"/>
      <c r="G95" s="44"/>
    </row>
    <row r="96" spans="2:23" ht="23.1" customHeight="1">
      <c r="C96" s="44"/>
      <c r="D96" s="44"/>
      <c r="E96" s="44"/>
      <c r="F96" s="44"/>
      <c r="G96" s="44"/>
    </row>
    <row r="97" spans="6:7" ht="23.1" customHeight="1">
      <c r="F97" s="44"/>
      <c r="G97" s="44"/>
    </row>
  </sheetData>
  <sheetProtection password="E059" sheet="1" objects="1" scenarios="1"/>
  <mergeCells count="3">
    <mergeCell ref="C86:F86"/>
    <mergeCell ref="G6:G7"/>
    <mergeCell ref="D9:G9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C105"/>
  <sheetViews>
    <sheetView zoomScale="55" zoomScaleNormal="55" workbookViewId="0">
      <selection activeCell="G49" sqref="G49"/>
    </sheetView>
  </sheetViews>
  <sheetFormatPr baseColWidth="10" defaultColWidth="10.90625" defaultRowHeight="23.1" customHeight="1"/>
  <cols>
    <col min="1" max="2" width="3.08984375" style="646" customWidth="1"/>
    <col min="3" max="3" width="13.54296875" style="646" customWidth="1"/>
    <col min="4" max="4" width="42.453125" style="646" customWidth="1"/>
    <col min="5" max="6" width="15.90625" style="648" customWidth="1"/>
    <col min="7" max="7" width="31" style="648" customWidth="1"/>
    <col min="8" max="8" width="15.54296875" style="648" customWidth="1"/>
    <col min="9" max="9" width="16.90625" style="648" customWidth="1"/>
    <col min="10" max="10" width="30.54296875" style="648" customWidth="1"/>
    <col min="11" max="12" width="15.90625" style="648" customWidth="1"/>
    <col min="13" max="13" width="27.08984375" style="648" customWidth="1"/>
    <col min="14" max="14" width="3.08984375" style="646" customWidth="1"/>
    <col min="15" max="16384" width="10.90625" style="646"/>
  </cols>
  <sheetData>
    <row r="2" spans="2:29" ht="23.1" customHeight="1">
      <c r="D2" s="647" t="s">
        <v>379</v>
      </c>
    </row>
    <row r="3" spans="2:29" ht="23.1" customHeight="1">
      <c r="D3" s="647" t="s">
        <v>380</v>
      </c>
    </row>
    <row r="4" spans="2:29" ht="23.1" customHeight="1" thickBot="1"/>
    <row r="5" spans="2:29" ht="9" customHeight="1">
      <c r="B5" s="649"/>
      <c r="C5" s="650"/>
      <c r="D5" s="650"/>
      <c r="E5" s="651"/>
      <c r="F5" s="651"/>
      <c r="G5" s="651"/>
      <c r="H5" s="651"/>
      <c r="I5" s="651"/>
      <c r="J5" s="651"/>
      <c r="K5" s="651"/>
      <c r="L5" s="651"/>
      <c r="M5" s="651"/>
      <c r="N5" s="652"/>
      <c r="P5" s="427"/>
      <c r="Q5" s="428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8"/>
      <c r="AC5" s="429"/>
    </row>
    <row r="6" spans="2:29" ht="30" customHeight="1">
      <c r="B6" s="653"/>
      <c r="C6" s="654" t="s">
        <v>0</v>
      </c>
      <c r="D6" s="655"/>
      <c r="E6" s="656"/>
      <c r="F6" s="656"/>
      <c r="G6" s="656"/>
      <c r="H6" s="656"/>
      <c r="I6" s="656"/>
      <c r="J6" s="656"/>
      <c r="K6" s="656"/>
      <c r="L6" s="656"/>
      <c r="M6" s="1119">
        <f>ejercicio</f>
        <v>2018</v>
      </c>
      <c r="N6" s="657"/>
      <c r="P6" s="430"/>
      <c r="Q6" s="431" t="s">
        <v>707</v>
      </c>
      <c r="R6" s="432"/>
      <c r="S6" s="432"/>
      <c r="T6" s="432"/>
      <c r="U6" s="432"/>
      <c r="V6" s="432"/>
      <c r="W6" s="432"/>
      <c r="X6" s="432"/>
      <c r="Y6" s="432"/>
      <c r="Z6" s="432"/>
      <c r="AA6" s="432"/>
      <c r="AB6" s="432"/>
      <c r="AC6" s="433"/>
    </row>
    <row r="7" spans="2:29" ht="30" customHeight="1">
      <c r="B7" s="653"/>
      <c r="C7" s="654" t="s">
        <v>1</v>
      </c>
      <c r="D7" s="655"/>
      <c r="E7" s="656"/>
      <c r="F7" s="656"/>
      <c r="G7" s="656"/>
      <c r="H7" s="656"/>
      <c r="I7" s="656"/>
      <c r="J7" s="656"/>
      <c r="K7" s="656"/>
      <c r="L7" s="656"/>
      <c r="M7" s="1119"/>
      <c r="N7" s="658"/>
      <c r="P7" s="430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3"/>
    </row>
    <row r="8" spans="2:29" ht="30" customHeight="1">
      <c r="B8" s="653"/>
      <c r="C8" s="659"/>
      <c r="D8" s="655"/>
      <c r="E8" s="656"/>
      <c r="F8" s="656"/>
      <c r="G8" s="656"/>
      <c r="H8" s="656"/>
      <c r="I8" s="656"/>
      <c r="J8" s="656"/>
      <c r="K8" s="656"/>
      <c r="L8" s="656"/>
      <c r="M8" s="656"/>
      <c r="N8" s="658"/>
      <c r="P8" s="430"/>
      <c r="Q8" s="432"/>
      <c r="R8" s="432"/>
      <c r="S8" s="432"/>
      <c r="T8" s="432"/>
      <c r="U8" s="432"/>
      <c r="V8" s="432"/>
      <c r="W8" s="432"/>
      <c r="X8" s="432"/>
      <c r="Y8" s="432"/>
      <c r="Z8" s="432"/>
      <c r="AA8" s="432"/>
      <c r="AB8" s="432"/>
      <c r="AC8" s="433"/>
    </row>
    <row r="9" spans="2:29" s="662" customFormat="1" ht="30" customHeight="1">
      <c r="B9" s="660"/>
      <c r="C9" s="661" t="s">
        <v>2</v>
      </c>
      <c r="D9" s="1121" t="str">
        <f>Entidad</f>
        <v>SPET, Turismo de Tenerife, S.A.</v>
      </c>
      <c r="E9" s="1121"/>
      <c r="F9" s="1121"/>
      <c r="G9" s="1121"/>
      <c r="H9" s="1121"/>
      <c r="I9" s="1121"/>
      <c r="J9" s="1121"/>
      <c r="K9" s="1121"/>
      <c r="L9" s="1121"/>
      <c r="M9" s="1121"/>
      <c r="N9" s="658"/>
      <c r="P9" s="434"/>
      <c r="Q9" s="435"/>
      <c r="R9" s="435"/>
      <c r="S9" s="435"/>
      <c r="T9" s="435"/>
      <c r="U9" s="435"/>
      <c r="V9" s="435"/>
      <c r="W9" s="435"/>
      <c r="X9" s="435"/>
      <c r="Y9" s="435"/>
      <c r="Z9" s="435"/>
      <c r="AA9" s="435"/>
      <c r="AB9" s="435"/>
      <c r="AC9" s="436"/>
    </row>
    <row r="10" spans="2:29" ht="7.35" customHeight="1">
      <c r="B10" s="653"/>
      <c r="C10" s="655"/>
      <c r="D10" s="655"/>
      <c r="E10" s="656"/>
      <c r="F10" s="656"/>
      <c r="G10" s="656"/>
      <c r="H10" s="656"/>
      <c r="I10" s="656"/>
      <c r="J10" s="656"/>
      <c r="K10" s="656"/>
      <c r="L10" s="656"/>
      <c r="M10" s="656"/>
      <c r="N10" s="658"/>
      <c r="P10" s="430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3"/>
    </row>
    <row r="11" spans="2:29" s="666" customFormat="1" ht="30" customHeight="1">
      <c r="B11" s="663"/>
      <c r="C11" s="664" t="s">
        <v>656</v>
      </c>
      <c r="D11" s="664"/>
      <c r="E11" s="665"/>
      <c r="F11" s="665"/>
      <c r="G11" s="665"/>
      <c r="H11" s="665"/>
      <c r="I11" s="665"/>
      <c r="J11" s="665"/>
      <c r="K11" s="665"/>
      <c r="L11" s="665"/>
      <c r="M11" s="665"/>
      <c r="N11" s="658"/>
      <c r="P11" s="437"/>
      <c r="Q11" s="438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9"/>
    </row>
    <row r="12" spans="2:29" s="666" customFormat="1" ht="30" customHeight="1">
      <c r="B12" s="663"/>
      <c r="C12" s="1142"/>
      <c r="D12" s="1142"/>
      <c r="E12" s="667"/>
      <c r="F12" s="667"/>
      <c r="G12" s="667"/>
      <c r="H12" s="667"/>
      <c r="I12" s="667"/>
      <c r="J12" s="667"/>
      <c r="K12" s="667"/>
      <c r="L12" s="667"/>
      <c r="M12" s="667"/>
      <c r="N12" s="658"/>
      <c r="P12" s="437"/>
      <c r="Q12" s="438"/>
      <c r="R12" s="438"/>
      <c r="S12" s="438"/>
      <c r="T12" s="438"/>
      <c r="U12" s="438"/>
      <c r="V12" s="438"/>
      <c r="W12" s="438"/>
      <c r="X12" s="438"/>
      <c r="Y12" s="438"/>
      <c r="Z12" s="438"/>
      <c r="AA12" s="438"/>
      <c r="AB12" s="438"/>
      <c r="AC12" s="439"/>
    </row>
    <row r="13" spans="2:29" s="666" customFormat="1" ht="30" customHeight="1">
      <c r="B13" s="663"/>
      <c r="D13" s="668"/>
      <c r="E13" s="667"/>
      <c r="F13" s="667"/>
      <c r="G13" s="667"/>
      <c r="H13" s="667"/>
      <c r="I13" s="667"/>
      <c r="J13" s="667"/>
      <c r="K13" s="667"/>
      <c r="L13" s="667"/>
      <c r="M13" s="667"/>
      <c r="N13" s="658"/>
      <c r="P13" s="430"/>
      <c r="Q13" s="432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2"/>
      <c r="AC13" s="433"/>
    </row>
    <row r="14" spans="2:29" s="676" customFormat="1" ht="23.1" customHeight="1">
      <c r="B14" s="669"/>
      <c r="C14" s="670"/>
      <c r="D14" s="671"/>
      <c r="E14" s="672"/>
      <c r="F14" s="673" t="s">
        <v>183</v>
      </c>
      <c r="G14" s="674">
        <f>ejercicio-2</f>
        <v>2016</v>
      </c>
      <c r="H14" s="672"/>
      <c r="I14" s="675" t="s">
        <v>184</v>
      </c>
      <c r="J14" s="674">
        <f>ejercicio-1</f>
        <v>2017</v>
      </c>
      <c r="K14" s="672"/>
      <c r="L14" s="673" t="s">
        <v>185</v>
      </c>
      <c r="M14" s="674">
        <f>ejercicio</f>
        <v>2018</v>
      </c>
      <c r="N14" s="658"/>
      <c r="P14" s="430"/>
      <c r="Q14" s="432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2"/>
      <c r="AC14" s="433"/>
    </row>
    <row r="15" spans="2:29" s="681" customFormat="1" ht="23.1" customHeight="1">
      <c r="B15" s="677"/>
      <c r="C15" s="678" t="s">
        <v>673</v>
      </c>
      <c r="D15" s="679"/>
      <c r="E15" s="680" t="s">
        <v>657</v>
      </c>
      <c r="F15" s="680" t="s">
        <v>658</v>
      </c>
      <c r="G15" s="680" t="s">
        <v>585</v>
      </c>
      <c r="H15" s="680" t="s">
        <v>657</v>
      </c>
      <c r="I15" s="680" t="s">
        <v>658</v>
      </c>
      <c r="J15" s="680" t="s">
        <v>585</v>
      </c>
      <c r="K15" s="680" t="s">
        <v>657</v>
      </c>
      <c r="L15" s="680" t="s">
        <v>658</v>
      </c>
      <c r="M15" s="680" t="s">
        <v>585</v>
      </c>
      <c r="N15" s="658"/>
      <c r="P15" s="430"/>
      <c r="Q15" s="432"/>
      <c r="R15" s="432"/>
      <c r="S15" s="432"/>
      <c r="T15" s="432"/>
      <c r="U15" s="432"/>
      <c r="V15" s="432"/>
      <c r="W15" s="432"/>
      <c r="X15" s="432"/>
      <c r="Y15" s="432"/>
      <c r="Z15" s="432"/>
      <c r="AA15" s="432"/>
      <c r="AB15" s="432"/>
      <c r="AC15" s="433"/>
    </row>
    <row r="16" spans="2:29" s="688" customFormat="1" ht="23.1" customHeight="1">
      <c r="B16" s="682"/>
      <c r="C16" s="683" t="s">
        <v>659</v>
      </c>
      <c r="D16" s="684"/>
      <c r="E16" s="685">
        <f>SUM(E17:E18)</f>
        <v>99019.92</v>
      </c>
      <c r="F16" s="685">
        <f>SUM(F17:F18)</f>
        <v>6931.3944000000001</v>
      </c>
      <c r="G16" s="686"/>
      <c r="H16" s="685">
        <f>SUM(H17:H18)</f>
        <v>120000</v>
      </c>
      <c r="I16" s="685">
        <f>SUM(I17:I18)</f>
        <v>8400</v>
      </c>
      <c r="J16" s="686"/>
      <c r="K16" s="685">
        <f>SUM(K17:K18)</f>
        <v>120000</v>
      </c>
      <c r="L16" s="685">
        <f>SUM(L17:L18)</f>
        <v>8400</v>
      </c>
      <c r="M16" s="687"/>
      <c r="N16" s="658"/>
      <c r="P16" s="430"/>
      <c r="Q16" s="432"/>
      <c r="R16" s="432"/>
      <c r="S16" s="432"/>
      <c r="T16" s="432"/>
      <c r="U16" s="432"/>
      <c r="V16" s="432"/>
      <c r="W16" s="432"/>
      <c r="X16" s="432"/>
      <c r="Y16" s="432"/>
      <c r="Z16" s="432"/>
      <c r="AA16" s="432"/>
      <c r="AB16" s="432"/>
      <c r="AC16" s="433"/>
    </row>
    <row r="17" spans="2:29" s="688" customFormat="1" ht="20.100000000000001" customHeight="1">
      <c r="B17" s="682"/>
      <c r="C17" s="912"/>
      <c r="D17" s="913" t="s">
        <v>660</v>
      </c>
      <c r="E17" s="501"/>
      <c r="F17" s="501"/>
      <c r="G17" s="914"/>
      <c r="H17" s="501"/>
      <c r="I17" s="501"/>
      <c r="J17" s="914"/>
      <c r="K17" s="501"/>
      <c r="L17" s="501"/>
      <c r="M17" s="915"/>
      <c r="N17" s="723"/>
      <c r="P17" s="440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1"/>
      <c r="AB17" s="441"/>
      <c r="AC17" s="442"/>
    </row>
    <row r="18" spans="2:29" s="688" customFormat="1" ht="20.100000000000001" customHeight="1">
      <c r="B18" s="682"/>
      <c r="C18" s="916"/>
      <c r="D18" s="917" t="s">
        <v>661</v>
      </c>
      <c r="E18" s="509">
        <v>99019.92</v>
      </c>
      <c r="F18" s="509">
        <f>(E18*0.07)</f>
        <v>6931.3944000000001</v>
      </c>
      <c r="G18" s="918"/>
      <c r="H18" s="509">
        <v>120000</v>
      </c>
      <c r="I18" s="509">
        <v>8400</v>
      </c>
      <c r="J18" s="918"/>
      <c r="K18" s="509">
        <v>120000</v>
      </c>
      <c r="L18" s="509">
        <v>8400</v>
      </c>
      <c r="M18" s="919" t="s">
        <v>920</v>
      </c>
      <c r="N18" s="723"/>
      <c r="P18" s="440"/>
      <c r="Q18" s="441"/>
      <c r="R18" s="441"/>
      <c r="S18" s="441"/>
      <c r="T18" s="441"/>
      <c r="U18" s="441"/>
      <c r="V18" s="441"/>
      <c r="W18" s="441"/>
      <c r="X18" s="441"/>
      <c r="Y18" s="441"/>
      <c r="Z18" s="441"/>
      <c r="AA18" s="441"/>
      <c r="AB18" s="441"/>
      <c r="AC18" s="442"/>
    </row>
    <row r="19" spans="2:29" s="688" customFormat="1" ht="23.1" customHeight="1">
      <c r="B19" s="682"/>
      <c r="C19" s="683" t="s">
        <v>662</v>
      </c>
      <c r="D19" s="684"/>
      <c r="E19" s="685">
        <f>+E20+E25</f>
        <v>0</v>
      </c>
      <c r="F19" s="685">
        <f>+F20+F25</f>
        <v>0</v>
      </c>
      <c r="G19" s="686"/>
      <c r="H19" s="685">
        <f>+H20+H25</f>
        <v>0</v>
      </c>
      <c r="I19" s="685">
        <f>+I20+I25</f>
        <v>0</v>
      </c>
      <c r="J19" s="686"/>
      <c r="K19" s="685">
        <f>+K20+K25</f>
        <v>0</v>
      </c>
      <c r="L19" s="685">
        <f>+L20+L25</f>
        <v>0</v>
      </c>
      <c r="M19" s="687"/>
      <c r="N19" s="658"/>
      <c r="P19" s="430"/>
      <c r="Q19" s="432"/>
      <c r="R19" s="432"/>
      <c r="S19" s="432"/>
      <c r="T19" s="432"/>
      <c r="U19" s="432"/>
      <c r="V19" s="432"/>
      <c r="W19" s="432"/>
      <c r="X19" s="432"/>
      <c r="Y19" s="432"/>
      <c r="Z19" s="432"/>
      <c r="AA19" s="432"/>
      <c r="AB19" s="432"/>
      <c r="AC19" s="433"/>
    </row>
    <row r="20" spans="2:29" s="688" customFormat="1" ht="20.100000000000001" customHeight="1">
      <c r="B20" s="682"/>
      <c r="C20" s="912"/>
      <c r="D20" s="913" t="s">
        <v>834</v>
      </c>
      <c r="E20" s="920">
        <f>SUM(E21:E24)</f>
        <v>0</v>
      </c>
      <c r="F20" s="920">
        <f>SUM(F21:F24)</f>
        <v>0</v>
      </c>
      <c r="G20" s="921"/>
      <c r="H20" s="920">
        <f>SUM(H21:H24)</f>
        <v>0</v>
      </c>
      <c r="I20" s="920">
        <f>SUM(I21:I24)</f>
        <v>0</v>
      </c>
      <c r="J20" s="921"/>
      <c r="K20" s="920">
        <f>SUM(K21:K24)</f>
        <v>0</v>
      </c>
      <c r="L20" s="920">
        <f>SUM(L21:L24)</f>
        <v>0</v>
      </c>
      <c r="M20" s="922"/>
      <c r="N20" s="723"/>
      <c r="P20" s="440"/>
      <c r="Q20" s="441"/>
      <c r="R20" s="441"/>
      <c r="S20" s="441"/>
      <c r="T20" s="441"/>
      <c r="U20" s="441"/>
      <c r="V20" s="441"/>
      <c r="W20" s="441"/>
      <c r="X20" s="441"/>
      <c r="Y20" s="441"/>
      <c r="Z20" s="441"/>
      <c r="AA20" s="441"/>
      <c r="AB20" s="441"/>
      <c r="AC20" s="442"/>
    </row>
    <row r="21" spans="2:29" s="691" customFormat="1" ht="20.100000000000001" customHeight="1">
      <c r="B21" s="660"/>
      <c r="C21" s="592"/>
      <c r="D21" s="593"/>
      <c r="E21" s="536"/>
      <c r="F21" s="536"/>
      <c r="G21" s="579"/>
      <c r="H21" s="536"/>
      <c r="I21" s="536"/>
      <c r="J21" s="579"/>
      <c r="K21" s="536"/>
      <c r="L21" s="536"/>
      <c r="M21" s="546"/>
      <c r="N21" s="658"/>
      <c r="P21" s="430"/>
      <c r="Q21" s="432"/>
      <c r="R21" s="432"/>
      <c r="S21" s="432"/>
      <c r="T21" s="432"/>
      <c r="U21" s="432"/>
      <c r="V21" s="432"/>
      <c r="W21" s="432"/>
      <c r="X21" s="432"/>
      <c r="Y21" s="432"/>
      <c r="Z21" s="432"/>
      <c r="AA21" s="432"/>
      <c r="AB21" s="432"/>
      <c r="AC21" s="433"/>
    </row>
    <row r="22" spans="2:29" s="691" customFormat="1" ht="20.100000000000001" customHeight="1">
      <c r="B22" s="660"/>
      <c r="C22" s="592"/>
      <c r="D22" s="593"/>
      <c r="E22" s="536"/>
      <c r="F22" s="536"/>
      <c r="G22" s="579"/>
      <c r="H22" s="536"/>
      <c r="I22" s="536"/>
      <c r="J22" s="579"/>
      <c r="K22" s="536"/>
      <c r="L22" s="536"/>
      <c r="M22" s="546"/>
      <c r="N22" s="658"/>
      <c r="P22" s="430"/>
      <c r="Q22" s="432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2"/>
      <c r="AC22" s="433"/>
    </row>
    <row r="23" spans="2:29" s="691" customFormat="1" ht="20.100000000000001" customHeight="1">
      <c r="B23" s="660"/>
      <c r="C23" s="592"/>
      <c r="D23" s="593"/>
      <c r="E23" s="536"/>
      <c r="F23" s="536"/>
      <c r="G23" s="579"/>
      <c r="H23" s="536"/>
      <c r="I23" s="536"/>
      <c r="J23" s="579"/>
      <c r="K23" s="536"/>
      <c r="L23" s="536"/>
      <c r="M23" s="546"/>
      <c r="N23" s="658"/>
      <c r="P23" s="430"/>
      <c r="Q23" s="432"/>
      <c r="R23" s="432"/>
      <c r="S23" s="432"/>
      <c r="T23" s="432"/>
      <c r="U23" s="432"/>
      <c r="V23" s="432"/>
      <c r="W23" s="432"/>
      <c r="X23" s="432"/>
      <c r="Y23" s="432"/>
      <c r="Z23" s="432"/>
      <c r="AA23" s="432"/>
      <c r="AB23" s="432"/>
      <c r="AC23" s="433"/>
    </row>
    <row r="24" spans="2:29" s="691" customFormat="1" ht="20.100000000000001" customHeight="1">
      <c r="B24" s="660"/>
      <c r="C24" s="592"/>
      <c r="D24" s="593"/>
      <c r="E24" s="536"/>
      <c r="F24" s="536"/>
      <c r="G24" s="579"/>
      <c r="H24" s="536"/>
      <c r="I24" s="536"/>
      <c r="J24" s="579"/>
      <c r="K24" s="536"/>
      <c r="L24" s="536"/>
      <c r="M24" s="546"/>
      <c r="N24" s="658"/>
      <c r="P24" s="430"/>
      <c r="Q24" s="432"/>
      <c r="R24" s="432"/>
      <c r="S24" s="432"/>
      <c r="T24" s="432"/>
      <c r="U24" s="432"/>
      <c r="V24" s="432"/>
      <c r="W24" s="432"/>
      <c r="X24" s="432"/>
      <c r="Y24" s="432"/>
      <c r="Z24" s="432"/>
      <c r="AA24" s="432"/>
      <c r="AB24" s="432"/>
      <c r="AC24" s="433"/>
    </row>
    <row r="25" spans="2:29" s="688" customFormat="1" ht="20.100000000000001" customHeight="1">
      <c r="B25" s="682"/>
      <c r="C25" s="923"/>
      <c r="D25" s="924" t="s">
        <v>835</v>
      </c>
      <c r="E25" s="925">
        <f>SUM(E26:E29)</f>
        <v>0</v>
      </c>
      <c r="F25" s="925">
        <f>SUM(F26:F29)</f>
        <v>0</v>
      </c>
      <c r="G25" s="926"/>
      <c r="H25" s="925">
        <f>SUM(H26:H29)</f>
        <v>0</v>
      </c>
      <c r="I25" s="925">
        <f>SUM(I26:I29)</f>
        <v>0</v>
      </c>
      <c r="J25" s="926"/>
      <c r="K25" s="925">
        <f>SUM(K26:K29)</f>
        <v>0</v>
      </c>
      <c r="L25" s="925">
        <f>SUM(L26:L29)</f>
        <v>0</v>
      </c>
      <c r="M25" s="927"/>
      <c r="N25" s="723"/>
      <c r="P25" s="440"/>
      <c r="Q25" s="441"/>
      <c r="R25" s="441"/>
      <c r="S25" s="441"/>
      <c r="T25" s="441"/>
      <c r="U25" s="441"/>
      <c r="V25" s="441"/>
      <c r="W25" s="441"/>
      <c r="X25" s="441"/>
      <c r="Y25" s="441"/>
      <c r="Z25" s="441"/>
      <c r="AA25" s="441"/>
      <c r="AB25" s="441"/>
      <c r="AC25" s="442"/>
    </row>
    <row r="26" spans="2:29" s="691" customFormat="1" ht="20.100000000000001" customHeight="1">
      <c r="B26" s="660"/>
      <c r="C26" s="592"/>
      <c r="D26" s="593"/>
      <c r="E26" s="536"/>
      <c r="F26" s="536"/>
      <c r="G26" s="579"/>
      <c r="H26" s="536"/>
      <c r="I26" s="536"/>
      <c r="J26" s="579"/>
      <c r="K26" s="536"/>
      <c r="L26" s="536"/>
      <c r="M26" s="546"/>
      <c r="N26" s="658"/>
      <c r="P26" s="430"/>
      <c r="Q26" s="432"/>
      <c r="R26" s="432"/>
      <c r="S26" s="432"/>
      <c r="T26" s="432"/>
      <c r="U26" s="432"/>
      <c r="V26" s="432"/>
      <c r="W26" s="432"/>
      <c r="X26" s="432"/>
      <c r="Y26" s="432"/>
      <c r="Z26" s="432"/>
      <c r="AA26" s="432"/>
      <c r="AB26" s="432"/>
      <c r="AC26" s="433"/>
    </row>
    <row r="27" spans="2:29" s="691" customFormat="1" ht="20.100000000000001" customHeight="1">
      <c r="B27" s="660"/>
      <c r="C27" s="592"/>
      <c r="D27" s="593"/>
      <c r="E27" s="536"/>
      <c r="F27" s="536"/>
      <c r="G27" s="579"/>
      <c r="H27" s="536"/>
      <c r="I27" s="536"/>
      <c r="J27" s="579"/>
      <c r="K27" s="536"/>
      <c r="L27" s="536"/>
      <c r="M27" s="546"/>
      <c r="N27" s="658"/>
      <c r="P27" s="430"/>
      <c r="Q27" s="432"/>
      <c r="R27" s="432"/>
      <c r="S27" s="432"/>
      <c r="T27" s="432"/>
      <c r="U27" s="432"/>
      <c r="V27" s="432"/>
      <c r="W27" s="432"/>
      <c r="X27" s="432"/>
      <c r="Y27" s="432"/>
      <c r="Z27" s="432"/>
      <c r="AA27" s="432"/>
      <c r="AB27" s="432"/>
      <c r="AC27" s="433"/>
    </row>
    <row r="28" spans="2:29" s="691" customFormat="1" ht="20.100000000000001" customHeight="1">
      <c r="B28" s="660"/>
      <c r="C28" s="592"/>
      <c r="D28" s="593"/>
      <c r="E28" s="536"/>
      <c r="F28" s="536"/>
      <c r="G28" s="579"/>
      <c r="H28" s="536"/>
      <c r="I28" s="536"/>
      <c r="J28" s="579"/>
      <c r="K28" s="536"/>
      <c r="L28" s="536"/>
      <c r="M28" s="546"/>
      <c r="N28" s="658"/>
      <c r="P28" s="430"/>
      <c r="Q28" s="432"/>
      <c r="R28" s="432"/>
      <c r="S28" s="432"/>
      <c r="T28" s="432"/>
      <c r="U28" s="432"/>
      <c r="V28" s="432"/>
      <c r="W28" s="432"/>
      <c r="X28" s="432"/>
      <c r="Y28" s="432"/>
      <c r="Z28" s="432"/>
      <c r="AA28" s="432"/>
      <c r="AB28" s="432"/>
      <c r="AC28" s="433"/>
    </row>
    <row r="29" spans="2:29" s="691" customFormat="1" ht="20.100000000000001" customHeight="1">
      <c r="B29" s="660"/>
      <c r="C29" s="594"/>
      <c r="D29" s="595"/>
      <c r="E29" s="538"/>
      <c r="F29" s="538"/>
      <c r="G29" s="558"/>
      <c r="H29" s="538"/>
      <c r="I29" s="538"/>
      <c r="J29" s="558"/>
      <c r="K29" s="538"/>
      <c r="L29" s="538"/>
      <c r="M29" s="547"/>
      <c r="N29" s="658"/>
      <c r="P29" s="430"/>
      <c r="Q29" s="432"/>
      <c r="R29" s="432"/>
      <c r="S29" s="432"/>
      <c r="T29" s="432"/>
      <c r="U29" s="432"/>
      <c r="V29" s="432"/>
      <c r="W29" s="432"/>
      <c r="X29" s="432"/>
      <c r="Y29" s="432"/>
      <c r="Z29" s="432"/>
      <c r="AA29" s="432"/>
      <c r="AB29" s="432"/>
      <c r="AC29" s="433"/>
    </row>
    <row r="30" spans="2:29" s="688" customFormat="1" ht="23.1" customHeight="1">
      <c r="B30" s="682"/>
      <c r="C30" s="683" t="s">
        <v>663</v>
      </c>
      <c r="D30" s="684"/>
      <c r="E30" s="685">
        <f>+E31+E40</f>
        <v>1032158.02</v>
      </c>
      <c r="F30" s="685">
        <f>+F31+F40</f>
        <v>72251.061400000006</v>
      </c>
      <c r="G30" s="686"/>
      <c r="H30" s="685">
        <f>+H31+H40</f>
        <v>1224929.24</v>
      </c>
      <c r="I30" s="685">
        <f>+I31+I40</f>
        <v>85745.05</v>
      </c>
      <c r="J30" s="686"/>
      <c r="K30" s="685">
        <f>+K31+K40</f>
        <v>1219288.1600000001</v>
      </c>
      <c r="L30" s="685">
        <f>+L31+L40</f>
        <v>85350.17</v>
      </c>
      <c r="M30" s="687"/>
      <c r="N30" s="658"/>
      <c r="P30" s="440"/>
      <c r="Q30" s="441"/>
      <c r="R30" s="441"/>
      <c r="S30" s="441"/>
      <c r="T30" s="441"/>
      <c r="U30" s="441"/>
      <c r="V30" s="441"/>
      <c r="W30" s="441"/>
      <c r="X30" s="441"/>
      <c r="Y30" s="441"/>
      <c r="Z30" s="441"/>
      <c r="AA30" s="441"/>
      <c r="AB30" s="441"/>
      <c r="AC30" s="442"/>
    </row>
    <row r="31" spans="2:29" s="702" customFormat="1" ht="19.350000000000001" customHeight="1">
      <c r="B31" s="695"/>
      <c r="C31" s="696" t="s">
        <v>664</v>
      </c>
      <c r="D31" s="697"/>
      <c r="E31" s="698">
        <f>E32+E36</f>
        <v>18000</v>
      </c>
      <c r="F31" s="698">
        <f>F32+F36</f>
        <v>1260.0000000000002</v>
      </c>
      <c r="G31" s="699"/>
      <c r="H31" s="698">
        <f>H32+H36</f>
        <v>418000</v>
      </c>
      <c r="I31" s="698">
        <f>I32+I36</f>
        <v>29260</v>
      </c>
      <c r="J31" s="699"/>
      <c r="K31" s="698">
        <f>K32+K36</f>
        <v>418000</v>
      </c>
      <c r="L31" s="698">
        <f>L32+L36</f>
        <v>29260</v>
      </c>
      <c r="M31" s="700"/>
      <c r="N31" s="701"/>
      <c r="P31" s="640"/>
      <c r="Q31" s="641"/>
      <c r="R31" s="641"/>
      <c r="S31" s="641"/>
      <c r="T31" s="641"/>
      <c r="U31" s="641"/>
      <c r="V31" s="641"/>
      <c r="W31" s="641"/>
      <c r="X31" s="641"/>
      <c r="Y31" s="641"/>
      <c r="Z31" s="641"/>
      <c r="AA31" s="641"/>
      <c r="AB31" s="641"/>
      <c r="AC31" s="642"/>
    </row>
    <row r="32" spans="2:29" s="688" customFormat="1" ht="19.350000000000001" customHeight="1">
      <c r="B32" s="682"/>
      <c r="C32" s="912"/>
      <c r="D32" s="913" t="s">
        <v>836</v>
      </c>
      <c r="E32" s="920">
        <f>SUM(E33:E35)</f>
        <v>0</v>
      </c>
      <c r="F32" s="920">
        <f>SUM(F33:F35)</f>
        <v>0</v>
      </c>
      <c r="G32" s="921"/>
      <c r="H32" s="920">
        <f>SUM(H33:H35)</f>
        <v>0</v>
      </c>
      <c r="I32" s="920">
        <f>SUM(I33:I35)</f>
        <v>0</v>
      </c>
      <c r="J32" s="921"/>
      <c r="K32" s="920">
        <f>SUM(K33:K35)</f>
        <v>0</v>
      </c>
      <c r="L32" s="920">
        <f>SUM(L33:L35)</f>
        <v>0</v>
      </c>
      <c r="M32" s="922"/>
      <c r="N32" s="723"/>
      <c r="P32" s="440"/>
      <c r="Q32" s="441"/>
      <c r="R32" s="441"/>
      <c r="S32" s="441"/>
      <c r="T32" s="441"/>
      <c r="U32" s="441"/>
      <c r="V32" s="441"/>
      <c r="W32" s="441"/>
      <c r="X32" s="441"/>
      <c r="Y32" s="441"/>
      <c r="Z32" s="441"/>
      <c r="AA32" s="441"/>
      <c r="AB32" s="441"/>
      <c r="AC32" s="442"/>
    </row>
    <row r="33" spans="2:29" s="691" customFormat="1" ht="19.350000000000001" customHeight="1">
      <c r="B33" s="660"/>
      <c r="C33" s="590"/>
      <c r="D33" s="591"/>
      <c r="E33" s="533"/>
      <c r="F33" s="533"/>
      <c r="G33" s="577"/>
      <c r="H33" s="533"/>
      <c r="I33" s="533"/>
      <c r="J33" s="577"/>
      <c r="K33" s="533"/>
      <c r="L33" s="533"/>
      <c r="M33" s="578"/>
      <c r="N33" s="658"/>
      <c r="P33" s="430"/>
      <c r="Q33" s="432"/>
      <c r="R33" s="432"/>
      <c r="S33" s="432"/>
      <c r="T33" s="432"/>
      <c r="U33" s="432"/>
      <c r="V33" s="432"/>
      <c r="W33" s="432"/>
      <c r="X33" s="432"/>
      <c r="Y33" s="432"/>
      <c r="Z33" s="432"/>
      <c r="AA33" s="432"/>
      <c r="AB33" s="432"/>
      <c r="AC33" s="433"/>
    </row>
    <row r="34" spans="2:29" s="691" customFormat="1" ht="19.350000000000001" customHeight="1">
      <c r="B34" s="660"/>
      <c r="C34" s="590"/>
      <c r="D34" s="591"/>
      <c r="E34" s="533"/>
      <c r="F34" s="533"/>
      <c r="G34" s="577"/>
      <c r="H34" s="533"/>
      <c r="I34" s="533"/>
      <c r="J34" s="577"/>
      <c r="K34" s="533"/>
      <c r="L34" s="533"/>
      <c r="M34" s="578"/>
      <c r="N34" s="658"/>
      <c r="P34" s="430"/>
      <c r="Q34" s="432"/>
      <c r="R34" s="432"/>
      <c r="S34" s="432"/>
      <c r="T34" s="432"/>
      <c r="U34" s="432"/>
      <c r="V34" s="432"/>
      <c r="W34" s="432"/>
      <c r="X34" s="432"/>
      <c r="Y34" s="432"/>
      <c r="Z34" s="432"/>
      <c r="AA34" s="432"/>
      <c r="AB34" s="432"/>
      <c r="AC34" s="433"/>
    </row>
    <row r="35" spans="2:29" s="691" customFormat="1" ht="19.350000000000001" customHeight="1">
      <c r="B35" s="660"/>
      <c r="C35" s="590"/>
      <c r="D35" s="591"/>
      <c r="E35" s="533"/>
      <c r="F35" s="533"/>
      <c r="G35" s="577"/>
      <c r="H35" s="533"/>
      <c r="I35" s="533"/>
      <c r="J35" s="577"/>
      <c r="K35" s="533"/>
      <c r="L35" s="533"/>
      <c r="M35" s="578"/>
      <c r="N35" s="658"/>
      <c r="P35" s="430"/>
      <c r="Q35" s="432"/>
      <c r="R35" s="432"/>
      <c r="S35" s="432"/>
      <c r="T35" s="432"/>
      <c r="U35" s="432"/>
      <c r="V35" s="432"/>
      <c r="W35" s="432"/>
      <c r="X35" s="432"/>
      <c r="Y35" s="432"/>
      <c r="Z35" s="432"/>
      <c r="AA35" s="432"/>
      <c r="AB35" s="432"/>
      <c r="AC35" s="433"/>
    </row>
    <row r="36" spans="2:29" s="688" customFormat="1" ht="19.350000000000001" customHeight="1">
      <c r="B36" s="682"/>
      <c r="C36" s="912"/>
      <c r="D36" s="913" t="s">
        <v>837</v>
      </c>
      <c r="E36" s="920">
        <f>SUM(E37:E39)</f>
        <v>18000</v>
      </c>
      <c r="F36" s="920">
        <f>SUM(F37:F39)</f>
        <v>1260.0000000000002</v>
      </c>
      <c r="G36" s="921"/>
      <c r="H36" s="920">
        <f>SUM(H37:H39)</f>
        <v>418000</v>
      </c>
      <c r="I36" s="920">
        <f>SUM(I37:I39)</f>
        <v>29260</v>
      </c>
      <c r="J36" s="921"/>
      <c r="K36" s="920">
        <f>SUM(K37:K39)</f>
        <v>418000</v>
      </c>
      <c r="L36" s="920">
        <f>SUM(L37:L39)</f>
        <v>29260</v>
      </c>
      <c r="M36" s="922"/>
      <c r="N36" s="723"/>
      <c r="P36" s="928"/>
      <c r="Q36" s="929"/>
      <c r="R36" s="929"/>
      <c r="S36" s="929"/>
      <c r="T36" s="929"/>
      <c r="U36" s="929"/>
      <c r="V36" s="929"/>
      <c r="W36" s="929"/>
      <c r="X36" s="929"/>
      <c r="Y36" s="929"/>
      <c r="Z36" s="929"/>
      <c r="AA36" s="929"/>
      <c r="AB36" s="929"/>
      <c r="AC36" s="930"/>
    </row>
    <row r="37" spans="2:29" s="691" customFormat="1" ht="19.350000000000001" customHeight="1">
      <c r="B37" s="660"/>
      <c r="C37" s="590"/>
      <c r="D37" s="591"/>
      <c r="E37" s="533">
        <v>18000</v>
      </c>
      <c r="F37" s="533">
        <f>(E37*0.07)</f>
        <v>1260.0000000000002</v>
      </c>
      <c r="G37" s="577"/>
      <c r="H37" s="533">
        <v>418000</v>
      </c>
      <c r="I37" s="533">
        <v>29260</v>
      </c>
      <c r="J37" s="577"/>
      <c r="K37" s="533">
        <f>400000+18000</f>
        <v>418000</v>
      </c>
      <c r="L37" s="533">
        <v>29260</v>
      </c>
      <c r="M37" s="1061" t="s">
        <v>921</v>
      </c>
      <c r="N37" s="658"/>
      <c r="P37" s="443"/>
      <c r="Q37" s="444"/>
      <c r="R37" s="444"/>
      <c r="S37" s="444"/>
      <c r="T37" s="444"/>
      <c r="U37" s="444"/>
      <c r="V37" s="444"/>
      <c r="W37" s="444"/>
      <c r="X37" s="444"/>
      <c r="Y37" s="444"/>
      <c r="Z37" s="444"/>
      <c r="AA37" s="444"/>
      <c r="AB37" s="444"/>
      <c r="AC37" s="445"/>
    </row>
    <row r="38" spans="2:29" s="691" customFormat="1" ht="19.350000000000001" customHeight="1">
      <c r="B38" s="660"/>
      <c r="C38" s="590"/>
      <c r="D38" s="591"/>
      <c r="E38" s="533"/>
      <c r="F38" s="533"/>
      <c r="G38" s="577"/>
      <c r="H38" s="533"/>
      <c r="I38" s="533"/>
      <c r="J38" s="577"/>
      <c r="K38" s="533"/>
      <c r="L38" s="533"/>
      <c r="M38" s="578"/>
      <c r="N38" s="658"/>
      <c r="P38" s="443"/>
      <c r="Q38" s="444"/>
      <c r="R38" s="444"/>
      <c r="S38" s="444"/>
      <c r="T38" s="444"/>
      <c r="U38" s="444"/>
      <c r="V38" s="444"/>
      <c r="W38" s="444"/>
      <c r="X38" s="444"/>
      <c r="Y38" s="444"/>
      <c r="Z38" s="444"/>
      <c r="AA38" s="444"/>
      <c r="AB38" s="444"/>
      <c r="AC38" s="445"/>
    </row>
    <row r="39" spans="2:29" s="691" customFormat="1" ht="19.350000000000001" customHeight="1">
      <c r="B39" s="660"/>
      <c r="C39" s="590"/>
      <c r="D39" s="591"/>
      <c r="E39" s="533"/>
      <c r="F39" s="533"/>
      <c r="G39" s="577"/>
      <c r="H39" s="533"/>
      <c r="I39" s="533"/>
      <c r="J39" s="577"/>
      <c r="K39" s="533"/>
      <c r="L39" s="533"/>
      <c r="M39" s="578"/>
      <c r="N39" s="658"/>
      <c r="P39" s="443"/>
      <c r="Q39" s="444"/>
      <c r="R39" s="444"/>
      <c r="S39" s="444"/>
      <c r="T39" s="444"/>
      <c r="U39" s="444"/>
      <c r="V39" s="444"/>
      <c r="W39" s="444"/>
      <c r="X39" s="444"/>
      <c r="Y39" s="444"/>
      <c r="Z39" s="444"/>
      <c r="AA39" s="444"/>
      <c r="AB39" s="444"/>
      <c r="AC39" s="445"/>
    </row>
    <row r="40" spans="2:29" s="702" customFormat="1" ht="19.350000000000001" customHeight="1">
      <c r="B40" s="695"/>
      <c r="C40" s="696" t="s">
        <v>665</v>
      </c>
      <c r="D40" s="697"/>
      <c r="E40" s="698">
        <f>+E41+E42</f>
        <v>1014158.02</v>
      </c>
      <c r="F40" s="698">
        <f>+F41+F42</f>
        <v>70991.061400000006</v>
      </c>
      <c r="G40" s="699"/>
      <c r="H40" s="698">
        <f>+H41+H42</f>
        <v>806929.24</v>
      </c>
      <c r="I40" s="698">
        <f>+I41+I42</f>
        <v>56485.05</v>
      </c>
      <c r="J40" s="699"/>
      <c r="K40" s="698">
        <f>+K41+K42</f>
        <v>801288.16</v>
      </c>
      <c r="L40" s="698">
        <f>+L41+L42</f>
        <v>56090.17</v>
      </c>
      <c r="M40" s="700"/>
      <c r="N40" s="701"/>
      <c r="P40" s="643"/>
      <c r="Q40" s="644"/>
      <c r="R40" s="644"/>
      <c r="S40" s="644"/>
      <c r="T40" s="644"/>
      <c r="U40" s="644"/>
      <c r="V40" s="644"/>
      <c r="W40" s="644"/>
      <c r="X40" s="644"/>
      <c r="Y40" s="644"/>
      <c r="Z40" s="644"/>
      <c r="AA40" s="644"/>
      <c r="AB40" s="644"/>
      <c r="AC40" s="645"/>
    </row>
    <row r="41" spans="2:29" s="688" customFormat="1" ht="19.350000000000001" customHeight="1">
      <c r="B41" s="682"/>
      <c r="C41" s="912"/>
      <c r="D41" s="913" t="s">
        <v>666</v>
      </c>
      <c r="E41" s="501"/>
      <c r="F41" s="501"/>
      <c r="G41" s="914"/>
      <c r="H41" s="501"/>
      <c r="I41" s="501"/>
      <c r="J41" s="914"/>
      <c r="K41" s="501"/>
      <c r="L41" s="501"/>
      <c r="M41" s="915"/>
      <c r="N41" s="723"/>
      <c r="P41" s="928"/>
      <c r="Q41" s="929"/>
      <c r="R41" s="929"/>
      <c r="S41" s="929"/>
      <c r="T41" s="929"/>
      <c r="U41" s="929"/>
      <c r="V41" s="929"/>
      <c r="W41" s="929"/>
      <c r="X41" s="929"/>
      <c r="Y41" s="929"/>
      <c r="Z41" s="929"/>
      <c r="AA41" s="929"/>
      <c r="AB41" s="929"/>
      <c r="AC41" s="930"/>
    </row>
    <row r="42" spans="2:29" s="688" customFormat="1" ht="19.350000000000001" customHeight="1">
      <c r="B42" s="682"/>
      <c r="C42" s="931"/>
      <c r="D42" s="932" t="s">
        <v>667</v>
      </c>
      <c r="E42" s="933">
        <v>1014158.02</v>
      </c>
      <c r="F42" s="933">
        <f>(E42*0.07)</f>
        <v>70991.061400000006</v>
      </c>
      <c r="G42" s="934"/>
      <c r="H42" s="933">
        <v>806929.24</v>
      </c>
      <c r="I42" s="933">
        <v>56485.05</v>
      </c>
      <c r="J42" s="934"/>
      <c r="K42" s="933">
        <f>686288.16+30000+15000+70000</f>
        <v>801288.16</v>
      </c>
      <c r="L42" s="933">
        <v>56090.17</v>
      </c>
      <c r="M42" s="935" t="s">
        <v>922</v>
      </c>
      <c r="N42" s="723"/>
      <c r="P42" s="928"/>
      <c r="Q42" s="929"/>
      <c r="R42" s="929"/>
      <c r="S42" s="929"/>
      <c r="T42" s="929"/>
      <c r="U42" s="929"/>
      <c r="V42" s="929"/>
      <c r="W42" s="929"/>
      <c r="X42" s="929"/>
      <c r="Y42" s="929"/>
      <c r="Z42" s="929"/>
      <c r="AA42" s="929"/>
      <c r="AB42" s="929"/>
      <c r="AC42" s="930"/>
    </row>
    <row r="43" spans="2:29" s="688" customFormat="1" ht="23.1" customHeight="1" thickBot="1">
      <c r="B43" s="682"/>
      <c r="C43" s="703" t="s">
        <v>668</v>
      </c>
      <c r="D43" s="704"/>
      <c r="E43" s="705">
        <f>E16+E19+E30</f>
        <v>1131177.94</v>
      </c>
      <c r="F43" s="705">
        <f>F16+F19+F30</f>
        <v>79182.455800000011</v>
      </c>
      <c r="G43" s="706"/>
      <c r="H43" s="705">
        <f>H16+H19+H30</f>
        <v>1344929.24</v>
      </c>
      <c r="I43" s="705">
        <f>I16+I19+I30</f>
        <v>94145.05</v>
      </c>
      <c r="J43" s="706"/>
      <c r="K43" s="705">
        <f>K16+K19+K30</f>
        <v>1339288.1600000001</v>
      </c>
      <c r="L43" s="705">
        <f>L16+L19+L30</f>
        <v>93750.17</v>
      </c>
      <c r="M43" s="707"/>
      <c r="N43" s="658"/>
      <c r="P43" s="443"/>
      <c r="Q43" s="444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5"/>
    </row>
    <row r="44" spans="2:29" s="691" customFormat="1" ht="23.1" customHeight="1">
      <c r="B44" s="660"/>
      <c r="C44" s="708"/>
      <c r="D44" s="708"/>
      <c r="E44" s="709"/>
      <c r="F44" s="709"/>
      <c r="G44" s="709"/>
      <c r="H44" s="709"/>
      <c r="I44" s="709"/>
      <c r="J44" s="709"/>
      <c r="K44" s="709"/>
      <c r="L44" s="709"/>
      <c r="M44" s="709"/>
      <c r="N44" s="658"/>
      <c r="P44" s="443"/>
      <c r="Q44" s="444"/>
      <c r="R44" s="444"/>
      <c r="S44" s="444"/>
      <c r="T44" s="444"/>
      <c r="U44" s="444"/>
      <c r="V44" s="444"/>
      <c r="W44" s="444"/>
      <c r="X44" s="444"/>
      <c r="Y44" s="444"/>
      <c r="Z44" s="444"/>
      <c r="AA44" s="444"/>
      <c r="AB44" s="444"/>
      <c r="AC44" s="445"/>
    </row>
    <row r="45" spans="2:29" s="676" customFormat="1" ht="23.1" customHeight="1">
      <c r="B45" s="669"/>
      <c r="C45" s="670"/>
      <c r="D45" s="671"/>
      <c r="E45" s="710" t="s">
        <v>183</v>
      </c>
      <c r="F45" s="710" t="s">
        <v>184</v>
      </c>
      <c r="G45" s="710" t="s">
        <v>185</v>
      </c>
      <c r="H45" s="1136" t="s">
        <v>585</v>
      </c>
      <c r="I45" s="1137"/>
      <c r="J45" s="1137"/>
      <c r="K45" s="1137"/>
      <c r="L45" s="1137"/>
      <c r="M45" s="1138"/>
      <c r="N45" s="658"/>
      <c r="P45" s="443"/>
      <c r="Q45" s="444"/>
      <c r="R45" s="444"/>
      <c r="S45" s="444"/>
      <c r="T45" s="444"/>
      <c r="U45" s="444"/>
      <c r="V45" s="444"/>
      <c r="W45" s="444"/>
      <c r="X45" s="444"/>
      <c r="Y45" s="444"/>
      <c r="Z45" s="444"/>
      <c r="AA45" s="444"/>
      <c r="AB45" s="444"/>
      <c r="AC45" s="445"/>
    </row>
    <row r="46" spans="2:29" s="681" customFormat="1" ht="23.1" customHeight="1">
      <c r="B46" s="677"/>
      <c r="C46" s="678" t="s">
        <v>669</v>
      </c>
      <c r="D46" s="679"/>
      <c r="E46" s="711">
        <f>ejercicio-2</f>
        <v>2016</v>
      </c>
      <c r="F46" s="711">
        <f>ejercicio-1</f>
        <v>2017</v>
      </c>
      <c r="G46" s="711">
        <f>ejercicio</f>
        <v>2018</v>
      </c>
      <c r="H46" s="1139"/>
      <c r="I46" s="1140"/>
      <c r="J46" s="1140"/>
      <c r="K46" s="1140"/>
      <c r="L46" s="1140"/>
      <c r="M46" s="1141"/>
      <c r="N46" s="658"/>
      <c r="P46" s="443"/>
      <c r="Q46" s="444"/>
      <c r="R46" s="444"/>
      <c r="S46" s="444"/>
      <c r="T46" s="444"/>
      <c r="U46" s="444"/>
      <c r="V46" s="444"/>
      <c r="W46" s="444"/>
      <c r="X46" s="444"/>
      <c r="Y46" s="444"/>
      <c r="Z46" s="444"/>
      <c r="AA46" s="444"/>
      <c r="AB46" s="444"/>
      <c r="AC46" s="445"/>
    </row>
    <row r="47" spans="2:29" s="691" customFormat="1" ht="23.1" customHeight="1" thickBot="1">
      <c r="B47" s="660"/>
      <c r="C47" s="703" t="s">
        <v>884</v>
      </c>
      <c r="D47" s="704"/>
      <c r="E47" s="705">
        <f>SUM(E48:E54)</f>
        <v>49099.44</v>
      </c>
      <c r="F47" s="705">
        <f>SUM(F48:F54)</f>
        <v>0</v>
      </c>
      <c r="G47" s="705">
        <f>SUM(G48:G54)</f>
        <v>0</v>
      </c>
      <c r="H47" s="712"/>
      <c r="I47" s="713"/>
      <c r="J47" s="713"/>
      <c r="K47" s="713"/>
      <c r="L47" s="713"/>
      <c r="M47" s="714"/>
      <c r="N47" s="658"/>
      <c r="P47" s="443"/>
      <c r="Q47" s="444"/>
      <c r="R47" s="444"/>
      <c r="S47" s="444"/>
      <c r="T47" s="444"/>
      <c r="U47" s="444"/>
      <c r="V47" s="444"/>
      <c r="W47" s="444"/>
      <c r="X47" s="444"/>
      <c r="Y47" s="444"/>
      <c r="Z47" s="444"/>
      <c r="AA47" s="444"/>
      <c r="AB47" s="444"/>
      <c r="AC47" s="445"/>
    </row>
    <row r="48" spans="2:29" s="691" customFormat="1" ht="20.100000000000001" customHeight="1">
      <c r="B48" s="660"/>
      <c r="C48" s="734"/>
      <c r="D48" s="735"/>
      <c r="E48" s="736">
        <v>49099.44</v>
      </c>
      <c r="F48" s="736">
        <v>0</v>
      </c>
      <c r="G48" s="736">
        <v>0</v>
      </c>
      <c r="H48" s="737"/>
      <c r="I48" s="738"/>
      <c r="J48" s="738"/>
      <c r="K48" s="738"/>
      <c r="L48" s="738"/>
      <c r="M48" s="739"/>
      <c r="N48" s="658"/>
      <c r="P48" s="443"/>
      <c r="Q48" s="444"/>
      <c r="R48" s="444"/>
      <c r="S48" s="444"/>
      <c r="T48" s="444"/>
      <c r="U48" s="444"/>
      <c r="V48" s="444"/>
      <c r="W48" s="444"/>
      <c r="X48" s="444"/>
      <c r="Y48" s="444"/>
      <c r="Z48" s="444"/>
      <c r="AA48" s="444"/>
      <c r="AB48" s="444"/>
      <c r="AC48" s="445"/>
    </row>
    <row r="49" spans="2:29" s="691" customFormat="1" ht="20.100000000000001" customHeight="1">
      <c r="B49" s="660"/>
      <c r="C49" s="592"/>
      <c r="D49" s="593"/>
      <c r="E49" s="613"/>
      <c r="F49" s="613"/>
      <c r="G49" s="613"/>
      <c r="H49" s="566"/>
      <c r="I49" s="740"/>
      <c r="J49" s="740"/>
      <c r="K49" s="740"/>
      <c r="L49" s="740"/>
      <c r="M49" s="563"/>
      <c r="N49" s="658"/>
      <c r="P49" s="443"/>
      <c r="Q49" s="444"/>
      <c r="R49" s="444"/>
      <c r="S49" s="444"/>
      <c r="T49" s="444"/>
      <c r="U49" s="444"/>
      <c r="V49" s="444"/>
      <c r="W49" s="444"/>
      <c r="X49" s="444"/>
      <c r="Y49" s="444"/>
      <c r="Z49" s="444"/>
      <c r="AA49" s="444"/>
      <c r="AB49" s="444"/>
      <c r="AC49" s="445"/>
    </row>
    <row r="50" spans="2:29" s="691" customFormat="1" ht="20.100000000000001" customHeight="1">
      <c r="B50" s="660"/>
      <c r="C50" s="592"/>
      <c r="D50" s="593"/>
      <c r="E50" s="613"/>
      <c r="F50" s="613"/>
      <c r="G50" s="613"/>
      <c r="H50" s="566"/>
      <c r="I50" s="740"/>
      <c r="J50" s="740"/>
      <c r="K50" s="740"/>
      <c r="L50" s="740"/>
      <c r="M50" s="563"/>
      <c r="N50" s="658"/>
      <c r="P50" s="443"/>
      <c r="Q50" s="444"/>
      <c r="R50" s="444"/>
      <c r="S50" s="444"/>
      <c r="T50" s="444"/>
      <c r="U50" s="444"/>
      <c r="V50" s="444"/>
      <c r="W50" s="444"/>
      <c r="X50" s="444"/>
      <c r="Y50" s="444"/>
      <c r="Z50" s="444"/>
      <c r="AA50" s="444"/>
      <c r="AB50" s="444"/>
      <c r="AC50" s="445"/>
    </row>
    <row r="51" spans="2:29" s="691" customFormat="1" ht="20.100000000000001" customHeight="1">
      <c r="B51" s="660"/>
      <c r="C51" s="592"/>
      <c r="D51" s="593"/>
      <c r="E51" s="613"/>
      <c r="F51" s="613"/>
      <c r="G51" s="613"/>
      <c r="H51" s="566"/>
      <c r="I51" s="740"/>
      <c r="J51" s="740"/>
      <c r="K51" s="740"/>
      <c r="L51" s="740"/>
      <c r="M51" s="563"/>
      <c r="N51" s="658"/>
      <c r="P51" s="443"/>
      <c r="Q51" s="444"/>
      <c r="R51" s="444"/>
      <c r="S51" s="444"/>
      <c r="T51" s="444"/>
      <c r="U51" s="444"/>
      <c r="V51" s="444"/>
      <c r="W51" s="444"/>
      <c r="X51" s="444"/>
      <c r="Y51" s="444"/>
      <c r="Z51" s="444"/>
      <c r="AA51" s="444"/>
      <c r="AB51" s="444"/>
      <c r="AC51" s="445"/>
    </row>
    <row r="52" spans="2:29" s="691" customFormat="1" ht="20.100000000000001" customHeight="1">
      <c r="B52" s="660"/>
      <c r="C52" s="592"/>
      <c r="D52" s="593"/>
      <c r="E52" s="613"/>
      <c r="F52" s="613"/>
      <c r="G52" s="613"/>
      <c r="H52" s="566"/>
      <c r="I52" s="740"/>
      <c r="J52" s="740"/>
      <c r="K52" s="740"/>
      <c r="L52" s="740"/>
      <c r="M52" s="563"/>
      <c r="N52" s="658"/>
      <c r="P52" s="443"/>
      <c r="Q52" s="444"/>
      <c r="R52" s="444"/>
      <c r="S52" s="444"/>
      <c r="T52" s="444"/>
      <c r="U52" s="444"/>
      <c r="V52" s="444"/>
      <c r="W52" s="444"/>
      <c r="X52" s="444"/>
      <c r="Y52" s="444"/>
      <c r="Z52" s="444"/>
      <c r="AA52" s="444"/>
      <c r="AB52" s="444"/>
      <c r="AC52" s="445"/>
    </row>
    <row r="53" spans="2:29" s="691" customFormat="1" ht="20.100000000000001" customHeight="1">
      <c r="B53" s="660"/>
      <c r="C53" s="592"/>
      <c r="D53" s="593"/>
      <c r="E53" s="613"/>
      <c r="F53" s="613"/>
      <c r="G53" s="613"/>
      <c r="H53" s="566"/>
      <c r="I53" s="740"/>
      <c r="J53" s="740"/>
      <c r="K53" s="740"/>
      <c r="L53" s="740"/>
      <c r="M53" s="563"/>
      <c r="N53" s="658"/>
      <c r="P53" s="443"/>
      <c r="Q53" s="444"/>
      <c r="R53" s="444"/>
      <c r="S53" s="444"/>
      <c r="T53" s="444"/>
      <c r="U53" s="444"/>
      <c r="V53" s="444"/>
      <c r="W53" s="444"/>
      <c r="X53" s="444"/>
      <c r="Y53" s="444"/>
      <c r="Z53" s="444"/>
      <c r="AA53" s="444"/>
      <c r="AB53" s="444"/>
      <c r="AC53" s="445"/>
    </row>
    <row r="54" spans="2:29" s="691" customFormat="1" ht="20.100000000000001" customHeight="1">
      <c r="B54" s="660"/>
      <c r="C54" s="594"/>
      <c r="D54" s="595"/>
      <c r="E54" s="614"/>
      <c r="F54" s="614"/>
      <c r="G54" s="614"/>
      <c r="H54" s="564"/>
      <c r="I54" s="557"/>
      <c r="J54" s="557"/>
      <c r="K54" s="557"/>
      <c r="L54" s="557"/>
      <c r="M54" s="565"/>
      <c r="N54" s="658"/>
      <c r="P54" s="443"/>
      <c r="Q54" s="444"/>
      <c r="R54" s="444"/>
      <c r="S54" s="444"/>
      <c r="T54" s="444"/>
      <c r="U54" s="444"/>
      <c r="V54" s="444"/>
      <c r="W54" s="444"/>
      <c r="X54" s="444"/>
      <c r="Y54" s="444"/>
      <c r="Z54" s="444"/>
      <c r="AA54" s="444"/>
      <c r="AB54" s="444"/>
      <c r="AC54" s="445"/>
    </row>
    <row r="55" spans="2:29" s="691" customFormat="1" ht="23.1" customHeight="1" thickBot="1">
      <c r="B55" s="660"/>
      <c r="C55" s="703" t="s">
        <v>885</v>
      </c>
      <c r="D55" s="704"/>
      <c r="E55" s="705">
        <f>SUM(E56:E62)</f>
        <v>-13402.1</v>
      </c>
      <c r="F55" s="705">
        <f>SUM(F56:F62)</f>
        <v>0</v>
      </c>
      <c r="G55" s="705">
        <f>SUM(G56:G62)</f>
        <v>0</v>
      </c>
      <c r="H55" s="712"/>
      <c r="I55" s="713"/>
      <c r="J55" s="713"/>
      <c r="K55" s="713"/>
      <c r="L55" s="713"/>
      <c r="M55" s="714"/>
      <c r="N55" s="658"/>
      <c r="P55" s="443"/>
      <c r="Q55" s="444"/>
      <c r="R55" s="444"/>
      <c r="S55" s="444"/>
      <c r="T55" s="444"/>
      <c r="U55" s="444"/>
      <c r="V55" s="444"/>
      <c r="W55" s="444"/>
      <c r="X55" s="444"/>
      <c r="Y55" s="444"/>
      <c r="Z55" s="444"/>
      <c r="AA55" s="444"/>
      <c r="AB55" s="444"/>
      <c r="AC55" s="445"/>
    </row>
    <row r="56" spans="2:29" s="691" customFormat="1" ht="20.100000000000001" customHeight="1">
      <c r="B56" s="660"/>
      <c r="C56" s="734"/>
      <c r="D56" s="735"/>
      <c r="E56" s="736">
        <v>-13402.1</v>
      </c>
      <c r="F56" s="736">
        <v>0</v>
      </c>
      <c r="G56" s="736">
        <v>0</v>
      </c>
      <c r="H56" s="737"/>
      <c r="I56" s="738"/>
      <c r="J56" s="738"/>
      <c r="K56" s="738"/>
      <c r="L56" s="738"/>
      <c r="M56" s="739"/>
      <c r="N56" s="658"/>
      <c r="P56" s="443"/>
      <c r="Q56" s="444"/>
      <c r="R56" s="444"/>
      <c r="S56" s="444"/>
      <c r="T56" s="444"/>
      <c r="U56" s="444"/>
      <c r="V56" s="444"/>
      <c r="W56" s="444"/>
      <c r="X56" s="444"/>
      <c r="Y56" s="444"/>
      <c r="Z56" s="444"/>
      <c r="AA56" s="444"/>
      <c r="AB56" s="444"/>
      <c r="AC56" s="445"/>
    </row>
    <row r="57" spans="2:29" s="691" customFormat="1" ht="20.100000000000001" customHeight="1">
      <c r="B57" s="660"/>
      <c r="C57" s="592"/>
      <c r="D57" s="593"/>
      <c r="E57" s="613"/>
      <c r="F57" s="613"/>
      <c r="G57" s="613"/>
      <c r="H57" s="566"/>
      <c r="I57" s="740"/>
      <c r="J57" s="740"/>
      <c r="K57" s="740"/>
      <c r="L57" s="740"/>
      <c r="M57" s="563"/>
      <c r="N57" s="658"/>
      <c r="P57" s="443"/>
      <c r="Q57" s="444"/>
      <c r="R57" s="444"/>
      <c r="S57" s="444"/>
      <c r="T57" s="444"/>
      <c r="U57" s="444"/>
      <c r="V57" s="444"/>
      <c r="W57" s="444"/>
      <c r="X57" s="444"/>
      <c r="Y57" s="444"/>
      <c r="Z57" s="444"/>
      <c r="AA57" s="444"/>
      <c r="AB57" s="444"/>
      <c r="AC57" s="445"/>
    </row>
    <row r="58" spans="2:29" s="691" customFormat="1" ht="20.100000000000001" customHeight="1">
      <c r="B58" s="660"/>
      <c r="C58" s="592"/>
      <c r="D58" s="593"/>
      <c r="E58" s="613"/>
      <c r="F58" s="613"/>
      <c r="G58" s="613"/>
      <c r="H58" s="566"/>
      <c r="I58" s="740"/>
      <c r="J58" s="740"/>
      <c r="K58" s="740"/>
      <c r="L58" s="740"/>
      <c r="M58" s="563"/>
      <c r="N58" s="658"/>
      <c r="P58" s="443"/>
      <c r="Q58" s="444"/>
      <c r="R58" s="444"/>
      <c r="S58" s="444"/>
      <c r="T58" s="444"/>
      <c r="U58" s="444"/>
      <c r="V58" s="444"/>
      <c r="W58" s="444"/>
      <c r="X58" s="444"/>
      <c r="Y58" s="444"/>
      <c r="Z58" s="444"/>
      <c r="AA58" s="444"/>
      <c r="AB58" s="444"/>
      <c r="AC58" s="445"/>
    </row>
    <row r="59" spans="2:29" s="691" customFormat="1" ht="20.100000000000001" customHeight="1">
      <c r="B59" s="660"/>
      <c r="C59" s="592"/>
      <c r="D59" s="593"/>
      <c r="E59" s="613"/>
      <c r="F59" s="613"/>
      <c r="G59" s="613"/>
      <c r="H59" s="566"/>
      <c r="I59" s="740"/>
      <c r="J59" s="740"/>
      <c r="K59" s="740"/>
      <c r="L59" s="740"/>
      <c r="M59" s="563"/>
      <c r="N59" s="658"/>
      <c r="P59" s="443"/>
      <c r="Q59" s="444"/>
      <c r="R59" s="444"/>
      <c r="S59" s="444"/>
      <c r="T59" s="444"/>
      <c r="U59" s="444"/>
      <c r="V59" s="444"/>
      <c r="W59" s="444"/>
      <c r="X59" s="444"/>
      <c r="Y59" s="444"/>
      <c r="Z59" s="444"/>
      <c r="AA59" s="444"/>
      <c r="AB59" s="444"/>
      <c r="AC59" s="445"/>
    </row>
    <row r="60" spans="2:29" s="691" customFormat="1" ht="20.100000000000001" customHeight="1">
      <c r="B60" s="660"/>
      <c r="C60" s="592"/>
      <c r="D60" s="593"/>
      <c r="E60" s="613"/>
      <c r="F60" s="613"/>
      <c r="G60" s="613"/>
      <c r="H60" s="566"/>
      <c r="I60" s="740"/>
      <c r="J60" s="740"/>
      <c r="K60" s="740"/>
      <c r="L60" s="740"/>
      <c r="M60" s="563"/>
      <c r="N60" s="658"/>
      <c r="P60" s="443"/>
      <c r="Q60" s="444"/>
      <c r="R60" s="444"/>
      <c r="S60" s="444"/>
      <c r="T60" s="444"/>
      <c r="U60" s="444"/>
      <c r="V60" s="444"/>
      <c r="W60" s="444"/>
      <c r="X60" s="444"/>
      <c r="Y60" s="444"/>
      <c r="Z60" s="444"/>
      <c r="AA60" s="444"/>
      <c r="AB60" s="444"/>
      <c r="AC60" s="445"/>
    </row>
    <row r="61" spans="2:29" s="691" customFormat="1" ht="20.100000000000001" customHeight="1">
      <c r="B61" s="660"/>
      <c r="C61" s="592"/>
      <c r="D61" s="593"/>
      <c r="E61" s="613"/>
      <c r="F61" s="613"/>
      <c r="G61" s="613"/>
      <c r="H61" s="566"/>
      <c r="I61" s="740"/>
      <c r="J61" s="740"/>
      <c r="K61" s="740"/>
      <c r="L61" s="740"/>
      <c r="M61" s="563"/>
      <c r="N61" s="658"/>
      <c r="P61" s="443"/>
      <c r="Q61" s="444"/>
      <c r="R61" s="444"/>
      <c r="S61" s="444"/>
      <c r="T61" s="444"/>
      <c r="U61" s="444"/>
      <c r="V61" s="444"/>
      <c r="W61" s="444"/>
      <c r="X61" s="444"/>
      <c r="Y61" s="444"/>
      <c r="Z61" s="444"/>
      <c r="AA61" s="444"/>
      <c r="AB61" s="444"/>
      <c r="AC61" s="445"/>
    </row>
    <row r="62" spans="2:29" s="691" customFormat="1" ht="20.100000000000001" customHeight="1">
      <c r="B62" s="660"/>
      <c r="C62" s="594"/>
      <c r="D62" s="595"/>
      <c r="E62" s="614"/>
      <c r="F62" s="614"/>
      <c r="G62" s="614"/>
      <c r="H62" s="564"/>
      <c r="I62" s="557"/>
      <c r="J62" s="557"/>
      <c r="K62" s="557"/>
      <c r="L62" s="557"/>
      <c r="M62" s="565"/>
      <c r="N62" s="658"/>
      <c r="P62" s="443"/>
      <c r="Q62" s="444"/>
      <c r="R62" s="444"/>
      <c r="S62" s="444"/>
      <c r="T62" s="444"/>
      <c r="U62" s="444"/>
      <c r="V62" s="444"/>
      <c r="W62" s="444"/>
      <c r="X62" s="444"/>
      <c r="Y62" s="444"/>
      <c r="Z62" s="444"/>
      <c r="AA62" s="444"/>
      <c r="AB62" s="444"/>
      <c r="AC62" s="445"/>
    </row>
    <row r="63" spans="2:29" s="691" customFormat="1" ht="23.1" customHeight="1">
      <c r="B63" s="660"/>
      <c r="C63" s="708"/>
      <c r="D63" s="708"/>
      <c r="E63" s="709"/>
      <c r="F63" s="709"/>
      <c r="G63" s="709"/>
      <c r="H63" s="709"/>
      <c r="I63" s="709"/>
      <c r="J63" s="709"/>
      <c r="K63" s="709"/>
      <c r="L63" s="709"/>
      <c r="M63" s="709"/>
      <c r="N63" s="658"/>
      <c r="P63" s="443"/>
      <c r="Q63" s="444"/>
      <c r="R63" s="444"/>
      <c r="S63" s="444"/>
      <c r="T63" s="444"/>
      <c r="U63" s="444"/>
      <c r="V63" s="444"/>
      <c r="W63" s="444"/>
      <c r="X63" s="444"/>
      <c r="Y63" s="444"/>
      <c r="Z63" s="444"/>
      <c r="AA63" s="444"/>
      <c r="AB63" s="444"/>
      <c r="AC63" s="445"/>
    </row>
    <row r="64" spans="2:29" s="691" customFormat="1" ht="23.1" customHeight="1">
      <c r="B64" s="660"/>
      <c r="C64" s="670"/>
      <c r="D64" s="671"/>
      <c r="E64" s="710" t="s">
        <v>183</v>
      </c>
      <c r="F64" s="710" t="s">
        <v>184</v>
      </c>
      <c r="G64" s="710" t="s">
        <v>185</v>
      </c>
      <c r="H64" s="1136" t="s">
        <v>585</v>
      </c>
      <c r="I64" s="1137"/>
      <c r="J64" s="1137"/>
      <c r="K64" s="1137"/>
      <c r="L64" s="1137"/>
      <c r="M64" s="1138"/>
      <c r="N64" s="658"/>
      <c r="P64" s="443"/>
      <c r="Q64" s="444"/>
      <c r="R64" s="444"/>
      <c r="S64" s="444"/>
      <c r="T64" s="444"/>
      <c r="U64" s="444"/>
      <c r="V64" s="444"/>
      <c r="W64" s="444"/>
      <c r="X64" s="444"/>
      <c r="Y64" s="444"/>
      <c r="Z64" s="444"/>
      <c r="AA64" s="444"/>
      <c r="AB64" s="444"/>
      <c r="AC64" s="445"/>
    </row>
    <row r="65" spans="2:29" s="691" customFormat="1" ht="23.1" customHeight="1">
      <c r="B65" s="660"/>
      <c r="C65" s="678" t="s">
        <v>670</v>
      </c>
      <c r="D65" s="679"/>
      <c r="E65" s="711">
        <f>ejercicio-2</f>
        <v>2016</v>
      </c>
      <c r="F65" s="711">
        <f>ejercicio-1</f>
        <v>2017</v>
      </c>
      <c r="G65" s="711">
        <f>ejercicio</f>
        <v>2018</v>
      </c>
      <c r="H65" s="1139"/>
      <c r="I65" s="1140"/>
      <c r="J65" s="1140"/>
      <c r="K65" s="1140"/>
      <c r="L65" s="1140"/>
      <c r="M65" s="1141"/>
      <c r="N65" s="658"/>
      <c r="P65" s="443"/>
      <c r="Q65" s="444"/>
      <c r="R65" s="444"/>
      <c r="S65" s="444"/>
      <c r="T65" s="444"/>
      <c r="U65" s="444"/>
      <c r="V65" s="444"/>
      <c r="W65" s="444"/>
      <c r="X65" s="444"/>
      <c r="Y65" s="444"/>
      <c r="Z65" s="444"/>
      <c r="AA65" s="444"/>
      <c r="AB65" s="444"/>
      <c r="AC65" s="445"/>
    </row>
    <row r="66" spans="2:29" s="691" customFormat="1" ht="23.1" customHeight="1">
      <c r="B66" s="660"/>
      <c r="C66" s="689" t="s">
        <v>671</v>
      </c>
      <c r="D66" s="690"/>
      <c r="E66" s="533">
        <v>0</v>
      </c>
      <c r="F66" s="533">
        <v>0</v>
      </c>
      <c r="G66" s="936">
        <v>0</v>
      </c>
      <c r="H66" s="741"/>
      <c r="I66" s="742"/>
      <c r="J66" s="742"/>
      <c r="K66" s="742"/>
      <c r="L66" s="742"/>
      <c r="M66" s="534"/>
      <c r="N66" s="658"/>
      <c r="P66" s="443"/>
      <c r="Q66" s="444"/>
      <c r="R66" s="444"/>
      <c r="S66" s="444"/>
      <c r="T66" s="444"/>
      <c r="U66" s="444"/>
      <c r="V66" s="444"/>
      <c r="W66" s="444"/>
      <c r="X66" s="444"/>
      <c r="Y66" s="444"/>
      <c r="Z66" s="444"/>
      <c r="AA66" s="444"/>
      <c r="AB66" s="444"/>
      <c r="AC66" s="445"/>
    </row>
    <row r="67" spans="2:29" s="691" customFormat="1" ht="23.1" customHeight="1">
      <c r="B67" s="660"/>
      <c r="C67" s="692" t="s">
        <v>672</v>
      </c>
      <c r="D67" s="693"/>
      <c r="E67" s="538">
        <v>0</v>
      </c>
      <c r="F67" s="538">
        <v>0</v>
      </c>
      <c r="G67" s="614">
        <v>0</v>
      </c>
      <c r="H67" s="564"/>
      <c r="I67" s="557"/>
      <c r="J67" s="557"/>
      <c r="K67" s="557"/>
      <c r="L67" s="557"/>
      <c r="M67" s="565"/>
      <c r="N67" s="658"/>
      <c r="P67" s="443"/>
      <c r="Q67" s="444"/>
      <c r="R67" s="444"/>
      <c r="S67" s="444"/>
      <c r="T67" s="444"/>
      <c r="U67" s="444"/>
      <c r="V67" s="444"/>
      <c r="W67" s="444"/>
      <c r="X67" s="444"/>
      <c r="Y67" s="444"/>
      <c r="Z67" s="444"/>
      <c r="AA67" s="444"/>
      <c r="AB67" s="444"/>
      <c r="AC67" s="445"/>
    </row>
    <row r="68" spans="2:29" s="691" customFormat="1" ht="23.1" customHeight="1">
      <c r="B68" s="660"/>
      <c r="C68" s="708"/>
      <c r="D68" s="708"/>
      <c r="E68" s="709"/>
      <c r="F68" s="709"/>
      <c r="G68" s="709"/>
      <c r="H68" s="709"/>
      <c r="I68" s="709"/>
      <c r="J68" s="709"/>
      <c r="K68" s="709"/>
      <c r="L68" s="709"/>
      <c r="M68" s="709"/>
      <c r="N68" s="658"/>
      <c r="P68" s="443"/>
      <c r="Q68" s="444"/>
      <c r="R68" s="444"/>
      <c r="S68" s="444"/>
      <c r="T68" s="444"/>
      <c r="U68" s="444"/>
      <c r="V68" s="444"/>
      <c r="W68" s="444"/>
      <c r="X68" s="444"/>
      <c r="Y68" s="444"/>
      <c r="Z68" s="444"/>
      <c r="AA68" s="444"/>
      <c r="AB68" s="444"/>
      <c r="AC68" s="445"/>
    </row>
    <row r="69" spans="2:29" s="691" customFormat="1" ht="23.1" customHeight="1">
      <c r="B69" s="660"/>
      <c r="C69" s="670"/>
      <c r="D69" s="671"/>
      <c r="E69" s="710" t="s">
        <v>183</v>
      </c>
      <c r="F69" s="710" t="s">
        <v>184</v>
      </c>
      <c r="G69" s="710" t="s">
        <v>185</v>
      </c>
      <c r="H69" s="1136" t="s">
        <v>585</v>
      </c>
      <c r="I69" s="1137"/>
      <c r="J69" s="1137"/>
      <c r="K69" s="1137"/>
      <c r="L69" s="1137"/>
      <c r="M69" s="1138"/>
      <c r="N69" s="658"/>
      <c r="P69" s="443"/>
      <c r="Q69" s="444"/>
      <c r="R69" s="444"/>
      <c r="S69" s="444"/>
      <c r="T69" s="444"/>
      <c r="U69" s="444"/>
      <c r="V69" s="444"/>
      <c r="W69" s="444"/>
      <c r="X69" s="444"/>
      <c r="Y69" s="444"/>
      <c r="Z69" s="444"/>
      <c r="AA69" s="444"/>
      <c r="AB69" s="444"/>
      <c r="AC69" s="445"/>
    </row>
    <row r="70" spans="2:29" s="691" customFormat="1" ht="23.1" customHeight="1">
      <c r="B70" s="660"/>
      <c r="C70" s="678" t="s">
        <v>709</v>
      </c>
      <c r="D70" s="679"/>
      <c r="E70" s="711">
        <f>ejercicio-2</f>
        <v>2016</v>
      </c>
      <c r="F70" s="711">
        <f>ejercicio-1</f>
        <v>2017</v>
      </c>
      <c r="G70" s="711">
        <f>ejercicio</f>
        <v>2018</v>
      </c>
      <c r="H70" s="1139"/>
      <c r="I70" s="1140"/>
      <c r="J70" s="1140"/>
      <c r="K70" s="1140"/>
      <c r="L70" s="1140"/>
      <c r="M70" s="1141"/>
      <c r="N70" s="658"/>
      <c r="P70" s="443"/>
      <c r="Q70" s="444"/>
      <c r="R70" s="444"/>
      <c r="S70" s="444"/>
      <c r="T70" s="444"/>
      <c r="U70" s="444"/>
      <c r="V70" s="444"/>
      <c r="W70" s="444"/>
      <c r="X70" s="444"/>
      <c r="Y70" s="444"/>
      <c r="Z70" s="444"/>
      <c r="AA70" s="444"/>
      <c r="AB70" s="444"/>
      <c r="AC70" s="445"/>
    </row>
    <row r="71" spans="2:29" s="691" customFormat="1" ht="23.1" customHeight="1">
      <c r="B71" s="660"/>
      <c r="C71" s="683" t="s">
        <v>710</v>
      </c>
      <c r="D71" s="684"/>
      <c r="E71" s="685">
        <f>SUM(E72:E74)</f>
        <v>0</v>
      </c>
      <c r="F71" s="685">
        <f>SUM(F72:F74)</f>
        <v>0</v>
      </c>
      <c r="G71" s="685">
        <f>SUM(G72:G74)</f>
        <v>0</v>
      </c>
      <c r="H71" s="715"/>
      <c r="I71" s="716"/>
      <c r="J71" s="716"/>
      <c r="K71" s="716"/>
      <c r="L71" s="716"/>
      <c r="M71" s="717"/>
      <c r="N71" s="658"/>
      <c r="P71" s="443"/>
      <c r="Q71" s="444"/>
      <c r="R71" s="444"/>
      <c r="S71" s="444"/>
      <c r="T71" s="444"/>
      <c r="U71" s="444"/>
      <c r="V71" s="444"/>
      <c r="W71" s="444"/>
      <c r="X71" s="444"/>
      <c r="Y71" s="444"/>
      <c r="Z71" s="444"/>
      <c r="AA71" s="444"/>
      <c r="AB71" s="444"/>
      <c r="AC71" s="445"/>
    </row>
    <row r="72" spans="2:29" s="691" customFormat="1" ht="23.1" customHeight="1">
      <c r="B72" s="660"/>
      <c r="C72" s="718" t="s">
        <v>711</v>
      </c>
      <c r="D72" s="719"/>
      <c r="E72" s="535"/>
      <c r="F72" s="535"/>
      <c r="G72" s="535"/>
      <c r="H72" s="561"/>
      <c r="I72" s="556"/>
      <c r="J72" s="556"/>
      <c r="K72" s="556"/>
      <c r="L72" s="556"/>
      <c r="M72" s="562"/>
      <c r="N72" s="658"/>
      <c r="P72" s="443"/>
      <c r="Q72" s="444"/>
      <c r="R72" s="444"/>
      <c r="S72" s="444"/>
      <c r="T72" s="444"/>
      <c r="U72" s="444"/>
      <c r="V72" s="444"/>
      <c r="W72" s="444"/>
      <c r="X72" s="444"/>
      <c r="Y72" s="444"/>
      <c r="Z72" s="444"/>
      <c r="AA72" s="444"/>
      <c r="AB72" s="444"/>
      <c r="AC72" s="445"/>
    </row>
    <row r="73" spans="2:29" s="691" customFormat="1" ht="23.1" customHeight="1">
      <c r="B73" s="660"/>
      <c r="C73" s="720" t="s">
        <v>712</v>
      </c>
      <c r="D73" s="694"/>
      <c r="E73" s="536"/>
      <c r="F73" s="536"/>
      <c r="G73" s="536"/>
      <c r="H73" s="566"/>
      <c r="I73" s="740"/>
      <c r="J73" s="740"/>
      <c r="K73" s="740"/>
      <c r="L73" s="740"/>
      <c r="M73" s="563"/>
      <c r="N73" s="658"/>
      <c r="P73" s="443"/>
      <c r="Q73" s="444"/>
      <c r="R73" s="444"/>
      <c r="S73" s="444"/>
      <c r="T73" s="444"/>
      <c r="U73" s="444"/>
      <c r="V73" s="444"/>
      <c r="W73" s="444"/>
      <c r="X73" s="444"/>
      <c r="Y73" s="444"/>
      <c r="Z73" s="444"/>
      <c r="AA73" s="444"/>
      <c r="AB73" s="444"/>
      <c r="AC73" s="445"/>
    </row>
    <row r="74" spans="2:29" s="691" customFormat="1" ht="23.1" customHeight="1">
      <c r="B74" s="660"/>
      <c r="C74" s="721" t="s">
        <v>713</v>
      </c>
      <c r="D74" s="722"/>
      <c r="E74" s="537"/>
      <c r="F74" s="537"/>
      <c r="G74" s="537"/>
      <c r="H74" s="743"/>
      <c r="I74" s="744"/>
      <c r="J74" s="744"/>
      <c r="K74" s="744"/>
      <c r="L74" s="744"/>
      <c r="M74" s="520"/>
      <c r="N74" s="658"/>
      <c r="P74" s="443"/>
      <c r="Q74" s="444"/>
      <c r="R74" s="444"/>
      <c r="S74" s="444"/>
      <c r="T74" s="444"/>
      <c r="U74" s="444"/>
      <c r="V74" s="444"/>
      <c r="W74" s="444"/>
      <c r="X74" s="444"/>
      <c r="Y74" s="444"/>
      <c r="Z74" s="444"/>
      <c r="AA74" s="444"/>
      <c r="AB74" s="444"/>
      <c r="AC74" s="445"/>
    </row>
    <row r="75" spans="2:29" s="688" customFormat="1" ht="23.1" customHeight="1">
      <c r="B75" s="682"/>
      <c r="C75" s="683" t="s">
        <v>719</v>
      </c>
      <c r="D75" s="684"/>
      <c r="E75" s="685">
        <f>SUM(E76:E81)</f>
        <v>10455473.239999998</v>
      </c>
      <c r="F75" s="685">
        <f>SUM(F76:F81)</f>
        <v>10886352.779999999</v>
      </c>
      <c r="G75" s="685">
        <f>SUM(G76:G81)</f>
        <v>11851286.25</v>
      </c>
      <c r="H75" s="715"/>
      <c r="I75" s="716"/>
      <c r="J75" s="716"/>
      <c r="K75" s="716"/>
      <c r="L75" s="716"/>
      <c r="M75" s="717"/>
      <c r="N75" s="723"/>
      <c r="P75" s="443"/>
      <c r="Q75" s="444"/>
      <c r="R75" s="444"/>
      <c r="S75" s="444"/>
      <c r="T75" s="444"/>
      <c r="U75" s="444"/>
      <c r="V75" s="444"/>
      <c r="W75" s="444"/>
      <c r="X75" s="444"/>
      <c r="Y75" s="444"/>
      <c r="Z75" s="444"/>
      <c r="AA75" s="444"/>
      <c r="AB75" s="444"/>
      <c r="AC75" s="445"/>
    </row>
    <row r="76" spans="2:29" s="691" customFormat="1" ht="23.1" customHeight="1">
      <c r="B76" s="660"/>
      <c r="C76" s="718" t="s">
        <v>714</v>
      </c>
      <c r="D76" s="719"/>
      <c r="E76" s="612"/>
      <c r="F76" s="612"/>
      <c r="G76" s="612"/>
      <c r="H76" s="561"/>
      <c r="I76" s="556"/>
      <c r="J76" s="556"/>
      <c r="K76" s="556"/>
      <c r="L76" s="556"/>
      <c r="M76" s="562"/>
      <c r="N76" s="658"/>
      <c r="P76" s="443"/>
      <c r="Q76" s="444"/>
      <c r="R76" s="444"/>
      <c r="S76" s="444"/>
      <c r="T76" s="444"/>
      <c r="U76" s="444"/>
      <c r="V76" s="444"/>
      <c r="W76" s="444"/>
      <c r="X76" s="444"/>
      <c r="Y76" s="444"/>
      <c r="Z76" s="444"/>
      <c r="AA76" s="444"/>
      <c r="AB76" s="444"/>
      <c r="AC76" s="445"/>
    </row>
    <row r="77" spans="2:29" s="691" customFormat="1" ht="23.1" customHeight="1">
      <c r="B77" s="660"/>
      <c r="C77" s="720" t="s">
        <v>715</v>
      </c>
      <c r="D77" s="694"/>
      <c r="E77" s="613"/>
      <c r="F77" s="613"/>
      <c r="G77" s="613"/>
      <c r="H77" s="566"/>
      <c r="I77" s="740"/>
      <c r="J77" s="740"/>
      <c r="K77" s="740"/>
      <c r="L77" s="740"/>
      <c r="M77" s="563"/>
      <c r="N77" s="658"/>
      <c r="P77" s="443"/>
      <c r="Q77" s="444"/>
      <c r="R77" s="444"/>
      <c r="S77" s="444"/>
      <c r="T77" s="444"/>
      <c r="U77" s="444"/>
      <c r="V77" s="444"/>
      <c r="W77" s="444"/>
      <c r="X77" s="444"/>
      <c r="Y77" s="444"/>
      <c r="Z77" s="444"/>
      <c r="AA77" s="444"/>
      <c r="AB77" s="444"/>
      <c r="AC77" s="445"/>
    </row>
    <row r="78" spans="2:29" s="691" customFormat="1" ht="23.1" customHeight="1">
      <c r="B78" s="660"/>
      <c r="C78" s="720" t="s">
        <v>716</v>
      </c>
      <c r="D78" s="694"/>
      <c r="E78" s="613">
        <v>396351</v>
      </c>
      <c r="F78" s="613">
        <f>432351</f>
        <v>432351</v>
      </c>
      <c r="G78" s="613">
        <f>482351-18000</f>
        <v>464351</v>
      </c>
      <c r="H78" s="566"/>
      <c r="I78" s="740"/>
      <c r="J78" s="740"/>
      <c r="K78" s="740"/>
      <c r="L78" s="740"/>
      <c r="M78" s="563"/>
      <c r="N78" s="658"/>
      <c r="P78" s="443"/>
      <c r="Q78" s="444"/>
      <c r="R78" s="444"/>
      <c r="S78" s="444"/>
      <c r="T78" s="444"/>
      <c r="U78" s="444"/>
      <c r="V78" s="444"/>
      <c r="W78" s="444"/>
      <c r="X78" s="444"/>
      <c r="Y78" s="444"/>
      <c r="Z78" s="444"/>
      <c r="AA78" s="444"/>
      <c r="AB78" s="444"/>
      <c r="AC78" s="445"/>
    </row>
    <row r="79" spans="2:29" s="691" customFormat="1" ht="23.1" customHeight="1">
      <c r="B79" s="660"/>
      <c r="C79" s="720" t="s">
        <v>717</v>
      </c>
      <c r="D79" s="694"/>
      <c r="E79" s="613">
        <v>10052336.199999999</v>
      </c>
      <c r="F79" s="613">
        <v>10454001.779999999</v>
      </c>
      <c r="G79" s="613">
        <f>10715201.78+500000</f>
        <v>11215201.779999999</v>
      </c>
      <c r="H79" s="566"/>
      <c r="I79" s="740"/>
      <c r="J79" s="740"/>
      <c r="K79" s="740"/>
      <c r="L79" s="740"/>
      <c r="M79" s="563"/>
      <c r="N79" s="658"/>
      <c r="P79" s="443"/>
      <c r="Q79" s="444"/>
      <c r="R79" s="444"/>
      <c r="S79" s="444"/>
      <c r="T79" s="444"/>
      <c r="U79" s="444"/>
      <c r="V79" s="444"/>
      <c r="W79" s="444"/>
      <c r="X79" s="444"/>
      <c r="Y79" s="444"/>
      <c r="Z79" s="444"/>
      <c r="AA79" s="444"/>
      <c r="AB79" s="444"/>
      <c r="AC79" s="445"/>
    </row>
    <row r="80" spans="2:29" s="691" customFormat="1" ht="23.1" customHeight="1">
      <c r="B80" s="660"/>
      <c r="C80" s="724" t="s">
        <v>745</v>
      </c>
      <c r="D80" s="694"/>
      <c r="E80" s="613">
        <v>6786.04</v>
      </c>
      <c r="F80" s="613"/>
      <c r="G80" s="613">
        <v>171733.47</v>
      </c>
      <c r="H80" s="566"/>
      <c r="I80" s="740"/>
      <c r="J80" s="740"/>
      <c r="K80" s="740"/>
      <c r="L80" s="740"/>
      <c r="M80" s="563"/>
      <c r="N80" s="658"/>
      <c r="P80" s="443"/>
      <c r="Q80" s="444"/>
      <c r="R80" s="444"/>
      <c r="S80" s="444"/>
      <c r="T80" s="444"/>
      <c r="U80" s="444"/>
      <c r="V80" s="444"/>
      <c r="W80" s="444"/>
      <c r="X80" s="444"/>
      <c r="Y80" s="444"/>
      <c r="Z80" s="444"/>
      <c r="AA80" s="444"/>
      <c r="AB80" s="444"/>
      <c r="AC80" s="445"/>
    </row>
    <row r="81" spans="2:29" s="691" customFormat="1" ht="23.1" customHeight="1">
      <c r="B81" s="660"/>
      <c r="C81" s="692" t="s">
        <v>718</v>
      </c>
      <c r="D81" s="693"/>
      <c r="E81" s="614"/>
      <c r="F81" s="614"/>
      <c r="G81" s="614"/>
      <c r="H81" s="564"/>
      <c r="I81" s="557"/>
      <c r="J81" s="557"/>
      <c r="K81" s="557"/>
      <c r="L81" s="557"/>
      <c r="M81" s="565"/>
      <c r="N81" s="658"/>
      <c r="P81" s="443"/>
      <c r="Q81" s="444"/>
      <c r="R81" s="444"/>
      <c r="S81" s="444"/>
      <c r="T81" s="444"/>
      <c r="U81" s="444"/>
      <c r="V81" s="444"/>
      <c r="W81" s="444"/>
      <c r="X81" s="444"/>
      <c r="Y81" s="444"/>
      <c r="Z81" s="444"/>
      <c r="AA81" s="444"/>
      <c r="AB81" s="444"/>
      <c r="AC81" s="445"/>
    </row>
    <row r="82" spans="2:29" s="691" customFormat="1" ht="23.1" customHeight="1">
      <c r="B82" s="660"/>
      <c r="C82" s="708"/>
      <c r="D82" s="708"/>
      <c r="E82" s="709"/>
      <c r="F82" s="709"/>
      <c r="G82" s="709"/>
      <c r="H82" s="709"/>
      <c r="I82" s="709"/>
      <c r="J82" s="709"/>
      <c r="K82" s="709"/>
      <c r="L82" s="709"/>
      <c r="M82" s="709"/>
      <c r="N82" s="658"/>
      <c r="P82" s="443"/>
      <c r="Q82" s="444"/>
      <c r="R82" s="444"/>
      <c r="S82" s="444"/>
      <c r="T82" s="444"/>
      <c r="U82" s="444"/>
      <c r="V82" s="444"/>
      <c r="W82" s="444"/>
      <c r="X82" s="444"/>
      <c r="Y82" s="444"/>
      <c r="Z82" s="444"/>
      <c r="AA82" s="444"/>
      <c r="AB82" s="444"/>
      <c r="AC82" s="445"/>
    </row>
    <row r="83" spans="2:29" s="691" customFormat="1" ht="23.1" customHeight="1">
      <c r="B83" s="660"/>
      <c r="C83" s="1145" t="s">
        <v>781</v>
      </c>
      <c r="D83" s="1146"/>
      <c r="E83" s="1147"/>
      <c r="F83" s="877" t="s">
        <v>423</v>
      </c>
      <c r="G83" s="710" t="s">
        <v>185</v>
      </c>
      <c r="H83" s="1143" t="s">
        <v>585</v>
      </c>
      <c r="I83" s="1143"/>
      <c r="J83" s="1143"/>
      <c r="K83" s="1143"/>
      <c r="L83" s="1143"/>
      <c r="M83" s="1143"/>
      <c r="N83" s="658"/>
      <c r="P83" s="443"/>
      <c r="Q83" s="444"/>
      <c r="R83" s="444"/>
      <c r="S83" s="444"/>
      <c r="T83" s="444"/>
      <c r="U83" s="444"/>
      <c r="V83" s="444"/>
      <c r="W83" s="444"/>
      <c r="X83" s="444"/>
      <c r="Y83" s="444"/>
      <c r="Z83" s="444"/>
      <c r="AA83" s="444"/>
      <c r="AB83" s="444"/>
      <c r="AC83" s="445"/>
    </row>
    <row r="84" spans="2:29" s="691" customFormat="1" ht="43.35" customHeight="1">
      <c r="B84" s="660"/>
      <c r="C84" s="1148"/>
      <c r="D84" s="1149"/>
      <c r="E84" s="1150"/>
      <c r="F84" s="878" t="s">
        <v>782</v>
      </c>
      <c r="G84" s="711">
        <f>ejercicio</f>
        <v>2018</v>
      </c>
      <c r="H84" s="1144"/>
      <c r="I84" s="1144"/>
      <c r="J84" s="1144"/>
      <c r="K84" s="1144"/>
      <c r="L84" s="1144"/>
      <c r="M84" s="1144"/>
      <c r="N84" s="658"/>
      <c r="P84" s="443"/>
      <c r="Q84" s="444"/>
      <c r="R84" s="444"/>
      <c r="S84" s="444"/>
      <c r="T84" s="444"/>
      <c r="U84" s="444"/>
      <c r="V84" s="444"/>
      <c r="W84" s="444"/>
      <c r="X84" s="444"/>
      <c r="Y84" s="444"/>
      <c r="Z84" s="444"/>
      <c r="AA84" s="444"/>
      <c r="AB84" s="444"/>
      <c r="AC84" s="445"/>
    </row>
    <row r="85" spans="2:29" s="691" customFormat="1" ht="23.1" customHeight="1" thickBot="1">
      <c r="B85" s="660"/>
      <c r="C85" s="703" t="s">
        <v>786</v>
      </c>
      <c r="D85" s="882"/>
      <c r="E85" s="883"/>
      <c r="F85" s="705"/>
      <c r="G85" s="705">
        <f>SUM(G86:G88)</f>
        <v>0</v>
      </c>
      <c r="H85" s="712"/>
      <c r="I85" s="713"/>
      <c r="J85" s="713"/>
      <c r="K85" s="713"/>
      <c r="L85" s="713"/>
      <c r="M85" s="714"/>
      <c r="N85" s="658"/>
      <c r="P85" s="443"/>
      <c r="Q85" s="444"/>
      <c r="R85" s="444"/>
      <c r="S85" s="444"/>
      <c r="T85" s="444"/>
      <c r="U85" s="444"/>
      <c r="V85" s="444"/>
      <c r="W85" s="444"/>
      <c r="X85" s="444"/>
      <c r="Y85" s="444"/>
      <c r="Z85" s="444"/>
      <c r="AA85" s="444"/>
      <c r="AB85" s="444"/>
      <c r="AC85" s="445"/>
    </row>
    <row r="86" spans="2:29" s="691" customFormat="1" ht="23.1" customHeight="1">
      <c r="B86" s="660"/>
      <c r="C86" s="1151" t="s">
        <v>783</v>
      </c>
      <c r="D86" s="1152"/>
      <c r="E86" s="1153"/>
      <c r="F86" s="937"/>
      <c r="G86" s="535"/>
      <c r="H86" s="884"/>
      <c r="I86" s="556"/>
      <c r="J86" s="556"/>
      <c r="K86" s="556"/>
      <c r="L86" s="556"/>
      <c r="M86" s="754"/>
      <c r="N86" s="658"/>
      <c r="P86" s="443"/>
      <c r="Q86" s="444"/>
      <c r="R86" s="444"/>
      <c r="S86" s="444"/>
      <c r="T86" s="444"/>
      <c r="U86" s="444"/>
      <c r="V86" s="444"/>
      <c r="W86" s="444"/>
      <c r="X86" s="444"/>
      <c r="Y86" s="444"/>
      <c r="Z86" s="444"/>
      <c r="AA86" s="444"/>
      <c r="AB86" s="444"/>
      <c r="AC86" s="445"/>
    </row>
    <row r="87" spans="2:29" s="691" customFormat="1" ht="23.1" customHeight="1">
      <c r="B87" s="660"/>
      <c r="C87" s="879" t="s">
        <v>784</v>
      </c>
      <c r="D87" s="880"/>
      <c r="E87" s="881"/>
      <c r="F87" s="937"/>
      <c r="G87" s="535"/>
      <c r="H87" s="753"/>
      <c r="I87" s="556"/>
      <c r="J87" s="556"/>
      <c r="K87" s="556"/>
      <c r="L87" s="556"/>
      <c r="M87" s="754"/>
      <c r="N87" s="658"/>
      <c r="P87" s="443"/>
      <c r="Q87" s="444"/>
      <c r="R87" s="444"/>
      <c r="S87" s="444"/>
      <c r="T87" s="444"/>
      <c r="U87" s="444"/>
      <c r="V87" s="444"/>
      <c r="W87" s="444"/>
      <c r="X87" s="444"/>
      <c r="Y87" s="444"/>
      <c r="Z87" s="444"/>
      <c r="AA87" s="444"/>
      <c r="AB87" s="444"/>
      <c r="AC87" s="445"/>
    </row>
    <row r="88" spans="2:29" s="691" customFormat="1" ht="23.1" customHeight="1">
      <c r="B88" s="660"/>
      <c r="C88" s="1154" t="s">
        <v>785</v>
      </c>
      <c r="D88" s="1155"/>
      <c r="E88" s="1156"/>
      <c r="F88" s="938"/>
      <c r="G88" s="536"/>
      <c r="H88" s="755"/>
      <c r="I88" s="740"/>
      <c r="J88" s="740"/>
      <c r="K88" s="740"/>
      <c r="L88" s="740"/>
      <c r="M88" s="756"/>
      <c r="N88" s="658"/>
      <c r="P88" s="443"/>
      <c r="Q88" s="444"/>
      <c r="R88" s="444"/>
      <c r="S88" s="444"/>
      <c r="T88" s="444"/>
      <c r="U88" s="444"/>
      <c r="V88" s="444"/>
      <c r="W88" s="444"/>
      <c r="X88" s="444"/>
      <c r="Y88" s="444"/>
      <c r="Z88" s="444"/>
      <c r="AA88" s="444"/>
      <c r="AB88" s="444"/>
      <c r="AC88" s="445"/>
    </row>
    <row r="89" spans="2:29" s="691" customFormat="1" ht="23.1" customHeight="1">
      <c r="B89" s="660"/>
      <c r="C89" s="871"/>
      <c r="D89" s="708"/>
      <c r="E89" s="872"/>
      <c r="F89" s="872"/>
      <c r="G89" s="872"/>
      <c r="H89" s="873"/>
      <c r="I89" s="873"/>
      <c r="J89" s="873"/>
      <c r="K89" s="873"/>
      <c r="L89" s="873"/>
      <c r="M89" s="873"/>
      <c r="N89" s="658"/>
      <c r="P89" s="443"/>
      <c r="Q89" s="444"/>
      <c r="R89" s="444"/>
      <c r="S89" s="444"/>
      <c r="T89" s="444"/>
      <c r="U89" s="444"/>
      <c r="V89" s="444"/>
      <c r="W89" s="444"/>
      <c r="X89" s="444"/>
      <c r="Y89" s="444"/>
      <c r="Z89" s="444"/>
      <c r="AA89" s="444"/>
      <c r="AB89" s="444"/>
      <c r="AC89" s="445"/>
    </row>
    <row r="90" spans="2:29" s="691" customFormat="1" ht="23.1" customHeight="1">
      <c r="B90" s="660"/>
      <c r="C90" s="874" t="s">
        <v>416</v>
      </c>
      <c r="D90" s="875"/>
      <c r="E90" s="709"/>
      <c r="F90" s="709"/>
      <c r="G90" s="709"/>
      <c r="H90" s="709"/>
      <c r="I90" s="709"/>
      <c r="J90" s="709"/>
      <c r="K90" s="709"/>
      <c r="L90" s="709"/>
      <c r="M90" s="709"/>
      <c r="N90" s="658"/>
      <c r="P90" s="443"/>
      <c r="Q90" s="444"/>
      <c r="R90" s="444"/>
      <c r="S90" s="444"/>
      <c r="T90" s="444"/>
      <c r="U90" s="444"/>
      <c r="V90" s="444"/>
      <c r="W90" s="444"/>
      <c r="X90" s="444"/>
      <c r="Y90" s="444"/>
      <c r="Z90" s="444"/>
      <c r="AA90" s="444"/>
      <c r="AB90" s="444"/>
      <c r="AC90" s="445"/>
    </row>
    <row r="91" spans="2:29" s="691" customFormat="1" ht="23.1" customHeight="1">
      <c r="B91" s="660"/>
      <c r="C91" s="875" t="s">
        <v>838</v>
      </c>
      <c r="D91" s="875"/>
      <c r="E91" s="727"/>
      <c r="F91" s="727"/>
      <c r="G91" s="727"/>
      <c r="H91" s="727"/>
      <c r="I91" s="727"/>
      <c r="J91" s="727"/>
      <c r="K91" s="727"/>
      <c r="L91" s="727"/>
      <c r="M91" s="727"/>
      <c r="N91" s="658"/>
      <c r="P91" s="443"/>
      <c r="Q91" s="444"/>
      <c r="R91" s="444"/>
      <c r="S91" s="444"/>
      <c r="T91" s="444"/>
      <c r="U91" s="444"/>
      <c r="V91" s="444"/>
      <c r="W91" s="444"/>
      <c r="X91" s="444"/>
      <c r="Y91" s="444"/>
      <c r="Z91" s="444"/>
      <c r="AA91" s="444"/>
      <c r="AB91" s="444"/>
      <c r="AC91" s="445"/>
    </row>
    <row r="92" spans="2:29" s="691" customFormat="1" ht="23.1" customHeight="1">
      <c r="B92" s="660"/>
      <c r="C92" s="876" t="s">
        <v>674</v>
      </c>
      <c r="D92" s="875"/>
      <c r="E92" s="727"/>
      <c r="F92" s="727"/>
      <c r="G92" s="727"/>
      <c r="H92" s="727"/>
      <c r="I92" s="727"/>
      <c r="J92" s="727"/>
      <c r="K92" s="727"/>
      <c r="L92" s="727"/>
      <c r="M92" s="727"/>
      <c r="N92" s="658"/>
      <c r="P92" s="443"/>
      <c r="Q92" s="444"/>
      <c r="R92" s="444"/>
      <c r="S92" s="444"/>
      <c r="T92" s="444"/>
      <c r="U92" s="444"/>
      <c r="V92" s="444"/>
      <c r="W92" s="444"/>
      <c r="X92" s="444"/>
      <c r="Y92" s="444"/>
      <c r="Z92" s="444"/>
      <c r="AA92" s="444"/>
      <c r="AB92" s="444"/>
      <c r="AC92" s="445"/>
    </row>
    <row r="93" spans="2:29" s="691" customFormat="1" ht="23.1" customHeight="1">
      <c r="B93" s="660"/>
      <c r="C93" s="876" t="s">
        <v>839</v>
      </c>
      <c r="D93" s="875"/>
      <c r="E93" s="727"/>
      <c r="F93" s="727"/>
      <c r="G93" s="727"/>
      <c r="H93" s="727"/>
      <c r="I93" s="727"/>
      <c r="J93" s="727"/>
      <c r="K93" s="727"/>
      <c r="L93" s="727"/>
      <c r="M93" s="727"/>
      <c r="N93" s="658"/>
      <c r="P93" s="443"/>
      <c r="Q93" s="444"/>
      <c r="R93" s="444"/>
      <c r="S93" s="444"/>
      <c r="T93" s="444"/>
      <c r="U93" s="444"/>
      <c r="V93" s="444"/>
      <c r="W93" s="444"/>
      <c r="X93" s="444"/>
      <c r="Y93" s="444"/>
      <c r="Z93" s="444"/>
      <c r="AA93" s="444"/>
      <c r="AB93" s="444"/>
      <c r="AC93" s="445"/>
    </row>
    <row r="94" spans="2:29" ht="23.1" customHeight="1" thickBot="1">
      <c r="B94" s="728"/>
      <c r="C94" s="1120"/>
      <c r="D94" s="1120"/>
      <c r="E94" s="1120"/>
      <c r="F94" s="1120"/>
      <c r="G94" s="729"/>
      <c r="H94" s="729"/>
      <c r="I94" s="729"/>
      <c r="J94" s="729"/>
      <c r="K94" s="729"/>
      <c r="L94" s="729"/>
      <c r="M94" s="729"/>
      <c r="N94" s="730"/>
      <c r="P94" s="446"/>
      <c r="Q94" s="447"/>
      <c r="R94" s="447"/>
      <c r="S94" s="447"/>
      <c r="T94" s="447"/>
      <c r="U94" s="447"/>
      <c r="V94" s="447"/>
      <c r="W94" s="447"/>
      <c r="X94" s="447"/>
      <c r="Y94" s="447"/>
      <c r="Z94" s="447"/>
      <c r="AA94" s="447"/>
      <c r="AB94" s="447"/>
      <c r="AC94" s="448"/>
    </row>
    <row r="95" spans="2:29" ht="23.1" customHeight="1">
      <c r="C95" s="655"/>
      <c r="D95" s="655"/>
      <c r="E95" s="656"/>
      <c r="F95" s="656"/>
      <c r="G95" s="656"/>
      <c r="H95" s="656"/>
      <c r="I95" s="656"/>
      <c r="J95" s="656"/>
      <c r="K95" s="656"/>
      <c r="L95" s="656"/>
      <c r="M95" s="656"/>
    </row>
    <row r="96" spans="2:29" ht="13.2">
      <c r="C96" s="731" t="s">
        <v>77</v>
      </c>
      <c r="D96" s="655"/>
      <c r="E96" s="656"/>
      <c r="F96" s="656"/>
      <c r="G96" s="656"/>
      <c r="H96" s="656"/>
      <c r="I96" s="656"/>
      <c r="J96" s="656"/>
      <c r="K96" s="656"/>
      <c r="L96" s="656"/>
      <c r="M96" s="732" t="s">
        <v>47</v>
      </c>
    </row>
    <row r="97" spans="3:13" ht="13.2">
      <c r="C97" s="733" t="s">
        <v>78</v>
      </c>
      <c r="D97" s="655"/>
      <c r="E97" s="656"/>
      <c r="F97" s="656"/>
      <c r="G97" s="656"/>
      <c r="H97" s="656"/>
      <c r="I97" s="656"/>
      <c r="J97" s="656"/>
      <c r="K97" s="656"/>
      <c r="L97" s="656"/>
      <c r="M97" s="656"/>
    </row>
    <row r="98" spans="3:13" ht="13.2">
      <c r="C98" s="733" t="s">
        <v>79</v>
      </c>
      <c r="D98" s="655"/>
      <c r="E98" s="656"/>
      <c r="F98" s="656"/>
      <c r="G98" s="656"/>
      <c r="H98" s="656"/>
      <c r="I98" s="656"/>
      <c r="J98" s="656"/>
      <c r="K98" s="656"/>
      <c r="L98" s="656"/>
      <c r="M98" s="656"/>
    </row>
    <row r="99" spans="3:13" ht="13.2">
      <c r="C99" s="733" t="s">
        <v>80</v>
      </c>
      <c r="D99" s="655"/>
      <c r="E99" s="656"/>
      <c r="F99" s="656"/>
      <c r="G99" s="656"/>
      <c r="H99" s="656"/>
      <c r="I99" s="656"/>
      <c r="J99" s="656"/>
      <c r="K99" s="656"/>
      <c r="L99" s="656"/>
      <c r="M99" s="656"/>
    </row>
    <row r="100" spans="3:13" ht="13.2">
      <c r="C100" s="733" t="s">
        <v>81</v>
      </c>
      <c r="D100" s="655"/>
      <c r="E100" s="656"/>
      <c r="F100" s="656"/>
      <c r="G100" s="656"/>
      <c r="H100" s="656"/>
      <c r="I100" s="656"/>
      <c r="J100" s="656"/>
      <c r="K100" s="656"/>
      <c r="L100" s="656"/>
      <c r="M100" s="656"/>
    </row>
    <row r="101" spans="3:13" ht="23.1" customHeight="1">
      <c r="C101" s="655"/>
      <c r="D101" s="655"/>
      <c r="E101" s="656"/>
      <c r="F101" s="656"/>
      <c r="G101" s="656"/>
      <c r="H101" s="656"/>
      <c r="I101" s="656"/>
      <c r="J101" s="656"/>
      <c r="K101" s="656"/>
      <c r="L101" s="656"/>
      <c r="M101" s="656"/>
    </row>
    <row r="102" spans="3:13" ht="23.1" customHeight="1">
      <c r="C102" s="655"/>
      <c r="D102" s="655"/>
      <c r="E102" s="656"/>
      <c r="F102" s="656"/>
      <c r="G102" s="656"/>
      <c r="H102" s="656"/>
      <c r="I102" s="656"/>
      <c r="J102" s="656"/>
      <c r="K102" s="656"/>
      <c r="L102" s="656"/>
      <c r="M102" s="656"/>
    </row>
    <row r="103" spans="3:13" ht="23.1" customHeight="1">
      <c r="C103" s="655"/>
      <c r="D103" s="655"/>
      <c r="E103" s="656"/>
      <c r="F103" s="656"/>
      <c r="G103" s="656"/>
      <c r="H103" s="656"/>
      <c r="I103" s="656"/>
      <c r="J103" s="656"/>
      <c r="K103" s="656"/>
      <c r="L103" s="656"/>
      <c r="M103" s="656"/>
    </row>
    <row r="104" spans="3:13" ht="23.1" customHeight="1">
      <c r="C104" s="655"/>
      <c r="D104" s="655"/>
      <c r="E104" s="656"/>
      <c r="F104" s="656"/>
      <c r="G104" s="656"/>
      <c r="H104" s="656"/>
      <c r="I104" s="656"/>
      <c r="J104" s="656"/>
      <c r="K104" s="656"/>
      <c r="L104" s="656"/>
      <c r="M104" s="656"/>
    </row>
    <row r="105" spans="3:13" ht="23.1" customHeight="1">
      <c r="F105" s="656"/>
      <c r="G105" s="656"/>
      <c r="H105" s="656"/>
      <c r="I105" s="656"/>
      <c r="J105" s="656"/>
      <c r="K105" s="656"/>
      <c r="L105" s="656"/>
      <c r="M105" s="656"/>
    </row>
  </sheetData>
  <sheetProtection password="E059" sheet="1" objects="1" scenarios="1" insertRows="0"/>
  <mergeCells count="11">
    <mergeCell ref="C94:F94"/>
    <mergeCell ref="H45:M46"/>
    <mergeCell ref="H64:M65"/>
    <mergeCell ref="M6:M7"/>
    <mergeCell ref="D9:M9"/>
    <mergeCell ref="C12:D12"/>
    <mergeCell ref="H69:M70"/>
    <mergeCell ref="H83:M84"/>
    <mergeCell ref="C83:E84"/>
    <mergeCell ref="C86:E86"/>
    <mergeCell ref="C88:E88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06"/>
  <sheetViews>
    <sheetView zoomScale="55" zoomScaleNormal="55" zoomScalePageLayoutView="85" workbookViewId="0">
      <selection activeCell="F46" sqref="F46"/>
    </sheetView>
  </sheetViews>
  <sheetFormatPr baseColWidth="10" defaultColWidth="10.90625" defaultRowHeight="23.1" customHeight="1"/>
  <cols>
    <col min="1" max="2" width="3.08984375" style="42" customWidth="1"/>
    <col min="3" max="3" width="13.54296875" style="42" customWidth="1"/>
    <col min="4" max="4" width="76.90625" style="42" customWidth="1"/>
    <col min="5" max="7" width="18.08984375" style="42" customWidth="1"/>
    <col min="8" max="8" width="3.08984375" style="42" customWidth="1"/>
    <col min="9" max="16384" width="10.90625" style="42"/>
  </cols>
  <sheetData>
    <row r="1" spans="2:23" ht="23.1" customHeight="1">
      <c r="D1" s="44"/>
    </row>
    <row r="2" spans="2:23" ht="23.1" customHeight="1">
      <c r="D2" s="66" t="s">
        <v>31</v>
      </c>
    </row>
    <row r="3" spans="2:23" ht="23.1" customHeight="1">
      <c r="D3" s="66" t="s">
        <v>32</v>
      </c>
    </row>
    <row r="4" spans="2:23" ht="23.1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427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9"/>
    </row>
    <row r="6" spans="2:23" ht="30" customHeight="1">
      <c r="B6" s="48"/>
      <c r="C6" s="1" t="s">
        <v>0</v>
      </c>
      <c r="D6" s="44"/>
      <c r="E6" s="44"/>
      <c r="F6" s="44"/>
      <c r="G6" s="1111">
        <f>ejercicio</f>
        <v>2018</v>
      </c>
      <c r="H6" s="50"/>
      <c r="J6" s="430"/>
      <c r="K6" s="431" t="s">
        <v>707</v>
      </c>
      <c r="L6" s="432"/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3"/>
    </row>
    <row r="7" spans="2:23" ht="30" customHeight="1">
      <c r="B7" s="48"/>
      <c r="C7" s="1" t="s">
        <v>1</v>
      </c>
      <c r="D7" s="44"/>
      <c r="E7" s="44"/>
      <c r="F7" s="44"/>
      <c r="G7" s="1111"/>
      <c r="H7" s="50"/>
      <c r="J7" s="430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3"/>
    </row>
    <row r="8" spans="2:23" ht="30" customHeight="1">
      <c r="B8" s="48"/>
      <c r="C8" s="49"/>
      <c r="D8" s="44"/>
      <c r="E8" s="44"/>
      <c r="F8" s="44"/>
      <c r="G8" s="51"/>
      <c r="H8" s="50"/>
      <c r="J8" s="430"/>
      <c r="K8" s="432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3"/>
    </row>
    <row r="9" spans="2:23" s="60" customFormat="1" ht="30" customHeight="1">
      <c r="B9" s="58"/>
      <c r="C9" s="39" t="s">
        <v>2</v>
      </c>
      <c r="D9" s="1135" t="str">
        <f>Entidad</f>
        <v>SPET, Turismo de Tenerife, S.A.</v>
      </c>
      <c r="E9" s="1135"/>
      <c r="F9" s="1135"/>
      <c r="G9" s="1135"/>
      <c r="H9" s="59"/>
      <c r="J9" s="434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6"/>
    </row>
    <row r="10" spans="2:23" ht="7.35" customHeight="1">
      <c r="B10" s="48"/>
      <c r="C10" s="44"/>
      <c r="D10" s="44"/>
      <c r="E10" s="44"/>
      <c r="F10" s="44"/>
      <c r="G10" s="44"/>
      <c r="H10" s="50"/>
      <c r="J10" s="430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3"/>
    </row>
    <row r="11" spans="2:23" s="62" customFormat="1" ht="30" customHeight="1">
      <c r="B11" s="24"/>
      <c r="C11" s="11" t="s">
        <v>254</v>
      </c>
      <c r="D11" s="11"/>
      <c r="E11" s="11"/>
      <c r="F11" s="11"/>
      <c r="G11" s="11"/>
      <c r="H11" s="61"/>
      <c r="J11" s="437"/>
      <c r="K11" s="438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9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37"/>
      <c r="K12" s="438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439"/>
    </row>
    <row r="13" spans="2:23" ht="23.1" customHeight="1">
      <c r="B13" s="48"/>
      <c r="C13" s="346"/>
      <c r="D13" s="347"/>
      <c r="E13" s="348" t="s">
        <v>183</v>
      </c>
      <c r="F13" s="349" t="s">
        <v>184</v>
      </c>
      <c r="G13" s="350" t="s">
        <v>185</v>
      </c>
      <c r="H13" s="50"/>
      <c r="J13" s="430"/>
      <c r="K13" s="432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3"/>
    </row>
    <row r="14" spans="2:23" ht="23.1" customHeight="1">
      <c r="B14" s="48"/>
      <c r="C14" s="351" t="s">
        <v>250</v>
      </c>
      <c r="D14" s="70"/>
      <c r="E14" s="332">
        <f>ejercicio-2</f>
        <v>2016</v>
      </c>
      <c r="F14" s="339">
        <f>ejercicio-1</f>
        <v>2017</v>
      </c>
      <c r="G14" s="331">
        <f>ejercicio</f>
        <v>2018</v>
      </c>
      <c r="H14" s="50"/>
      <c r="J14" s="430"/>
      <c r="K14" s="432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3"/>
    </row>
    <row r="15" spans="2:23" ht="23.1" customHeight="1">
      <c r="B15" s="48"/>
      <c r="C15" s="352"/>
      <c r="D15" s="88"/>
      <c r="E15" s="333"/>
      <c r="F15" s="340"/>
      <c r="G15" s="353"/>
      <c r="H15" s="50"/>
      <c r="J15" s="430"/>
      <c r="K15" s="432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3"/>
    </row>
    <row r="16" spans="2:23" ht="23.1" customHeight="1">
      <c r="B16" s="48"/>
      <c r="C16" s="354" t="s">
        <v>187</v>
      </c>
      <c r="D16" s="86" t="s">
        <v>188</v>
      </c>
      <c r="E16" s="334">
        <f>E17+E26+E30+E33+E40+E47+E48</f>
        <v>814105.01</v>
      </c>
      <c r="F16" s="341">
        <f>F17+F26+F30+F33+F40+F47+F48</f>
        <v>796136.46000000008</v>
      </c>
      <c r="G16" s="355">
        <f>G17+G26+G30+G33+G40+G47+G48</f>
        <v>746666.91</v>
      </c>
      <c r="H16" s="50"/>
      <c r="J16" s="430"/>
      <c r="K16" s="432"/>
      <c r="L16" s="432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3"/>
    </row>
    <row r="17" spans="2:23" ht="23.1" customHeight="1">
      <c r="B17" s="48"/>
      <c r="C17" s="356" t="s">
        <v>189</v>
      </c>
      <c r="D17" s="72" t="s">
        <v>190</v>
      </c>
      <c r="E17" s="335">
        <f>SUM(E18:E25)</f>
        <v>25149.919999999998</v>
      </c>
      <c r="F17" s="342">
        <f>SUM(F18:F25)</f>
        <v>18038.25</v>
      </c>
      <c r="G17" s="357">
        <f>SUM(G18:G25)</f>
        <v>7226.1500000000005</v>
      </c>
      <c r="H17" s="50"/>
      <c r="J17" s="430"/>
      <c r="K17" s="432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3"/>
    </row>
    <row r="18" spans="2:23" ht="23.1" customHeight="1">
      <c r="B18" s="48"/>
      <c r="C18" s="358" t="s">
        <v>88</v>
      </c>
      <c r="D18" s="73" t="s">
        <v>191</v>
      </c>
      <c r="E18" s="473"/>
      <c r="F18" s="474"/>
      <c r="G18" s="475"/>
      <c r="H18" s="50"/>
      <c r="J18" s="430"/>
      <c r="K18" s="432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3"/>
    </row>
    <row r="19" spans="2:23" ht="23.1" customHeight="1">
      <c r="B19" s="48"/>
      <c r="C19" s="359" t="s">
        <v>95</v>
      </c>
      <c r="D19" s="74" t="s">
        <v>192</v>
      </c>
      <c r="E19" s="476"/>
      <c r="F19" s="477"/>
      <c r="G19" s="478"/>
      <c r="H19" s="50"/>
      <c r="J19" s="430"/>
      <c r="K19" s="432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3"/>
    </row>
    <row r="20" spans="2:23" ht="23.1" customHeight="1">
      <c r="B20" s="48"/>
      <c r="C20" s="359" t="s">
        <v>97</v>
      </c>
      <c r="D20" s="74" t="s">
        <v>193</v>
      </c>
      <c r="E20" s="476"/>
      <c r="F20" s="477"/>
      <c r="G20" s="478"/>
      <c r="H20" s="50"/>
      <c r="J20" s="430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3"/>
    </row>
    <row r="21" spans="2:23" ht="23.1" customHeight="1">
      <c r="B21" s="48"/>
      <c r="C21" s="359" t="s">
        <v>99</v>
      </c>
      <c r="D21" s="74" t="s">
        <v>194</v>
      </c>
      <c r="E21" s="476"/>
      <c r="F21" s="477"/>
      <c r="G21" s="478"/>
      <c r="H21" s="50"/>
      <c r="J21" s="430"/>
      <c r="K21" s="432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3"/>
    </row>
    <row r="22" spans="2:23" ht="23.1" customHeight="1">
      <c r="B22" s="48"/>
      <c r="C22" s="359" t="s">
        <v>195</v>
      </c>
      <c r="D22" s="74" t="s">
        <v>196</v>
      </c>
      <c r="E22" s="476">
        <v>9148.9500000000007</v>
      </c>
      <c r="F22" s="477">
        <v>7873.54</v>
      </c>
      <c r="G22" s="478">
        <v>1515.84</v>
      </c>
      <c r="H22" s="50"/>
      <c r="J22" s="430"/>
      <c r="K22" s="432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3"/>
    </row>
    <row r="23" spans="2:23" ht="23.1" customHeight="1">
      <c r="B23" s="48"/>
      <c r="C23" s="359" t="s">
        <v>109</v>
      </c>
      <c r="D23" s="74" t="s">
        <v>197</v>
      </c>
      <c r="E23" s="476"/>
      <c r="F23" s="477"/>
      <c r="G23" s="478"/>
      <c r="H23" s="50"/>
      <c r="J23" s="430"/>
      <c r="K23" s="432"/>
      <c r="L23" s="432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3"/>
    </row>
    <row r="24" spans="2:23" ht="23.1" customHeight="1">
      <c r="B24" s="48"/>
      <c r="C24" s="359" t="s">
        <v>114</v>
      </c>
      <c r="D24" s="74" t="s">
        <v>249</v>
      </c>
      <c r="E24" s="476"/>
      <c r="F24" s="477"/>
      <c r="G24" s="478"/>
      <c r="H24" s="50"/>
      <c r="J24" s="430"/>
      <c r="K24" s="432"/>
      <c r="L24" s="432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3"/>
    </row>
    <row r="25" spans="2:23" ht="23.1" customHeight="1">
      <c r="B25" s="48"/>
      <c r="C25" s="359" t="s">
        <v>122</v>
      </c>
      <c r="D25" s="74" t="s">
        <v>198</v>
      </c>
      <c r="E25" s="476">
        <v>16000.97</v>
      </c>
      <c r="F25" s="477">
        <v>10164.709999999999</v>
      </c>
      <c r="G25" s="478">
        <v>5710.31</v>
      </c>
      <c r="H25" s="50"/>
      <c r="J25" s="430"/>
      <c r="K25" s="432"/>
      <c r="L25" s="432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3"/>
    </row>
    <row r="26" spans="2:23" ht="23.1" customHeight="1">
      <c r="B26" s="48"/>
      <c r="C26" s="356" t="s">
        <v>199</v>
      </c>
      <c r="D26" s="72" t="s">
        <v>200</v>
      </c>
      <c r="E26" s="335">
        <f>SUM(E27:E29)</f>
        <v>786229.83</v>
      </c>
      <c r="F26" s="342">
        <f>SUM(F27:F29)</f>
        <v>775416.15</v>
      </c>
      <c r="G26" s="357">
        <f>SUM(G27:G29)</f>
        <v>736758.7</v>
      </c>
      <c r="H26" s="50"/>
      <c r="J26" s="430"/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3"/>
    </row>
    <row r="27" spans="2:23" ht="23.1" customHeight="1">
      <c r="B27" s="48"/>
      <c r="C27" s="358" t="s">
        <v>88</v>
      </c>
      <c r="D27" s="73" t="s">
        <v>201</v>
      </c>
      <c r="E27" s="473"/>
      <c r="F27" s="474"/>
      <c r="G27" s="475"/>
      <c r="H27" s="50"/>
      <c r="J27" s="430"/>
      <c r="K27" s="432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3"/>
    </row>
    <row r="28" spans="2:23" ht="23.1" customHeight="1">
      <c r="B28" s="48"/>
      <c r="C28" s="359" t="s">
        <v>95</v>
      </c>
      <c r="D28" s="74" t="s">
        <v>202</v>
      </c>
      <c r="E28" s="476">
        <v>786229.83</v>
      </c>
      <c r="F28" s="477">
        <v>775416.15</v>
      </c>
      <c r="G28" s="478">
        <v>736758.7</v>
      </c>
      <c r="H28" s="50"/>
      <c r="J28" s="430"/>
      <c r="K28" s="432"/>
      <c r="L28" s="432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3"/>
    </row>
    <row r="29" spans="2:23" ht="23.1" customHeight="1">
      <c r="B29" s="48"/>
      <c r="C29" s="359" t="s">
        <v>97</v>
      </c>
      <c r="D29" s="74" t="s">
        <v>203</v>
      </c>
      <c r="E29" s="476"/>
      <c r="F29" s="477"/>
      <c r="G29" s="478"/>
      <c r="H29" s="50"/>
      <c r="J29" s="430"/>
      <c r="K29" s="432"/>
      <c r="L29" s="432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3"/>
    </row>
    <row r="30" spans="2:23" ht="23.1" customHeight="1">
      <c r="B30" s="48"/>
      <c r="C30" s="356" t="s">
        <v>204</v>
      </c>
      <c r="D30" s="72" t="s">
        <v>205</v>
      </c>
      <c r="E30" s="335">
        <f>SUM(E31:E32)</f>
        <v>0</v>
      </c>
      <c r="F30" s="342">
        <f>SUM(F31:F32)</f>
        <v>0</v>
      </c>
      <c r="G30" s="357">
        <f>SUM(G31:G32)</f>
        <v>0</v>
      </c>
      <c r="H30" s="50"/>
      <c r="J30" s="440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2"/>
    </row>
    <row r="31" spans="2:23" ht="23.1" customHeight="1">
      <c r="B31" s="48"/>
      <c r="C31" s="358" t="s">
        <v>88</v>
      </c>
      <c r="D31" s="73" t="s">
        <v>206</v>
      </c>
      <c r="E31" s="473"/>
      <c r="F31" s="474"/>
      <c r="G31" s="475"/>
      <c r="H31" s="50"/>
      <c r="J31" s="440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2"/>
    </row>
    <row r="32" spans="2:23" ht="23.1" customHeight="1">
      <c r="B32" s="48"/>
      <c r="C32" s="359" t="s">
        <v>95</v>
      </c>
      <c r="D32" s="74" t="s">
        <v>207</v>
      </c>
      <c r="E32" s="476"/>
      <c r="F32" s="477"/>
      <c r="G32" s="478"/>
      <c r="H32" s="50"/>
      <c r="J32" s="430"/>
      <c r="K32" s="432"/>
      <c r="L32" s="432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433"/>
    </row>
    <row r="33" spans="2:23" ht="23.1" customHeight="1">
      <c r="B33" s="48"/>
      <c r="C33" s="356" t="s">
        <v>208</v>
      </c>
      <c r="D33" s="72" t="s">
        <v>209</v>
      </c>
      <c r="E33" s="335">
        <f>SUM(E34:E39)</f>
        <v>0</v>
      </c>
      <c r="F33" s="342">
        <f>SUM(F34:F39)</f>
        <v>0</v>
      </c>
      <c r="G33" s="357">
        <f>SUM(G34:G39)</f>
        <v>0</v>
      </c>
      <c r="H33" s="50"/>
      <c r="J33" s="430"/>
      <c r="K33" s="432"/>
      <c r="L33" s="432"/>
      <c r="M33" s="432"/>
      <c r="N33" s="432"/>
      <c r="O33" s="432"/>
      <c r="P33" s="432"/>
      <c r="Q33" s="432"/>
      <c r="R33" s="432"/>
      <c r="S33" s="432"/>
      <c r="T33" s="432"/>
      <c r="U33" s="432"/>
      <c r="V33" s="432"/>
      <c r="W33" s="433"/>
    </row>
    <row r="34" spans="2:23" ht="23.1" customHeight="1">
      <c r="B34" s="48"/>
      <c r="C34" s="358" t="s">
        <v>88</v>
      </c>
      <c r="D34" s="73" t="s">
        <v>210</v>
      </c>
      <c r="E34" s="473"/>
      <c r="F34" s="474"/>
      <c r="G34" s="475"/>
      <c r="H34" s="50"/>
      <c r="J34" s="430"/>
      <c r="K34" s="432"/>
      <c r="L34" s="432"/>
      <c r="M34" s="432"/>
      <c r="N34" s="432"/>
      <c r="O34" s="432"/>
      <c r="P34" s="432"/>
      <c r="Q34" s="432"/>
      <c r="R34" s="432"/>
      <c r="S34" s="432"/>
      <c r="T34" s="432"/>
      <c r="U34" s="432"/>
      <c r="V34" s="432"/>
      <c r="W34" s="433"/>
    </row>
    <row r="35" spans="2:23" ht="23.1" customHeight="1">
      <c r="B35" s="48"/>
      <c r="C35" s="359" t="s">
        <v>95</v>
      </c>
      <c r="D35" s="74" t="s">
        <v>211</v>
      </c>
      <c r="E35" s="476"/>
      <c r="F35" s="477"/>
      <c r="G35" s="478"/>
      <c r="H35" s="50"/>
      <c r="J35" s="430"/>
      <c r="K35" s="432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3"/>
    </row>
    <row r="36" spans="2:23" ht="23.1" customHeight="1">
      <c r="B36" s="48"/>
      <c r="C36" s="359" t="s">
        <v>97</v>
      </c>
      <c r="D36" s="74" t="s">
        <v>212</v>
      </c>
      <c r="E36" s="476"/>
      <c r="F36" s="477"/>
      <c r="G36" s="478"/>
      <c r="H36" s="50"/>
      <c r="J36" s="443"/>
      <c r="K36" s="444"/>
      <c r="L36" s="444"/>
      <c r="M36" s="444"/>
      <c r="N36" s="444"/>
      <c r="O36" s="444"/>
      <c r="P36" s="444"/>
      <c r="Q36" s="444"/>
      <c r="R36" s="444"/>
      <c r="S36" s="444"/>
      <c r="T36" s="444"/>
      <c r="U36" s="444"/>
      <c r="V36" s="444"/>
      <c r="W36" s="445"/>
    </row>
    <row r="37" spans="2:23" ht="23.1" customHeight="1">
      <c r="B37" s="48"/>
      <c r="C37" s="359" t="s">
        <v>99</v>
      </c>
      <c r="D37" s="74" t="s">
        <v>213</v>
      </c>
      <c r="E37" s="476"/>
      <c r="F37" s="477"/>
      <c r="G37" s="478"/>
      <c r="H37" s="50"/>
      <c r="J37" s="443"/>
      <c r="K37" s="444"/>
      <c r="L37" s="444"/>
      <c r="M37" s="444"/>
      <c r="N37" s="444"/>
      <c r="O37" s="444"/>
      <c r="P37" s="444"/>
      <c r="Q37" s="444"/>
      <c r="R37" s="444"/>
      <c r="S37" s="444"/>
      <c r="T37" s="444"/>
      <c r="U37" s="444"/>
      <c r="V37" s="444"/>
      <c r="W37" s="445"/>
    </row>
    <row r="38" spans="2:23" ht="23.1" customHeight="1">
      <c r="B38" s="48"/>
      <c r="C38" s="359" t="s">
        <v>195</v>
      </c>
      <c r="D38" s="74" t="s">
        <v>214</v>
      </c>
      <c r="E38" s="476"/>
      <c r="F38" s="477"/>
      <c r="G38" s="478"/>
      <c r="H38" s="50"/>
      <c r="J38" s="443"/>
      <c r="K38" s="444"/>
      <c r="L38" s="444"/>
      <c r="M38" s="444"/>
      <c r="N38" s="444"/>
      <c r="O38" s="444"/>
      <c r="P38" s="444"/>
      <c r="Q38" s="444"/>
      <c r="R38" s="444"/>
      <c r="S38" s="444"/>
      <c r="T38" s="444"/>
      <c r="U38" s="444"/>
      <c r="V38" s="444"/>
      <c r="W38" s="445"/>
    </row>
    <row r="39" spans="2:23" ht="23.1" customHeight="1">
      <c r="B39" s="48"/>
      <c r="C39" s="359" t="s">
        <v>109</v>
      </c>
      <c r="D39" s="74" t="s">
        <v>215</v>
      </c>
      <c r="E39" s="476"/>
      <c r="F39" s="477"/>
      <c r="G39" s="478"/>
      <c r="H39" s="50"/>
      <c r="J39" s="443"/>
      <c r="K39" s="444"/>
      <c r="L39" s="444"/>
      <c r="M39" s="444"/>
      <c r="N39" s="444"/>
      <c r="O39" s="444"/>
      <c r="P39" s="444"/>
      <c r="Q39" s="444"/>
      <c r="R39" s="444"/>
      <c r="S39" s="444"/>
      <c r="T39" s="444"/>
      <c r="U39" s="444"/>
      <c r="V39" s="444"/>
      <c r="W39" s="445"/>
    </row>
    <row r="40" spans="2:23" ht="23.1" customHeight="1">
      <c r="B40" s="48"/>
      <c r="C40" s="356" t="s">
        <v>216</v>
      </c>
      <c r="D40" s="72" t="s">
        <v>217</v>
      </c>
      <c r="E40" s="335">
        <f>SUM(E41:E46)</f>
        <v>2725.26</v>
      </c>
      <c r="F40" s="342">
        <f>SUM(F41:F46)</f>
        <v>2682.06</v>
      </c>
      <c r="G40" s="357">
        <f>SUM(G41:G46)</f>
        <v>2682.06</v>
      </c>
      <c r="H40" s="50"/>
      <c r="J40" s="443"/>
      <c r="K40" s="444"/>
      <c r="L40" s="444"/>
      <c r="M40" s="444"/>
      <c r="N40" s="444"/>
      <c r="O40" s="444"/>
      <c r="P40" s="444"/>
      <c r="Q40" s="444"/>
      <c r="R40" s="444"/>
      <c r="S40" s="444"/>
      <c r="T40" s="444"/>
      <c r="U40" s="444"/>
      <c r="V40" s="444"/>
      <c r="W40" s="445"/>
    </row>
    <row r="41" spans="2:23" ht="23.1" customHeight="1">
      <c r="B41" s="48"/>
      <c r="C41" s="358" t="s">
        <v>88</v>
      </c>
      <c r="D41" s="73" t="s">
        <v>210</v>
      </c>
      <c r="E41" s="473"/>
      <c r="F41" s="474"/>
      <c r="G41" s="475"/>
      <c r="H41" s="50"/>
      <c r="J41" s="443"/>
      <c r="K41" s="444"/>
      <c r="L41" s="444"/>
      <c r="M41" s="444"/>
      <c r="N41" s="444"/>
      <c r="O41" s="444"/>
      <c r="P41" s="444"/>
      <c r="Q41" s="444"/>
      <c r="R41" s="444"/>
      <c r="S41" s="444"/>
      <c r="T41" s="444"/>
      <c r="U41" s="444"/>
      <c r="V41" s="444"/>
      <c r="W41" s="445"/>
    </row>
    <row r="42" spans="2:23" ht="23.1" customHeight="1">
      <c r="B42" s="48"/>
      <c r="C42" s="359" t="s">
        <v>95</v>
      </c>
      <c r="D42" s="74" t="s">
        <v>218</v>
      </c>
      <c r="E42" s="476"/>
      <c r="F42" s="477"/>
      <c r="G42" s="478"/>
      <c r="H42" s="50"/>
      <c r="J42" s="443"/>
      <c r="K42" s="444"/>
      <c r="L42" s="444"/>
      <c r="M42" s="444"/>
      <c r="N42" s="444"/>
      <c r="O42" s="444"/>
      <c r="P42" s="444"/>
      <c r="Q42" s="444"/>
      <c r="R42" s="444"/>
      <c r="S42" s="444"/>
      <c r="T42" s="444"/>
      <c r="U42" s="444"/>
      <c r="V42" s="444"/>
      <c r="W42" s="445"/>
    </row>
    <row r="43" spans="2:23" ht="23.1" customHeight="1">
      <c r="B43" s="48"/>
      <c r="C43" s="359" t="s">
        <v>97</v>
      </c>
      <c r="D43" s="74" t="s">
        <v>212</v>
      </c>
      <c r="E43" s="476"/>
      <c r="F43" s="477"/>
      <c r="G43" s="478"/>
      <c r="H43" s="50"/>
      <c r="J43" s="443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5"/>
    </row>
    <row r="44" spans="2:23" ht="23.1" customHeight="1">
      <c r="B44" s="48"/>
      <c r="C44" s="359" t="s">
        <v>99</v>
      </c>
      <c r="D44" s="74" t="s">
        <v>213</v>
      </c>
      <c r="E44" s="476"/>
      <c r="F44" s="477"/>
      <c r="G44" s="478"/>
      <c r="H44" s="50"/>
      <c r="J44" s="443"/>
      <c r="K44" s="444"/>
      <c r="L44" s="444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5"/>
    </row>
    <row r="45" spans="2:23" ht="23.1" customHeight="1">
      <c r="B45" s="48"/>
      <c r="C45" s="359" t="s">
        <v>195</v>
      </c>
      <c r="D45" s="74" t="s">
        <v>214</v>
      </c>
      <c r="E45" s="476">
        <v>2725.26</v>
      </c>
      <c r="F45" s="477">
        <v>2682.06</v>
      </c>
      <c r="G45" s="478">
        <v>2682.06</v>
      </c>
      <c r="H45" s="50"/>
      <c r="J45" s="443"/>
      <c r="K45" s="444"/>
      <c r="L45" s="444"/>
      <c r="M45" s="444"/>
      <c r="N45" s="444"/>
      <c r="O45" s="444"/>
      <c r="P45" s="444"/>
      <c r="Q45" s="444"/>
      <c r="R45" s="444"/>
      <c r="S45" s="444"/>
      <c r="T45" s="444"/>
      <c r="U45" s="444"/>
      <c r="V45" s="444"/>
      <c r="W45" s="445"/>
    </row>
    <row r="46" spans="2:23" ht="23.1" customHeight="1">
      <c r="B46" s="48"/>
      <c r="C46" s="359" t="s">
        <v>109</v>
      </c>
      <c r="D46" s="74" t="s">
        <v>215</v>
      </c>
      <c r="E46" s="476"/>
      <c r="F46" s="477"/>
      <c r="G46" s="478"/>
      <c r="H46" s="50"/>
      <c r="J46" s="443"/>
      <c r="K46" s="444"/>
      <c r="L46" s="444"/>
      <c r="M46" s="444"/>
      <c r="N46" s="444"/>
      <c r="O46" s="444"/>
      <c r="P46" s="444"/>
      <c r="Q46" s="444"/>
      <c r="R46" s="444"/>
      <c r="S46" s="444"/>
      <c r="T46" s="444"/>
      <c r="U46" s="444"/>
      <c r="V46" s="444"/>
      <c r="W46" s="445"/>
    </row>
    <row r="47" spans="2:23" ht="23.1" customHeight="1">
      <c r="B47" s="48"/>
      <c r="C47" s="356" t="s">
        <v>219</v>
      </c>
      <c r="D47" s="72" t="s">
        <v>220</v>
      </c>
      <c r="E47" s="479">
        <v>0</v>
      </c>
      <c r="F47" s="480">
        <v>0</v>
      </c>
      <c r="G47" s="481">
        <v>0</v>
      </c>
      <c r="H47" s="50"/>
      <c r="J47" s="443"/>
      <c r="K47" s="444"/>
      <c r="L47" s="444"/>
      <c r="M47" s="444"/>
      <c r="N47" s="444"/>
      <c r="O47" s="444"/>
      <c r="P47" s="444"/>
      <c r="Q47" s="444"/>
      <c r="R47" s="444"/>
      <c r="S47" s="444"/>
      <c r="T47" s="444"/>
      <c r="U47" s="444"/>
      <c r="V47" s="444"/>
      <c r="W47" s="445"/>
    </row>
    <row r="48" spans="2:23" ht="23.1" customHeight="1">
      <c r="B48" s="48"/>
      <c r="C48" s="356" t="s">
        <v>221</v>
      </c>
      <c r="D48" s="72" t="s">
        <v>222</v>
      </c>
      <c r="E48" s="479">
        <v>0</v>
      </c>
      <c r="F48" s="480">
        <v>0</v>
      </c>
      <c r="G48" s="481">
        <v>0</v>
      </c>
      <c r="H48" s="50"/>
      <c r="J48" s="443"/>
      <c r="K48" s="444"/>
      <c r="L48" s="444"/>
      <c r="M48" s="444"/>
      <c r="N48" s="444"/>
      <c r="O48" s="444"/>
      <c r="P48" s="444"/>
      <c r="Q48" s="444"/>
      <c r="R48" s="444"/>
      <c r="S48" s="444"/>
      <c r="T48" s="444"/>
      <c r="U48" s="444"/>
      <c r="V48" s="444"/>
      <c r="W48" s="445"/>
    </row>
    <row r="49" spans="2:23" ht="23.1" customHeight="1">
      <c r="B49" s="48"/>
      <c r="C49" s="361"/>
      <c r="D49" s="64"/>
      <c r="E49" s="333"/>
      <c r="F49" s="340"/>
      <c r="G49" s="353"/>
      <c r="H49" s="50"/>
      <c r="J49" s="443"/>
      <c r="K49" s="444"/>
      <c r="L49" s="444"/>
      <c r="M49" s="444"/>
      <c r="N49" s="444"/>
      <c r="O49" s="444"/>
      <c r="P49" s="444"/>
      <c r="Q49" s="444"/>
      <c r="R49" s="444"/>
      <c r="S49" s="444"/>
      <c r="T49" s="444"/>
      <c r="U49" s="444"/>
      <c r="V49" s="444"/>
      <c r="W49" s="445"/>
    </row>
    <row r="50" spans="2:23" s="77" customFormat="1" ht="23.1" customHeight="1">
      <c r="B50" s="24"/>
      <c r="C50" s="354" t="s">
        <v>177</v>
      </c>
      <c r="D50" s="86" t="s">
        <v>223</v>
      </c>
      <c r="E50" s="334">
        <f>E51+E52+E65+E75+E82+E89+E90</f>
        <v>7237873.3699999992</v>
      </c>
      <c r="F50" s="341">
        <f>F51+F52+F65+F75+F82+F89+F90</f>
        <v>2211593.4900000002</v>
      </c>
      <c r="G50" s="355">
        <f>G51+G52+G65+G75+G82+G89+G90</f>
        <v>2149032.2199999997</v>
      </c>
      <c r="H50" s="61"/>
      <c r="J50" s="443"/>
      <c r="K50" s="444"/>
      <c r="L50" s="444"/>
      <c r="M50" s="444"/>
      <c r="N50" s="444"/>
      <c r="O50" s="444"/>
      <c r="P50" s="444"/>
      <c r="Q50" s="444"/>
      <c r="R50" s="444"/>
      <c r="S50" s="444"/>
      <c r="T50" s="444"/>
      <c r="U50" s="444"/>
      <c r="V50" s="444"/>
      <c r="W50" s="445"/>
    </row>
    <row r="51" spans="2:23" ht="23.1" customHeight="1">
      <c r="B51" s="48"/>
      <c r="C51" s="356" t="s">
        <v>189</v>
      </c>
      <c r="D51" s="72" t="s">
        <v>224</v>
      </c>
      <c r="E51" s="479"/>
      <c r="F51" s="480"/>
      <c r="G51" s="481"/>
      <c r="H51" s="50"/>
      <c r="J51" s="443"/>
      <c r="K51" s="444"/>
      <c r="L51" s="444"/>
      <c r="M51" s="444"/>
      <c r="N51" s="444"/>
      <c r="O51" s="444"/>
      <c r="P51" s="444"/>
      <c r="Q51" s="444"/>
      <c r="R51" s="444"/>
      <c r="S51" s="444"/>
      <c r="T51" s="444"/>
      <c r="U51" s="444"/>
      <c r="V51" s="444"/>
      <c r="W51" s="445"/>
    </row>
    <row r="52" spans="2:23" ht="23.1" customHeight="1">
      <c r="B52" s="48"/>
      <c r="C52" s="356" t="s">
        <v>199</v>
      </c>
      <c r="D52" s="72" t="s">
        <v>225</v>
      </c>
      <c r="E52" s="335">
        <f>E53+E54+E57+E60+E63+E64</f>
        <v>45400.31</v>
      </c>
      <c r="F52" s="342">
        <f t="shared" ref="F52:G52" si="0">F53+F54+F57+F60+F63+F64</f>
        <v>45400.31</v>
      </c>
      <c r="G52" s="357">
        <f t="shared" si="0"/>
        <v>45400.31</v>
      </c>
      <c r="H52" s="50"/>
      <c r="J52" s="443"/>
      <c r="K52" s="444"/>
      <c r="L52" s="444"/>
      <c r="M52" s="444"/>
      <c r="N52" s="444"/>
      <c r="O52" s="444"/>
      <c r="P52" s="444"/>
      <c r="Q52" s="444"/>
      <c r="R52" s="444"/>
      <c r="S52" s="444"/>
      <c r="T52" s="444"/>
      <c r="U52" s="444"/>
      <c r="V52" s="444"/>
      <c r="W52" s="445"/>
    </row>
    <row r="53" spans="2:23" ht="23.1" customHeight="1">
      <c r="B53" s="48"/>
      <c r="C53" s="359" t="s">
        <v>88</v>
      </c>
      <c r="D53" s="74" t="s">
        <v>226</v>
      </c>
      <c r="E53" s="476">
        <v>45400.31</v>
      </c>
      <c r="F53" s="477">
        <v>45400.31</v>
      </c>
      <c r="G53" s="478">
        <v>45400.31</v>
      </c>
      <c r="H53" s="50"/>
      <c r="J53" s="443"/>
      <c r="K53" s="444"/>
      <c r="L53" s="444"/>
      <c r="M53" s="444"/>
      <c r="N53" s="444"/>
      <c r="O53" s="444"/>
      <c r="P53" s="444"/>
      <c r="Q53" s="444"/>
      <c r="R53" s="444"/>
      <c r="S53" s="444"/>
      <c r="T53" s="444"/>
      <c r="U53" s="444"/>
      <c r="V53" s="444"/>
      <c r="W53" s="445"/>
    </row>
    <row r="54" spans="2:23" ht="23.1" customHeight="1">
      <c r="B54" s="48"/>
      <c r="C54" s="359" t="s">
        <v>95</v>
      </c>
      <c r="D54" s="74" t="s">
        <v>227</v>
      </c>
      <c r="E54" s="336">
        <f>E55+E56</f>
        <v>0</v>
      </c>
      <c r="F54" s="343">
        <f t="shared" ref="F54:G54" si="1">F55+F56</f>
        <v>0</v>
      </c>
      <c r="G54" s="360">
        <f t="shared" si="1"/>
        <v>0</v>
      </c>
      <c r="H54" s="50"/>
      <c r="J54" s="443"/>
      <c r="K54" s="444"/>
      <c r="L54" s="444"/>
      <c r="M54" s="444"/>
      <c r="N54" s="444"/>
      <c r="O54" s="444"/>
      <c r="P54" s="444"/>
      <c r="Q54" s="444"/>
      <c r="R54" s="444"/>
      <c r="S54" s="444"/>
      <c r="T54" s="444"/>
      <c r="U54" s="444"/>
      <c r="V54" s="444"/>
      <c r="W54" s="445"/>
    </row>
    <row r="55" spans="2:23" ht="23.1" customHeight="1">
      <c r="B55" s="48"/>
      <c r="C55" s="362" t="s">
        <v>89</v>
      </c>
      <c r="D55" s="89" t="s">
        <v>251</v>
      </c>
      <c r="E55" s="745"/>
      <c r="F55" s="746"/>
      <c r="G55" s="747"/>
      <c r="H55" s="50"/>
      <c r="J55" s="443"/>
      <c r="K55" s="444"/>
      <c r="L55" s="444"/>
      <c r="M55" s="444"/>
      <c r="N55" s="444"/>
      <c r="O55" s="444"/>
      <c r="P55" s="444"/>
      <c r="Q55" s="444"/>
      <c r="R55" s="444"/>
      <c r="S55" s="444"/>
      <c r="T55" s="444"/>
      <c r="U55" s="444"/>
      <c r="V55" s="444"/>
      <c r="W55" s="445"/>
    </row>
    <row r="56" spans="2:23" ht="23.1" customHeight="1">
      <c r="B56" s="48"/>
      <c r="C56" s="362" t="s">
        <v>91</v>
      </c>
      <c r="D56" s="89" t="s">
        <v>252</v>
      </c>
      <c r="E56" s="745"/>
      <c r="F56" s="746"/>
      <c r="G56" s="747"/>
      <c r="H56" s="50"/>
      <c r="J56" s="443"/>
      <c r="K56" s="444"/>
      <c r="L56" s="444"/>
      <c r="M56" s="444"/>
      <c r="N56" s="444"/>
      <c r="O56" s="444"/>
      <c r="P56" s="444"/>
      <c r="Q56" s="444"/>
      <c r="R56" s="444"/>
      <c r="S56" s="444"/>
      <c r="T56" s="444"/>
      <c r="U56" s="444"/>
      <c r="V56" s="444"/>
      <c r="W56" s="445"/>
    </row>
    <row r="57" spans="2:23" ht="23.1" customHeight="1">
      <c r="B57" s="48"/>
      <c r="C57" s="359" t="s">
        <v>97</v>
      </c>
      <c r="D57" s="74" t="s">
        <v>228</v>
      </c>
      <c r="E57" s="336">
        <f>E58+E59</f>
        <v>0</v>
      </c>
      <c r="F57" s="343">
        <f t="shared" ref="F57:G57" si="2">F58+F59</f>
        <v>0</v>
      </c>
      <c r="G57" s="360">
        <f t="shared" si="2"/>
        <v>0</v>
      </c>
      <c r="H57" s="50"/>
      <c r="J57" s="443"/>
      <c r="K57" s="444"/>
      <c r="L57" s="444"/>
      <c r="M57" s="444"/>
      <c r="N57" s="444"/>
      <c r="O57" s="444"/>
      <c r="P57" s="444"/>
      <c r="Q57" s="444"/>
      <c r="R57" s="444"/>
      <c r="S57" s="444"/>
      <c r="T57" s="444"/>
      <c r="U57" s="444"/>
      <c r="V57" s="444"/>
      <c r="W57" s="445"/>
    </row>
    <row r="58" spans="2:23" ht="23.1" customHeight="1">
      <c r="B58" s="48"/>
      <c r="C58" s="362" t="s">
        <v>89</v>
      </c>
      <c r="D58" s="89" t="s">
        <v>229</v>
      </c>
      <c r="E58" s="745"/>
      <c r="F58" s="746"/>
      <c r="G58" s="747"/>
      <c r="H58" s="50"/>
      <c r="J58" s="443"/>
      <c r="K58" s="444"/>
      <c r="L58" s="444"/>
      <c r="M58" s="444"/>
      <c r="N58" s="444"/>
      <c r="O58" s="444"/>
      <c r="P58" s="444"/>
      <c r="Q58" s="444"/>
      <c r="R58" s="444"/>
      <c r="S58" s="444"/>
      <c r="T58" s="444"/>
      <c r="U58" s="444"/>
      <c r="V58" s="444"/>
      <c r="W58" s="445"/>
    </row>
    <row r="59" spans="2:23" ht="23.1" customHeight="1">
      <c r="B59" s="48"/>
      <c r="C59" s="362" t="s">
        <v>91</v>
      </c>
      <c r="D59" s="89" t="s">
        <v>230</v>
      </c>
      <c r="E59" s="745"/>
      <c r="F59" s="746"/>
      <c r="G59" s="747"/>
      <c r="H59" s="50"/>
      <c r="J59" s="443"/>
      <c r="K59" s="444"/>
      <c r="L59" s="444"/>
      <c r="M59" s="444"/>
      <c r="N59" s="444"/>
      <c r="O59" s="444"/>
      <c r="P59" s="444"/>
      <c r="Q59" s="444"/>
      <c r="R59" s="444"/>
      <c r="S59" s="444"/>
      <c r="T59" s="444"/>
      <c r="U59" s="444"/>
      <c r="V59" s="444"/>
      <c r="W59" s="445"/>
    </row>
    <row r="60" spans="2:23" ht="23.1" customHeight="1">
      <c r="B60" s="48"/>
      <c r="C60" s="359" t="s">
        <v>99</v>
      </c>
      <c r="D60" s="74" t="s">
        <v>231</v>
      </c>
      <c r="E60" s="336">
        <f>E61+E62</f>
        <v>0</v>
      </c>
      <c r="F60" s="343">
        <f t="shared" ref="F60:G60" si="3">F61+F62</f>
        <v>0</v>
      </c>
      <c r="G60" s="360">
        <f t="shared" si="3"/>
        <v>0</v>
      </c>
      <c r="H60" s="50"/>
      <c r="J60" s="443"/>
      <c r="K60" s="444"/>
      <c r="L60" s="444"/>
      <c r="M60" s="444"/>
      <c r="N60" s="444"/>
      <c r="O60" s="444"/>
      <c r="P60" s="444"/>
      <c r="Q60" s="444"/>
      <c r="R60" s="444"/>
      <c r="S60" s="444"/>
      <c r="T60" s="444"/>
      <c r="U60" s="444"/>
      <c r="V60" s="444"/>
      <c r="W60" s="445"/>
    </row>
    <row r="61" spans="2:23" ht="23.1" customHeight="1">
      <c r="B61" s="48"/>
      <c r="C61" s="362" t="s">
        <v>89</v>
      </c>
      <c r="D61" s="89" t="s">
        <v>229</v>
      </c>
      <c r="E61" s="745"/>
      <c r="F61" s="746"/>
      <c r="G61" s="747"/>
      <c r="H61" s="50"/>
      <c r="J61" s="443"/>
      <c r="K61" s="444"/>
      <c r="L61" s="444"/>
      <c r="M61" s="444"/>
      <c r="N61" s="444"/>
      <c r="O61" s="444"/>
      <c r="P61" s="444"/>
      <c r="Q61" s="444"/>
      <c r="R61" s="444"/>
      <c r="S61" s="444"/>
      <c r="T61" s="444"/>
      <c r="U61" s="444"/>
      <c r="V61" s="444"/>
      <c r="W61" s="445"/>
    </row>
    <row r="62" spans="2:23" ht="23.1" customHeight="1">
      <c r="B62" s="48"/>
      <c r="C62" s="362" t="s">
        <v>91</v>
      </c>
      <c r="D62" s="89" t="s">
        <v>230</v>
      </c>
      <c r="E62" s="745"/>
      <c r="F62" s="746"/>
      <c r="G62" s="747"/>
      <c r="H62" s="50"/>
      <c r="J62" s="443"/>
      <c r="K62" s="444"/>
      <c r="L62" s="444"/>
      <c r="M62" s="444"/>
      <c r="N62" s="444"/>
      <c r="O62" s="444"/>
      <c r="P62" s="444"/>
      <c r="Q62" s="444"/>
      <c r="R62" s="444"/>
      <c r="S62" s="444"/>
      <c r="T62" s="444"/>
      <c r="U62" s="444"/>
      <c r="V62" s="444"/>
      <c r="W62" s="445"/>
    </row>
    <row r="63" spans="2:23" ht="23.1" customHeight="1">
      <c r="B63" s="48"/>
      <c r="C63" s="359" t="s">
        <v>195</v>
      </c>
      <c r="D63" s="74" t="s">
        <v>232</v>
      </c>
      <c r="E63" s="476"/>
      <c r="F63" s="477"/>
      <c r="G63" s="478"/>
      <c r="H63" s="50"/>
      <c r="J63" s="443"/>
      <c r="K63" s="444"/>
      <c r="L63" s="444"/>
      <c r="M63" s="444"/>
      <c r="N63" s="444"/>
      <c r="O63" s="444"/>
      <c r="P63" s="444"/>
      <c r="Q63" s="444"/>
      <c r="R63" s="444"/>
      <c r="S63" s="444"/>
      <c r="T63" s="444"/>
      <c r="U63" s="444"/>
      <c r="V63" s="444"/>
      <c r="W63" s="445"/>
    </row>
    <row r="64" spans="2:23" ht="23.1" customHeight="1">
      <c r="B64" s="48"/>
      <c r="C64" s="359" t="s">
        <v>109</v>
      </c>
      <c r="D64" s="74" t="s">
        <v>233</v>
      </c>
      <c r="E64" s="476"/>
      <c r="F64" s="477"/>
      <c r="G64" s="478"/>
      <c r="H64" s="50"/>
      <c r="J64" s="443"/>
      <c r="K64" s="444"/>
      <c r="L64" s="444"/>
      <c r="M64" s="444"/>
      <c r="N64" s="444"/>
      <c r="O64" s="444"/>
      <c r="P64" s="444"/>
      <c r="Q64" s="444"/>
      <c r="R64" s="444"/>
      <c r="S64" s="444"/>
      <c r="T64" s="444"/>
      <c r="U64" s="444"/>
      <c r="V64" s="444"/>
      <c r="W64" s="445"/>
    </row>
    <row r="65" spans="2:23" ht="23.1" customHeight="1">
      <c r="B65" s="48"/>
      <c r="C65" s="356" t="s">
        <v>204</v>
      </c>
      <c r="D65" s="72" t="s">
        <v>234</v>
      </c>
      <c r="E65" s="335">
        <f>E66+SUM(E69:E74)</f>
        <v>5649089.1900000004</v>
      </c>
      <c r="F65" s="342">
        <f t="shared" ref="F65:G65" si="4">F66+SUM(F69:F74)</f>
        <v>1201193.1800000002</v>
      </c>
      <c r="G65" s="357">
        <f t="shared" si="4"/>
        <v>1002909.73</v>
      </c>
      <c r="H65" s="50"/>
      <c r="J65" s="1070"/>
      <c r="K65" s="1070"/>
      <c r="L65" s="444"/>
      <c r="M65" s="444"/>
      <c r="N65" s="444"/>
      <c r="O65" s="444"/>
      <c r="P65" s="444"/>
      <c r="Q65" s="444"/>
      <c r="R65" s="444"/>
      <c r="S65" s="444"/>
      <c r="T65" s="444"/>
      <c r="U65" s="444"/>
      <c r="V65" s="444"/>
      <c r="W65" s="445"/>
    </row>
    <row r="66" spans="2:23" ht="23.1" customHeight="1">
      <c r="B66" s="48"/>
      <c r="C66" s="359" t="s">
        <v>88</v>
      </c>
      <c r="D66" s="74" t="s">
        <v>235</v>
      </c>
      <c r="E66" s="336">
        <f>E67+E68</f>
        <v>507927.78</v>
      </c>
      <c r="F66" s="343">
        <f t="shared" ref="F66:G66" si="5">F67+F68</f>
        <v>1201193.1800000002</v>
      </c>
      <c r="G66" s="360">
        <f t="shared" si="5"/>
        <v>1002909.73</v>
      </c>
      <c r="H66" s="50"/>
      <c r="J66" s="443"/>
      <c r="K66" s="444"/>
      <c r="L66" s="444"/>
      <c r="M66" s="444"/>
      <c r="N66" s="444"/>
      <c r="O66" s="444"/>
      <c r="P66" s="444"/>
      <c r="Q66" s="444"/>
      <c r="R66" s="444"/>
      <c r="S66" s="444"/>
      <c r="T66" s="444"/>
      <c r="U66" s="444"/>
      <c r="V66" s="444"/>
      <c r="W66" s="445"/>
    </row>
    <row r="67" spans="2:23" ht="23.1" customHeight="1">
      <c r="B67" s="48"/>
      <c r="C67" s="362" t="s">
        <v>89</v>
      </c>
      <c r="D67" s="89" t="s">
        <v>236</v>
      </c>
      <c r="E67" s="745"/>
      <c r="F67" s="746"/>
      <c r="G67" s="747"/>
      <c r="H67" s="50"/>
      <c r="J67" s="443"/>
      <c r="K67" s="444"/>
      <c r="L67" s="444"/>
      <c r="M67" s="444"/>
      <c r="N67" s="444"/>
      <c r="O67" s="444"/>
      <c r="P67" s="444"/>
      <c r="Q67" s="444"/>
      <c r="R67" s="444"/>
      <c r="S67" s="444"/>
      <c r="T67" s="444"/>
      <c r="U67" s="444"/>
      <c r="V67" s="444"/>
      <c r="W67" s="445"/>
    </row>
    <row r="68" spans="2:23" ht="23.1" customHeight="1">
      <c r="B68" s="48"/>
      <c r="C68" s="362" t="s">
        <v>91</v>
      </c>
      <c r="D68" s="89" t="s">
        <v>237</v>
      </c>
      <c r="E68" s="745">
        <v>507927.78</v>
      </c>
      <c r="F68" s="746">
        <f>1199738.31+1457.87-3</f>
        <v>1201193.1800000002</v>
      </c>
      <c r="G68" s="747">
        <f>999999.99+2912.74-3</f>
        <v>1002909.73</v>
      </c>
      <c r="H68" s="50"/>
      <c r="J68" s="1070"/>
      <c r="K68" s="444"/>
      <c r="L68" s="444"/>
      <c r="M68" s="444"/>
      <c r="N68" s="444"/>
      <c r="O68" s="444"/>
      <c r="P68" s="444"/>
      <c r="Q68" s="444"/>
      <c r="R68" s="444"/>
      <c r="S68" s="444"/>
      <c r="T68" s="444"/>
      <c r="U68" s="444"/>
      <c r="V68" s="444"/>
      <c r="W68" s="445"/>
    </row>
    <row r="69" spans="2:23" ht="23.1" customHeight="1">
      <c r="B69" s="48"/>
      <c r="C69" s="359" t="s">
        <v>95</v>
      </c>
      <c r="D69" s="74" t="s">
        <v>238</v>
      </c>
      <c r="E69" s="476"/>
      <c r="F69" s="477"/>
      <c r="G69" s="478"/>
      <c r="H69" s="50"/>
      <c r="J69" s="443"/>
      <c r="K69" s="444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5"/>
    </row>
    <row r="70" spans="2:23" ht="23.1" customHeight="1">
      <c r="B70" s="48"/>
      <c r="C70" s="359" t="s">
        <v>97</v>
      </c>
      <c r="D70" s="74" t="s">
        <v>239</v>
      </c>
      <c r="E70" s="476">
        <v>5141161.41</v>
      </c>
      <c r="F70" s="477"/>
      <c r="G70" s="478"/>
      <c r="H70" s="50"/>
      <c r="J70" s="443"/>
      <c r="K70" s="444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5"/>
    </row>
    <row r="71" spans="2:23" ht="23.1" customHeight="1">
      <c r="B71" s="48"/>
      <c r="C71" s="359" t="s">
        <v>99</v>
      </c>
      <c r="D71" s="74" t="s">
        <v>62</v>
      </c>
      <c r="E71" s="476"/>
      <c r="F71" s="477"/>
      <c r="G71" s="478"/>
      <c r="H71" s="50"/>
      <c r="J71" s="443"/>
      <c r="K71" s="444"/>
      <c r="L71" s="444"/>
      <c r="M71" s="444"/>
      <c r="N71" s="444"/>
      <c r="O71" s="444"/>
      <c r="P71" s="444"/>
      <c r="Q71" s="444"/>
      <c r="R71" s="444"/>
      <c r="S71" s="444"/>
      <c r="T71" s="444"/>
      <c r="U71" s="444"/>
      <c r="V71" s="444"/>
      <c r="W71" s="445"/>
    </row>
    <row r="72" spans="2:23" ht="23.1" customHeight="1">
      <c r="B72" s="48"/>
      <c r="C72" s="359" t="s">
        <v>195</v>
      </c>
      <c r="D72" s="74" t="s">
        <v>240</v>
      </c>
      <c r="E72" s="476"/>
      <c r="F72" s="477"/>
      <c r="G72" s="478"/>
      <c r="H72" s="50"/>
      <c r="J72" s="443"/>
      <c r="K72" s="444"/>
      <c r="L72" s="444"/>
      <c r="M72" s="444"/>
      <c r="N72" s="444"/>
      <c r="O72" s="444"/>
      <c r="P72" s="444"/>
      <c r="Q72" s="444"/>
      <c r="R72" s="444"/>
      <c r="S72" s="444"/>
      <c r="T72" s="444"/>
      <c r="U72" s="444"/>
      <c r="V72" s="444"/>
      <c r="W72" s="445"/>
    </row>
    <row r="73" spans="2:23" ht="23.1" customHeight="1">
      <c r="B73" s="48"/>
      <c r="C73" s="359" t="s">
        <v>109</v>
      </c>
      <c r="D73" s="74" t="s">
        <v>241</v>
      </c>
      <c r="E73" s="476"/>
      <c r="F73" s="477"/>
      <c r="G73" s="478"/>
      <c r="H73" s="50"/>
      <c r="J73" s="443"/>
      <c r="K73" s="444"/>
      <c r="L73" s="444"/>
      <c r="M73" s="444"/>
      <c r="N73" s="444"/>
      <c r="O73" s="444"/>
      <c r="P73" s="444"/>
      <c r="Q73" s="444"/>
      <c r="R73" s="444"/>
      <c r="S73" s="444"/>
      <c r="T73" s="444"/>
      <c r="U73" s="444"/>
      <c r="V73" s="444"/>
      <c r="W73" s="445"/>
    </row>
    <row r="74" spans="2:23" ht="23.1" customHeight="1">
      <c r="B74" s="48"/>
      <c r="C74" s="359" t="s">
        <v>114</v>
      </c>
      <c r="D74" s="74" t="s">
        <v>242</v>
      </c>
      <c r="E74" s="476"/>
      <c r="F74" s="477"/>
      <c r="G74" s="478"/>
      <c r="H74" s="50"/>
      <c r="J74" s="443"/>
      <c r="K74" s="444"/>
      <c r="L74" s="444"/>
      <c r="M74" s="444"/>
      <c r="N74" s="444"/>
      <c r="O74" s="444"/>
      <c r="P74" s="444"/>
      <c r="Q74" s="444"/>
      <c r="R74" s="444"/>
      <c r="S74" s="444"/>
      <c r="T74" s="444"/>
      <c r="U74" s="444"/>
      <c r="V74" s="444"/>
      <c r="W74" s="445"/>
    </row>
    <row r="75" spans="2:23" ht="23.1" customHeight="1">
      <c r="B75" s="48"/>
      <c r="C75" s="356" t="s">
        <v>208</v>
      </c>
      <c r="D75" s="72" t="s">
        <v>243</v>
      </c>
      <c r="E75" s="335">
        <f>SUM(E76:E81)</f>
        <v>0</v>
      </c>
      <c r="F75" s="342">
        <f t="shared" ref="F75:G75" si="6">SUM(F76:F81)</f>
        <v>0</v>
      </c>
      <c r="G75" s="357">
        <f t="shared" si="6"/>
        <v>0</v>
      </c>
      <c r="H75" s="50"/>
      <c r="J75" s="443"/>
      <c r="K75" s="444"/>
      <c r="L75" s="444"/>
      <c r="M75" s="444"/>
      <c r="N75" s="444"/>
      <c r="O75" s="444"/>
      <c r="P75" s="444"/>
      <c r="Q75" s="444"/>
      <c r="R75" s="444"/>
      <c r="S75" s="444"/>
      <c r="T75" s="444"/>
      <c r="U75" s="444"/>
      <c r="V75" s="444"/>
      <c r="W75" s="445"/>
    </row>
    <row r="76" spans="2:23" ht="23.1" customHeight="1">
      <c r="B76" s="48"/>
      <c r="C76" s="359" t="s">
        <v>88</v>
      </c>
      <c r="D76" s="74" t="s">
        <v>210</v>
      </c>
      <c r="E76" s="476"/>
      <c r="F76" s="477"/>
      <c r="G76" s="478"/>
      <c r="H76" s="50"/>
      <c r="J76" s="443"/>
      <c r="K76" s="444"/>
      <c r="L76" s="444"/>
      <c r="M76" s="444"/>
      <c r="N76" s="444"/>
      <c r="O76" s="444"/>
      <c r="P76" s="444"/>
      <c r="Q76" s="444"/>
      <c r="R76" s="444"/>
      <c r="S76" s="444"/>
      <c r="T76" s="444"/>
      <c r="U76" s="444"/>
      <c r="V76" s="444"/>
      <c r="W76" s="445"/>
    </row>
    <row r="77" spans="2:23" ht="23.1" customHeight="1">
      <c r="B77" s="48"/>
      <c r="C77" s="359" t="s">
        <v>95</v>
      </c>
      <c r="D77" s="74" t="s">
        <v>211</v>
      </c>
      <c r="E77" s="476"/>
      <c r="F77" s="477"/>
      <c r="G77" s="478"/>
      <c r="H77" s="50"/>
      <c r="J77" s="443"/>
      <c r="K77" s="444"/>
      <c r="L77" s="444"/>
      <c r="M77" s="444"/>
      <c r="N77" s="444"/>
      <c r="O77" s="444"/>
      <c r="P77" s="444"/>
      <c r="Q77" s="444"/>
      <c r="R77" s="444"/>
      <c r="S77" s="444"/>
      <c r="T77" s="444"/>
      <c r="U77" s="444"/>
      <c r="V77" s="444"/>
      <c r="W77" s="445"/>
    </row>
    <row r="78" spans="2:23" ht="23.1" customHeight="1">
      <c r="B78" s="48"/>
      <c r="C78" s="359" t="s">
        <v>97</v>
      </c>
      <c r="D78" s="74" t="s">
        <v>212</v>
      </c>
      <c r="E78" s="476"/>
      <c r="F78" s="477"/>
      <c r="G78" s="478"/>
      <c r="H78" s="50"/>
      <c r="J78" s="443"/>
      <c r="K78" s="444"/>
      <c r="L78" s="444"/>
      <c r="M78" s="444"/>
      <c r="N78" s="444"/>
      <c r="O78" s="444"/>
      <c r="P78" s="444"/>
      <c r="Q78" s="444"/>
      <c r="R78" s="444"/>
      <c r="S78" s="444"/>
      <c r="T78" s="444"/>
      <c r="U78" s="444"/>
      <c r="V78" s="444"/>
      <c r="W78" s="445"/>
    </row>
    <row r="79" spans="2:23" ht="23.1" customHeight="1">
      <c r="B79" s="48"/>
      <c r="C79" s="359" t="s">
        <v>99</v>
      </c>
      <c r="D79" s="74" t="s">
        <v>213</v>
      </c>
      <c r="E79" s="476"/>
      <c r="F79" s="477"/>
      <c r="G79" s="478"/>
      <c r="H79" s="50"/>
      <c r="J79" s="443"/>
      <c r="K79" s="444"/>
      <c r="L79" s="444"/>
      <c r="M79" s="444"/>
      <c r="N79" s="444"/>
      <c r="O79" s="444"/>
      <c r="P79" s="444"/>
      <c r="Q79" s="444"/>
      <c r="R79" s="444"/>
      <c r="S79" s="444"/>
      <c r="T79" s="444"/>
      <c r="U79" s="444"/>
      <c r="V79" s="444"/>
      <c r="W79" s="445"/>
    </row>
    <row r="80" spans="2:23" ht="23.1" customHeight="1">
      <c r="B80" s="48"/>
      <c r="C80" s="359" t="s">
        <v>195</v>
      </c>
      <c r="D80" s="74" t="s">
        <v>214</v>
      </c>
      <c r="E80" s="476"/>
      <c r="F80" s="477"/>
      <c r="G80" s="478"/>
      <c r="H80" s="50"/>
      <c r="J80" s="443"/>
      <c r="K80" s="444"/>
      <c r="L80" s="444"/>
      <c r="M80" s="444"/>
      <c r="N80" s="444"/>
      <c r="O80" s="444"/>
      <c r="P80" s="444"/>
      <c r="Q80" s="444"/>
      <c r="R80" s="444"/>
      <c r="S80" s="444"/>
      <c r="T80" s="444"/>
      <c r="U80" s="444"/>
      <c r="V80" s="444"/>
      <c r="W80" s="445"/>
    </row>
    <row r="81" spans="2:23" ht="23.1" customHeight="1">
      <c r="B81" s="48"/>
      <c r="C81" s="359" t="s">
        <v>109</v>
      </c>
      <c r="D81" s="74" t="s">
        <v>215</v>
      </c>
      <c r="E81" s="476"/>
      <c r="F81" s="477"/>
      <c r="G81" s="478"/>
      <c r="H81" s="50"/>
      <c r="J81" s="443"/>
      <c r="K81" s="444"/>
      <c r="L81" s="444"/>
      <c r="M81" s="444"/>
      <c r="N81" s="444"/>
      <c r="O81" s="444"/>
      <c r="P81" s="444"/>
      <c r="Q81" s="444"/>
      <c r="R81" s="444"/>
      <c r="S81" s="444"/>
      <c r="T81" s="444"/>
      <c r="U81" s="444"/>
      <c r="V81" s="444"/>
      <c r="W81" s="445"/>
    </row>
    <row r="82" spans="2:23" ht="23.1" customHeight="1">
      <c r="B82" s="48"/>
      <c r="C82" s="356" t="s">
        <v>216</v>
      </c>
      <c r="D82" s="72" t="s">
        <v>244</v>
      </c>
      <c r="E82" s="335">
        <f>SUM(E83:E88)</f>
        <v>0</v>
      </c>
      <c r="F82" s="342">
        <f t="shared" ref="F82:G82" si="7">SUM(F83:F88)</f>
        <v>0</v>
      </c>
      <c r="G82" s="357">
        <f t="shared" si="7"/>
        <v>0</v>
      </c>
      <c r="H82" s="50"/>
      <c r="J82" s="443"/>
      <c r="K82" s="444"/>
      <c r="L82" s="444"/>
      <c r="M82" s="444"/>
      <c r="N82" s="444"/>
      <c r="O82" s="444"/>
      <c r="P82" s="444"/>
      <c r="Q82" s="444"/>
      <c r="R82" s="444"/>
      <c r="S82" s="444"/>
      <c r="T82" s="444"/>
      <c r="U82" s="444"/>
      <c r="V82" s="444"/>
      <c r="W82" s="445"/>
    </row>
    <row r="83" spans="2:23" ht="23.1" customHeight="1">
      <c r="B83" s="48"/>
      <c r="C83" s="359" t="s">
        <v>88</v>
      </c>
      <c r="D83" s="74" t="s">
        <v>210</v>
      </c>
      <c r="E83" s="476"/>
      <c r="F83" s="477"/>
      <c r="G83" s="478"/>
      <c r="H83" s="50"/>
      <c r="J83" s="443"/>
      <c r="K83" s="444"/>
      <c r="L83" s="444"/>
      <c r="M83" s="444"/>
      <c r="N83" s="444"/>
      <c r="O83" s="444"/>
      <c r="P83" s="444"/>
      <c r="Q83" s="444"/>
      <c r="R83" s="444"/>
      <c r="S83" s="444"/>
      <c r="T83" s="444"/>
      <c r="U83" s="444"/>
      <c r="V83" s="444"/>
      <c r="W83" s="445"/>
    </row>
    <row r="84" spans="2:23" ht="23.1" customHeight="1">
      <c r="B84" s="48"/>
      <c r="C84" s="359" t="s">
        <v>95</v>
      </c>
      <c r="D84" s="74" t="s">
        <v>211</v>
      </c>
      <c r="E84" s="476"/>
      <c r="F84" s="477"/>
      <c r="G84" s="478"/>
      <c r="H84" s="50"/>
      <c r="J84" s="443"/>
      <c r="K84" s="444"/>
      <c r="L84" s="444"/>
      <c r="M84" s="444"/>
      <c r="N84" s="444"/>
      <c r="O84" s="444"/>
      <c r="P84" s="444"/>
      <c r="Q84" s="444"/>
      <c r="R84" s="444"/>
      <c r="S84" s="444"/>
      <c r="T84" s="444"/>
      <c r="U84" s="444"/>
      <c r="V84" s="444"/>
      <c r="W84" s="445"/>
    </row>
    <row r="85" spans="2:23" ht="23.1" customHeight="1">
      <c r="B85" s="48"/>
      <c r="C85" s="359" t="s">
        <v>97</v>
      </c>
      <c r="D85" s="74" t="s">
        <v>212</v>
      </c>
      <c r="E85" s="476"/>
      <c r="F85" s="477"/>
      <c r="G85" s="478"/>
      <c r="H85" s="50"/>
      <c r="J85" s="443"/>
      <c r="K85" s="444"/>
      <c r="L85" s="444"/>
      <c r="M85" s="444"/>
      <c r="N85" s="444"/>
      <c r="O85" s="444"/>
      <c r="P85" s="444"/>
      <c r="Q85" s="444"/>
      <c r="R85" s="444"/>
      <c r="S85" s="444"/>
      <c r="T85" s="444"/>
      <c r="U85" s="444"/>
      <c r="V85" s="444"/>
      <c r="W85" s="445"/>
    </row>
    <row r="86" spans="2:23" ht="23.1" customHeight="1">
      <c r="B86" s="48"/>
      <c r="C86" s="359" t="s">
        <v>99</v>
      </c>
      <c r="D86" s="74" t="s">
        <v>213</v>
      </c>
      <c r="E86" s="476"/>
      <c r="F86" s="477"/>
      <c r="G86" s="478"/>
      <c r="H86" s="50"/>
      <c r="J86" s="443"/>
      <c r="K86" s="444"/>
      <c r="L86" s="444"/>
      <c r="M86" s="444"/>
      <c r="N86" s="444"/>
      <c r="O86" s="444"/>
      <c r="P86" s="444"/>
      <c r="Q86" s="444"/>
      <c r="R86" s="444"/>
      <c r="S86" s="444"/>
      <c r="T86" s="444"/>
      <c r="U86" s="444"/>
      <c r="V86" s="444"/>
      <c r="W86" s="445"/>
    </row>
    <row r="87" spans="2:23" ht="23.1" customHeight="1">
      <c r="B87" s="48"/>
      <c r="C87" s="359" t="s">
        <v>195</v>
      </c>
      <c r="D87" s="74" t="s">
        <v>214</v>
      </c>
      <c r="E87" s="476"/>
      <c r="F87" s="477"/>
      <c r="G87" s="478"/>
      <c r="H87" s="50"/>
      <c r="J87" s="443"/>
      <c r="K87" s="444"/>
      <c r="L87" s="444"/>
      <c r="M87" s="444"/>
      <c r="N87" s="444"/>
      <c r="O87" s="444"/>
      <c r="P87" s="444"/>
      <c r="Q87" s="444"/>
      <c r="R87" s="444"/>
      <c r="S87" s="444"/>
      <c r="T87" s="444"/>
      <c r="U87" s="444"/>
      <c r="V87" s="444"/>
      <c r="W87" s="445"/>
    </row>
    <row r="88" spans="2:23" ht="23.1" customHeight="1">
      <c r="B88" s="48"/>
      <c r="C88" s="359" t="s">
        <v>109</v>
      </c>
      <c r="D88" s="74" t="s">
        <v>215</v>
      </c>
      <c r="E88" s="476"/>
      <c r="F88" s="477"/>
      <c r="G88" s="478"/>
      <c r="H88" s="50"/>
      <c r="J88" s="443"/>
      <c r="K88" s="444"/>
      <c r="L88" s="444"/>
      <c r="M88" s="444"/>
      <c r="N88" s="444"/>
      <c r="O88" s="444"/>
      <c r="P88" s="444"/>
      <c r="Q88" s="444"/>
      <c r="R88" s="444"/>
      <c r="S88" s="444"/>
      <c r="T88" s="444"/>
      <c r="U88" s="444"/>
      <c r="V88" s="444"/>
      <c r="W88" s="445"/>
    </row>
    <row r="89" spans="2:23" s="77" customFormat="1" ht="23.1" customHeight="1">
      <c r="B89" s="24"/>
      <c r="C89" s="356" t="s">
        <v>219</v>
      </c>
      <c r="D89" s="72" t="s">
        <v>245</v>
      </c>
      <c r="E89" s="479">
        <v>35888.85</v>
      </c>
      <c r="F89" s="480">
        <v>250000</v>
      </c>
      <c r="G89" s="481">
        <v>250000</v>
      </c>
      <c r="H89" s="61"/>
      <c r="J89" s="443"/>
      <c r="K89" s="444"/>
      <c r="L89" s="444"/>
      <c r="M89" s="444"/>
      <c r="N89" s="444"/>
      <c r="O89" s="444"/>
      <c r="P89" s="444"/>
      <c r="Q89" s="444"/>
      <c r="R89" s="444"/>
      <c r="S89" s="444"/>
      <c r="T89" s="444"/>
      <c r="U89" s="444"/>
      <c r="V89" s="444"/>
      <c r="W89" s="445"/>
    </row>
    <row r="90" spans="2:23" ht="23.1" customHeight="1">
      <c r="B90" s="48"/>
      <c r="C90" s="356" t="s">
        <v>221</v>
      </c>
      <c r="D90" s="72" t="s">
        <v>246</v>
      </c>
      <c r="E90" s="335">
        <f>SUM(E91:E92)</f>
        <v>1507495.02</v>
      </c>
      <c r="F90" s="342">
        <f t="shared" ref="F90:G90" si="8">SUM(F91:F92)</f>
        <v>715000</v>
      </c>
      <c r="G90" s="357">
        <f t="shared" si="8"/>
        <v>850722.17999999993</v>
      </c>
      <c r="H90" s="50"/>
      <c r="J90" s="443"/>
      <c r="K90" s="444"/>
      <c r="L90" s="444"/>
      <c r="M90" s="444"/>
      <c r="N90" s="444"/>
      <c r="O90" s="444"/>
      <c r="P90" s="444"/>
      <c r="Q90" s="444"/>
      <c r="R90" s="444"/>
      <c r="S90" s="444"/>
      <c r="T90" s="444"/>
      <c r="U90" s="444"/>
      <c r="V90" s="444"/>
      <c r="W90" s="445"/>
    </row>
    <row r="91" spans="2:23" ht="23.1" customHeight="1">
      <c r="B91" s="48"/>
      <c r="C91" s="359" t="s">
        <v>88</v>
      </c>
      <c r="D91" s="74" t="s">
        <v>247</v>
      </c>
      <c r="E91" s="476">
        <v>1507495.02</v>
      </c>
      <c r="F91" s="477">
        <v>715000</v>
      </c>
      <c r="G91" s="478">
        <f>715000+135722.18</f>
        <v>850722.17999999993</v>
      </c>
      <c r="H91" s="50"/>
      <c r="J91" s="443"/>
      <c r="K91" s="444"/>
      <c r="L91" s="444"/>
      <c r="M91" s="444"/>
      <c r="N91" s="444"/>
      <c r="O91" s="444"/>
      <c r="P91" s="444"/>
      <c r="Q91" s="444"/>
      <c r="R91" s="444"/>
      <c r="S91" s="444"/>
      <c r="T91" s="444"/>
      <c r="U91" s="444"/>
      <c r="V91" s="444"/>
      <c r="W91" s="445"/>
    </row>
    <row r="92" spans="2:23" ht="23.1" customHeight="1">
      <c r="B92" s="48"/>
      <c r="C92" s="363" t="s">
        <v>95</v>
      </c>
      <c r="D92" s="364" t="s">
        <v>248</v>
      </c>
      <c r="E92" s="482"/>
      <c r="F92" s="483"/>
      <c r="G92" s="484"/>
      <c r="H92" s="50"/>
      <c r="J92" s="443"/>
      <c r="K92" s="444"/>
      <c r="L92" s="444"/>
      <c r="M92" s="444"/>
      <c r="N92" s="444"/>
      <c r="O92" s="444"/>
      <c r="P92" s="444"/>
      <c r="Q92" s="444"/>
      <c r="R92" s="444"/>
      <c r="S92" s="444"/>
      <c r="T92" s="444"/>
      <c r="U92" s="444"/>
      <c r="V92" s="444"/>
      <c r="W92" s="445"/>
    </row>
    <row r="93" spans="2:23" ht="23.1" customHeight="1">
      <c r="B93" s="48"/>
      <c r="C93" s="328"/>
      <c r="D93" s="64"/>
      <c r="E93" s="337"/>
      <c r="F93" s="344"/>
      <c r="G93" s="329"/>
      <c r="H93" s="50"/>
      <c r="J93" s="443"/>
      <c r="K93" s="444"/>
      <c r="L93" s="444"/>
      <c r="M93" s="444"/>
      <c r="N93" s="444"/>
      <c r="O93" s="444"/>
      <c r="P93" s="444"/>
      <c r="Q93" s="444"/>
      <c r="R93" s="444"/>
      <c r="S93" s="444"/>
      <c r="T93" s="444"/>
      <c r="U93" s="444"/>
      <c r="V93" s="444"/>
      <c r="W93" s="445"/>
    </row>
    <row r="94" spans="2:23" s="84" customFormat="1" ht="23.1" customHeight="1" thickBot="1">
      <c r="B94" s="82"/>
      <c r="C94" s="152" t="s">
        <v>253</v>
      </c>
      <c r="D94" s="81"/>
      <c r="E94" s="338">
        <f>E50+E16</f>
        <v>8051978.379999999</v>
      </c>
      <c r="F94" s="345">
        <f t="shared" ref="F94:G94" si="9">F50+F16</f>
        <v>3007729.95</v>
      </c>
      <c r="G94" s="330">
        <f t="shared" si="9"/>
        <v>2895699.13</v>
      </c>
      <c r="H94" s="83"/>
      <c r="J94" s="443"/>
      <c r="K94" s="444"/>
      <c r="L94" s="444"/>
      <c r="M94" s="444"/>
      <c r="N94" s="444"/>
      <c r="O94" s="444"/>
      <c r="P94" s="444"/>
      <c r="Q94" s="444"/>
      <c r="R94" s="444"/>
      <c r="S94" s="444"/>
      <c r="T94" s="444"/>
      <c r="U94" s="444"/>
      <c r="V94" s="444"/>
      <c r="W94" s="445"/>
    </row>
    <row r="95" spans="2:23" ht="23.1" customHeight="1" thickBot="1">
      <c r="B95" s="52"/>
      <c r="C95" s="1134"/>
      <c r="D95" s="1134"/>
      <c r="E95" s="1134"/>
      <c r="F95" s="1134"/>
      <c r="G95" s="54"/>
      <c r="H95" s="55"/>
      <c r="J95" s="446"/>
      <c r="K95" s="447"/>
      <c r="L95" s="447"/>
      <c r="M95" s="447"/>
      <c r="N95" s="447"/>
      <c r="O95" s="447"/>
      <c r="P95" s="447"/>
      <c r="Q95" s="447"/>
      <c r="R95" s="447"/>
      <c r="S95" s="447"/>
      <c r="T95" s="447"/>
      <c r="U95" s="447"/>
      <c r="V95" s="447"/>
      <c r="W95" s="448"/>
    </row>
    <row r="96" spans="2:23" ht="23.1" customHeight="1">
      <c r="C96" s="44"/>
      <c r="D96" s="44"/>
      <c r="E96" s="44"/>
      <c r="F96" s="44"/>
      <c r="G96" s="44"/>
    </row>
    <row r="97" spans="3:7" ht="13.2">
      <c r="C97" s="37" t="s">
        <v>77</v>
      </c>
      <c r="D97" s="44"/>
      <c r="E97" s="44"/>
      <c r="F97" s="44"/>
      <c r="G97" s="41" t="s">
        <v>705</v>
      </c>
    </row>
    <row r="98" spans="3:7" ht="13.2">
      <c r="C98" s="38" t="s">
        <v>78</v>
      </c>
      <c r="D98" s="44"/>
      <c r="E98" s="44"/>
      <c r="F98" s="44"/>
      <c r="G98" s="44"/>
    </row>
    <row r="99" spans="3:7" ht="13.2">
      <c r="C99" s="38" t="s">
        <v>79</v>
      </c>
      <c r="D99" s="44"/>
      <c r="E99" s="44"/>
      <c r="F99" s="44"/>
      <c r="G99" s="44"/>
    </row>
    <row r="100" spans="3:7" ht="13.2">
      <c r="C100" s="38" t="s">
        <v>80</v>
      </c>
      <c r="D100" s="44"/>
      <c r="E100" s="44"/>
      <c r="F100" s="44"/>
      <c r="G100" s="44"/>
    </row>
    <row r="101" spans="3:7" ht="13.2">
      <c r="C101" s="38" t="s">
        <v>81</v>
      </c>
      <c r="D101" s="44"/>
      <c r="E101" s="44"/>
      <c r="F101" s="44"/>
      <c r="G101" s="44"/>
    </row>
    <row r="102" spans="3:7" ht="66" customHeight="1">
      <c r="C102" s="44"/>
      <c r="D102" s="44"/>
      <c r="E102" s="757"/>
      <c r="F102" s="749"/>
      <c r="G102" s="749"/>
    </row>
    <row r="103" spans="3:7" ht="23.1" customHeight="1">
      <c r="C103" s="44"/>
      <c r="D103" s="44"/>
      <c r="E103" s="44"/>
      <c r="F103" s="44"/>
      <c r="G103" s="44"/>
    </row>
    <row r="104" spans="3:7" ht="23.1" customHeight="1">
      <c r="C104" s="44"/>
      <c r="D104" s="44"/>
      <c r="E104" s="44"/>
      <c r="F104" s="44"/>
      <c r="G104" s="44"/>
    </row>
    <row r="105" spans="3:7" ht="23.1" customHeight="1">
      <c r="C105" s="44"/>
      <c r="D105" s="44"/>
      <c r="E105" s="44"/>
      <c r="F105" s="44"/>
      <c r="G105" s="44"/>
    </row>
    <row r="106" spans="3:7" ht="23.1" customHeight="1">
      <c r="F106" s="44"/>
      <c r="G106" s="44"/>
    </row>
  </sheetData>
  <sheetProtection password="E059" sheet="1" objects="1" scenarios="1"/>
  <mergeCells count="3">
    <mergeCell ref="G6:G7"/>
    <mergeCell ref="D9:G9"/>
    <mergeCell ref="C95:F95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8"/>
  <sheetViews>
    <sheetView zoomScale="55" zoomScaleNormal="55" zoomScalePageLayoutView="85" workbookViewId="0">
      <selection activeCell="G46" sqref="G46"/>
    </sheetView>
  </sheetViews>
  <sheetFormatPr baseColWidth="10" defaultColWidth="10.90625" defaultRowHeight="23.1" customHeight="1"/>
  <cols>
    <col min="1" max="2" width="3.08984375" style="42" customWidth="1"/>
    <col min="3" max="3" width="13.54296875" style="42" customWidth="1"/>
    <col min="4" max="4" width="76.90625" style="42" customWidth="1"/>
    <col min="5" max="7" width="18.08984375" style="42" customWidth="1"/>
    <col min="8" max="8" width="3.08984375" style="42" customWidth="1"/>
    <col min="9" max="16384" width="10.90625" style="42"/>
  </cols>
  <sheetData>
    <row r="1" spans="2:23" ht="23.1" customHeight="1">
      <c r="D1" s="44"/>
    </row>
    <row r="2" spans="2:23" ht="23.1" customHeight="1">
      <c r="D2" s="66" t="s">
        <v>31</v>
      </c>
    </row>
    <row r="3" spans="2:23" ht="23.1" customHeight="1">
      <c r="D3" s="66" t="s">
        <v>32</v>
      </c>
    </row>
    <row r="4" spans="2:23" ht="23.1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427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9"/>
    </row>
    <row r="6" spans="2:23" ht="30" customHeight="1">
      <c r="B6" s="48"/>
      <c r="C6" s="1" t="s">
        <v>0</v>
      </c>
      <c r="D6" s="44"/>
      <c r="E6" s="44"/>
      <c r="F6" s="44"/>
      <c r="G6" s="1111">
        <f>ejercicio</f>
        <v>2018</v>
      </c>
      <c r="H6" s="50"/>
      <c r="J6" s="430"/>
      <c r="K6" s="431" t="s">
        <v>707</v>
      </c>
      <c r="L6" s="432"/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3"/>
    </row>
    <row r="7" spans="2:23" ht="30" customHeight="1">
      <c r="B7" s="48"/>
      <c r="C7" s="1" t="s">
        <v>1</v>
      </c>
      <c r="D7" s="44"/>
      <c r="E7" s="44"/>
      <c r="F7" s="44"/>
      <c r="G7" s="1111"/>
      <c r="H7" s="50"/>
      <c r="J7" s="430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3"/>
    </row>
    <row r="8" spans="2:23" ht="30" customHeight="1">
      <c r="B8" s="48"/>
      <c r="C8" s="49"/>
      <c r="D8" s="44"/>
      <c r="E8" s="44"/>
      <c r="F8" s="44"/>
      <c r="G8" s="51"/>
      <c r="H8" s="50"/>
      <c r="J8" s="430"/>
      <c r="K8" s="432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3"/>
    </row>
    <row r="9" spans="2:23" s="60" customFormat="1" ht="30" customHeight="1">
      <c r="B9" s="58"/>
      <c r="C9" s="39" t="s">
        <v>2</v>
      </c>
      <c r="D9" s="1135" t="str">
        <f>Entidad</f>
        <v>SPET, Turismo de Tenerife, S.A.</v>
      </c>
      <c r="E9" s="1135"/>
      <c r="F9" s="1135"/>
      <c r="G9" s="1135"/>
      <c r="H9" s="59"/>
      <c r="J9" s="434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6"/>
    </row>
    <row r="10" spans="2:23" ht="7.35" customHeight="1">
      <c r="B10" s="48"/>
      <c r="C10" s="44"/>
      <c r="D10" s="44"/>
      <c r="E10" s="44"/>
      <c r="F10" s="44"/>
      <c r="G10" s="44"/>
      <c r="H10" s="50"/>
      <c r="J10" s="430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3"/>
    </row>
    <row r="11" spans="2:23" s="62" customFormat="1" ht="30" customHeight="1">
      <c r="B11" s="24"/>
      <c r="C11" s="11" t="s">
        <v>255</v>
      </c>
      <c r="D11" s="11"/>
      <c r="E11" s="11"/>
      <c r="F11" s="11"/>
      <c r="G11" s="11"/>
      <c r="H11" s="61"/>
      <c r="J11" s="437"/>
      <c r="K11" s="438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9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37"/>
      <c r="K12" s="438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439"/>
    </row>
    <row r="13" spans="2:23" ht="23.1" customHeight="1">
      <c r="B13" s="48"/>
      <c r="C13" s="213"/>
      <c r="D13" s="214"/>
      <c r="E13" s="215" t="s">
        <v>183</v>
      </c>
      <c r="F13" s="215" t="s">
        <v>184</v>
      </c>
      <c r="G13" s="216" t="s">
        <v>185</v>
      </c>
      <c r="H13" s="50"/>
      <c r="J13" s="430"/>
      <c r="K13" s="432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3"/>
    </row>
    <row r="14" spans="2:23" ht="23.1" customHeight="1">
      <c r="B14" s="48"/>
      <c r="C14" s="217" t="s">
        <v>394</v>
      </c>
      <c r="D14" s="70"/>
      <c r="E14" s="218">
        <f>ejercicio-2</f>
        <v>2016</v>
      </c>
      <c r="F14" s="218">
        <f>ejercicio-1</f>
        <v>2017</v>
      </c>
      <c r="G14" s="219">
        <f>ejercicio</f>
        <v>2018</v>
      </c>
      <c r="H14" s="50"/>
      <c r="J14" s="430"/>
      <c r="K14" s="432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3"/>
    </row>
    <row r="15" spans="2:23" ht="23.1" customHeight="1">
      <c r="B15" s="48"/>
      <c r="C15" s="139"/>
      <c r="D15" s="88"/>
      <c r="E15" s="132"/>
      <c r="F15" s="132"/>
      <c r="G15" s="140"/>
      <c r="H15" s="50"/>
      <c r="J15" s="430"/>
      <c r="K15" s="432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3"/>
    </row>
    <row r="16" spans="2:23" ht="23.1" customHeight="1">
      <c r="B16" s="48"/>
      <c r="C16" s="141" t="s">
        <v>86</v>
      </c>
      <c r="D16" s="86" t="s">
        <v>256</v>
      </c>
      <c r="E16" s="133">
        <f>E17+E35+E41</f>
        <v>1038990.8300000004</v>
      </c>
      <c r="F16" s="133">
        <f>F17+F35+F41</f>
        <v>1034622.4300000002</v>
      </c>
      <c r="G16" s="142">
        <f>G17+G35+G41</f>
        <v>1165976.2099999997</v>
      </c>
      <c r="H16" s="50"/>
      <c r="J16" s="430"/>
      <c r="K16" s="432"/>
      <c r="L16" s="432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3"/>
    </row>
    <row r="17" spans="2:23" ht="23.1" customHeight="1">
      <c r="B17" s="48"/>
      <c r="C17" s="143" t="s">
        <v>136</v>
      </c>
      <c r="D17" s="72" t="s">
        <v>257</v>
      </c>
      <c r="E17" s="134">
        <f>+E18+E21+E22+E27+E28+E31+E32+E33+E34</f>
        <v>898765.69000000041</v>
      </c>
      <c r="F17" s="134">
        <f>+F18+F21+F22+F27+F28+F31+F32+F33+F34</f>
        <v>898765.69000000018</v>
      </c>
      <c r="G17" s="144">
        <f>+G18+G21+G22+G27+G28+G31+G32+G33+G34</f>
        <v>1034487.8699999996</v>
      </c>
      <c r="H17" s="50"/>
      <c r="J17" s="430"/>
      <c r="K17" s="432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3"/>
    </row>
    <row r="18" spans="2:23" ht="23.1" customHeight="1">
      <c r="B18" s="48"/>
      <c r="C18" s="143" t="s">
        <v>189</v>
      </c>
      <c r="D18" s="72" t="s">
        <v>258</v>
      </c>
      <c r="E18" s="134">
        <f>SUM(E19:E20)</f>
        <v>691163.8</v>
      </c>
      <c r="F18" s="134">
        <f>SUM(F19:F20)</f>
        <v>691163.8</v>
      </c>
      <c r="G18" s="144">
        <f>SUM(G19:G20)</f>
        <v>691163.8</v>
      </c>
      <c r="H18" s="50"/>
      <c r="J18" s="430"/>
      <c r="K18" s="432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3"/>
    </row>
    <row r="19" spans="2:23" ht="23.1" customHeight="1">
      <c r="B19" s="48"/>
      <c r="C19" s="145" t="s">
        <v>88</v>
      </c>
      <c r="D19" s="73" t="s">
        <v>259</v>
      </c>
      <c r="E19" s="469">
        <v>691163.8</v>
      </c>
      <c r="F19" s="469">
        <v>691163.8</v>
      </c>
      <c r="G19" s="485">
        <v>691163.8</v>
      </c>
      <c r="H19" s="50"/>
      <c r="J19" s="430"/>
      <c r="K19" s="432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3"/>
    </row>
    <row r="20" spans="2:23" ht="23.1" customHeight="1">
      <c r="B20" s="48"/>
      <c r="C20" s="146" t="s">
        <v>95</v>
      </c>
      <c r="D20" s="74" t="s">
        <v>260</v>
      </c>
      <c r="E20" s="470"/>
      <c r="F20" s="470"/>
      <c r="G20" s="486"/>
      <c r="H20" s="50"/>
      <c r="J20" s="430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3"/>
    </row>
    <row r="21" spans="2:23" ht="23.1" customHeight="1">
      <c r="B21" s="48"/>
      <c r="C21" s="143" t="s">
        <v>199</v>
      </c>
      <c r="D21" s="72" t="s">
        <v>261</v>
      </c>
      <c r="E21" s="471"/>
      <c r="F21" s="471"/>
      <c r="G21" s="487"/>
      <c r="H21" s="50"/>
      <c r="J21" s="430"/>
      <c r="K21" s="432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3"/>
    </row>
    <row r="22" spans="2:23" ht="23.1" customHeight="1">
      <c r="B22" s="48"/>
      <c r="C22" s="143" t="s">
        <v>204</v>
      </c>
      <c r="D22" s="72" t="s">
        <v>262</v>
      </c>
      <c r="E22" s="134">
        <f>SUM(E23:E26)</f>
        <v>204351.55</v>
      </c>
      <c r="F22" s="134">
        <f>SUM(F23:F26)</f>
        <v>204351.55</v>
      </c>
      <c r="G22" s="144">
        <f>SUM(G23:G26)</f>
        <v>204351.55</v>
      </c>
      <c r="H22" s="50"/>
      <c r="J22" s="430"/>
      <c r="K22" s="432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3"/>
    </row>
    <row r="23" spans="2:23" ht="23.1" customHeight="1">
      <c r="B23" s="48"/>
      <c r="C23" s="145" t="s">
        <v>88</v>
      </c>
      <c r="D23" s="73" t="s">
        <v>263</v>
      </c>
      <c r="E23" s="469">
        <v>204351.55</v>
      </c>
      <c r="F23" s="469">
        <v>204351.55</v>
      </c>
      <c r="G23" s="485">
        <v>204351.55</v>
      </c>
      <c r="H23" s="50"/>
      <c r="J23" s="430"/>
      <c r="K23" s="432"/>
      <c r="L23" s="432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3"/>
    </row>
    <row r="24" spans="2:23" ht="23.1" customHeight="1">
      <c r="B24" s="48"/>
      <c r="C24" s="146" t="s">
        <v>95</v>
      </c>
      <c r="D24" s="74" t="s">
        <v>264</v>
      </c>
      <c r="E24" s="470"/>
      <c r="F24" s="470"/>
      <c r="G24" s="486"/>
      <c r="H24" s="50"/>
      <c r="J24" s="430"/>
      <c r="K24" s="432"/>
      <c r="L24" s="432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3"/>
    </row>
    <row r="25" spans="2:23" ht="23.1" customHeight="1">
      <c r="B25" s="48"/>
      <c r="C25" s="146" t="s">
        <v>97</v>
      </c>
      <c r="D25" s="74" t="s">
        <v>265</v>
      </c>
      <c r="E25" s="470"/>
      <c r="F25" s="470"/>
      <c r="G25" s="486"/>
      <c r="H25" s="50"/>
      <c r="J25" s="430"/>
      <c r="K25" s="432"/>
      <c r="L25" s="432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3"/>
    </row>
    <row r="26" spans="2:23" ht="23.1" customHeight="1">
      <c r="B26" s="48"/>
      <c r="C26" s="146" t="s">
        <v>99</v>
      </c>
      <c r="D26" s="74" t="s">
        <v>320</v>
      </c>
      <c r="E26" s="470"/>
      <c r="F26" s="470"/>
      <c r="G26" s="486"/>
      <c r="H26" s="50"/>
      <c r="J26" s="430"/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3"/>
    </row>
    <row r="27" spans="2:23" ht="23.1" customHeight="1">
      <c r="B27" s="48"/>
      <c r="C27" s="143" t="s">
        <v>208</v>
      </c>
      <c r="D27" s="72" t="s">
        <v>266</v>
      </c>
      <c r="E27" s="471"/>
      <c r="F27" s="471"/>
      <c r="G27" s="487"/>
      <c r="H27" s="50"/>
      <c r="J27" s="430"/>
      <c r="K27" s="432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3"/>
    </row>
    <row r="28" spans="2:23" ht="23.1" customHeight="1">
      <c r="B28" s="48"/>
      <c r="C28" s="143" t="s">
        <v>216</v>
      </c>
      <c r="D28" s="72" t="s">
        <v>267</v>
      </c>
      <c r="E28" s="134">
        <f>SUM(E29:E30)</f>
        <v>0</v>
      </c>
      <c r="F28" s="134">
        <f>SUM(F29:F30)</f>
        <v>0</v>
      </c>
      <c r="G28" s="144">
        <f>SUM(G29:G30)</f>
        <v>0</v>
      </c>
      <c r="H28" s="50"/>
      <c r="J28" s="430"/>
      <c r="K28" s="432"/>
      <c r="L28" s="432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3"/>
    </row>
    <row r="29" spans="2:23" ht="23.1" customHeight="1">
      <c r="B29" s="48"/>
      <c r="C29" s="145" t="s">
        <v>88</v>
      </c>
      <c r="D29" s="73" t="s">
        <v>268</v>
      </c>
      <c r="E29" s="469"/>
      <c r="F29" s="469"/>
      <c r="G29" s="485"/>
      <c r="H29" s="50"/>
      <c r="J29" s="430"/>
      <c r="K29" s="432"/>
      <c r="L29" s="432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3"/>
    </row>
    <row r="30" spans="2:23" ht="23.1" customHeight="1">
      <c r="B30" s="48"/>
      <c r="C30" s="146" t="s">
        <v>95</v>
      </c>
      <c r="D30" s="74" t="s">
        <v>269</v>
      </c>
      <c r="E30" s="470"/>
      <c r="F30" s="470"/>
      <c r="G30" s="486"/>
      <c r="H30" s="50"/>
      <c r="J30" s="440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2"/>
    </row>
    <row r="31" spans="2:23" ht="23.1" customHeight="1">
      <c r="B31" s="48"/>
      <c r="C31" s="143" t="s">
        <v>219</v>
      </c>
      <c r="D31" s="72" t="s">
        <v>270</v>
      </c>
      <c r="E31" s="471">
        <v>1903196.01</v>
      </c>
      <c r="F31" s="471">
        <f>2056196.01+3250.34</f>
        <v>2059446.35</v>
      </c>
      <c r="G31" s="487">
        <f>2211511.52+3250.34</f>
        <v>2214761.86</v>
      </c>
      <c r="H31" s="50"/>
      <c r="J31" s="1080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2"/>
    </row>
    <row r="32" spans="2:23" ht="23.1" customHeight="1">
      <c r="B32" s="48"/>
      <c r="C32" s="143" t="s">
        <v>221</v>
      </c>
      <c r="D32" s="72" t="s">
        <v>271</v>
      </c>
      <c r="E32" s="471">
        <v>-1899945.67</v>
      </c>
      <c r="F32" s="471">
        <v>-2056196.01</v>
      </c>
      <c r="G32" s="487">
        <f>+'FC-3_CPyG'!G84</f>
        <v>-2075789.3400000003</v>
      </c>
      <c r="H32" s="50"/>
      <c r="J32" s="430"/>
      <c r="K32" s="432"/>
      <c r="L32" s="432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433"/>
    </row>
    <row r="33" spans="2:23" ht="23.1" customHeight="1">
      <c r="B33" s="48"/>
      <c r="C33" s="143" t="s">
        <v>272</v>
      </c>
      <c r="D33" s="72" t="s">
        <v>273</v>
      </c>
      <c r="E33" s="471"/>
      <c r="F33" s="471"/>
      <c r="G33" s="487"/>
      <c r="H33" s="50"/>
      <c r="J33" s="430"/>
      <c r="K33" s="432"/>
      <c r="L33" s="432"/>
      <c r="M33" s="432"/>
      <c r="N33" s="432"/>
      <c r="O33" s="432"/>
      <c r="P33" s="432"/>
      <c r="Q33" s="432"/>
      <c r="R33" s="432"/>
      <c r="S33" s="432"/>
      <c r="T33" s="432"/>
      <c r="U33" s="432"/>
      <c r="V33" s="432"/>
      <c r="W33" s="433"/>
    </row>
    <row r="34" spans="2:23" ht="23.1" customHeight="1">
      <c r="B34" s="48"/>
      <c r="C34" s="143" t="s">
        <v>274</v>
      </c>
      <c r="D34" s="72" t="s">
        <v>275</v>
      </c>
      <c r="E34" s="471"/>
      <c r="F34" s="471"/>
      <c r="G34" s="487"/>
      <c r="H34" s="50"/>
      <c r="J34" s="430"/>
      <c r="K34" s="432"/>
      <c r="L34" s="432"/>
      <c r="M34" s="432"/>
      <c r="N34" s="432"/>
      <c r="O34" s="432"/>
      <c r="P34" s="432"/>
      <c r="Q34" s="432"/>
      <c r="R34" s="432"/>
      <c r="S34" s="432"/>
      <c r="T34" s="432"/>
      <c r="U34" s="432"/>
      <c r="V34" s="432"/>
      <c r="W34" s="433"/>
    </row>
    <row r="35" spans="2:23" ht="23.1" customHeight="1">
      <c r="B35" s="48"/>
      <c r="C35" s="143" t="s">
        <v>170</v>
      </c>
      <c r="D35" s="72" t="s">
        <v>276</v>
      </c>
      <c r="E35" s="134">
        <f>SUM(E36:E40)</f>
        <v>0</v>
      </c>
      <c r="F35" s="134">
        <f>SUM(F36:F40)</f>
        <v>0</v>
      </c>
      <c r="G35" s="144">
        <f>SUM(G36:G40)</f>
        <v>0</v>
      </c>
      <c r="H35" s="50"/>
      <c r="J35" s="430"/>
      <c r="K35" s="432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3"/>
    </row>
    <row r="36" spans="2:23" ht="23.1" customHeight="1">
      <c r="B36" s="48"/>
      <c r="C36" s="143" t="s">
        <v>189</v>
      </c>
      <c r="D36" s="72" t="s">
        <v>277</v>
      </c>
      <c r="E36" s="471"/>
      <c r="F36" s="471"/>
      <c r="G36" s="487"/>
      <c r="H36" s="50"/>
      <c r="J36" s="443"/>
      <c r="K36" s="444"/>
      <c r="L36" s="444"/>
      <c r="M36" s="444"/>
      <c r="N36" s="444"/>
      <c r="O36" s="444"/>
      <c r="P36" s="444"/>
      <c r="Q36" s="444"/>
      <c r="R36" s="444"/>
      <c r="S36" s="444"/>
      <c r="T36" s="444"/>
      <c r="U36" s="444"/>
      <c r="V36" s="444"/>
      <c r="W36" s="445"/>
    </row>
    <row r="37" spans="2:23" ht="23.1" customHeight="1">
      <c r="B37" s="48"/>
      <c r="C37" s="143" t="s">
        <v>199</v>
      </c>
      <c r="D37" s="72" t="s">
        <v>278</v>
      </c>
      <c r="E37" s="471"/>
      <c r="F37" s="471"/>
      <c r="G37" s="487"/>
      <c r="H37" s="50"/>
      <c r="J37" s="443"/>
      <c r="K37" s="444"/>
      <c r="L37" s="444"/>
      <c r="M37" s="444"/>
      <c r="N37" s="444"/>
      <c r="O37" s="444"/>
      <c r="P37" s="444"/>
      <c r="Q37" s="444"/>
      <c r="R37" s="444"/>
      <c r="S37" s="444"/>
      <c r="T37" s="444"/>
      <c r="U37" s="444"/>
      <c r="V37" s="444"/>
      <c r="W37" s="445"/>
    </row>
    <row r="38" spans="2:23" ht="23.1" customHeight="1">
      <c r="B38" s="48"/>
      <c r="C38" s="143" t="s">
        <v>204</v>
      </c>
      <c r="D38" s="72" t="s">
        <v>279</v>
      </c>
      <c r="E38" s="471"/>
      <c r="F38" s="471"/>
      <c r="G38" s="487"/>
      <c r="H38" s="50"/>
      <c r="J38" s="443"/>
      <c r="K38" s="444"/>
      <c r="L38" s="444"/>
      <c r="M38" s="444"/>
      <c r="N38" s="444"/>
      <c r="O38" s="444"/>
      <c r="P38" s="444"/>
      <c r="Q38" s="444"/>
      <c r="R38" s="444"/>
      <c r="S38" s="444"/>
      <c r="T38" s="444"/>
      <c r="U38" s="444"/>
      <c r="V38" s="444"/>
      <c r="W38" s="445"/>
    </row>
    <row r="39" spans="2:23" ht="23.1" customHeight="1">
      <c r="B39" s="48"/>
      <c r="C39" s="143" t="s">
        <v>208</v>
      </c>
      <c r="D39" s="72" t="s">
        <v>280</v>
      </c>
      <c r="E39" s="471"/>
      <c r="F39" s="471"/>
      <c r="G39" s="487"/>
      <c r="H39" s="50"/>
      <c r="J39" s="443"/>
      <c r="K39" s="444"/>
      <c r="L39" s="444"/>
      <c r="M39" s="444"/>
      <c r="N39" s="444"/>
      <c r="O39" s="444"/>
      <c r="P39" s="444"/>
      <c r="Q39" s="444"/>
      <c r="R39" s="444"/>
      <c r="S39" s="444"/>
      <c r="T39" s="444"/>
      <c r="U39" s="444"/>
      <c r="V39" s="444"/>
      <c r="W39" s="445"/>
    </row>
    <row r="40" spans="2:23" ht="23.1" customHeight="1">
      <c r="B40" s="48"/>
      <c r="C40" s="143" t="s">
        <v>216</v>
      </c>
      <c r="D40" s="72" t="s">
        <v>281</v>
      </c>
      <c r="E40" s="471"/>
      <c r="F40" s="471"/>
      <c r="G40" s="487"/>
      <c r="H40" s="50"/>
      <c r="J40" s="443"/>
      <c r="K40" s="444"/>
      <c r="L40" s="444"/>
      <c r="M40" s="444"/>
      <c r="N40" s="444"/>
      <c r="O40" s="444"/>
      <c r="P40" s="444"/>
      <c r="Q40" s="444"/>
      <c r="R40" s="444"/>
      <c r="S40" s="444"/>
      <c r="T40" s="444"/>
      <c r="U40" s="444"/>
      <c r="V40" s="444"/>
      <c r="W40" s="445"/>
    </row>
    <row r="41" spans="2:23" ht="23.1" customHeight="1">
      <c r="B41" s="48"/>
      <c r="C41" s="143" t="s">
        <v>172</v>
      </c>
      <c r="D41" s="72" t="s">
        <v>282</v>
      </c>
      <c r="E41" s="471">
        <v>140225.14000000001</v>
      </c>
      <c r="F41" s="471">
        <f>+E41-4368.4</f>
        <v>135856.74000000002</v>
      </c>
      <c r="G41" s="471">
        <f>+F41-4368.4</f>
        <v>131488.34000000003</v>
      </c>
      <c r="H41" s="50"/>
      <c r="J41" s="443"/>
      <c r="K41" s="444"/>
      <c r="L41" s="444"/>
      <c r="M41" s="444"/>
      <c r="N41" s="444"/>
      <c r="O41" s="444"/>
      <c r="P41" s="444"/>
      <c r="Q41" s="444"/>
      <c r="R41" s="444"/>
      <c r="S41" s="444"/>
      <c r="T41" s="444"/>
      <c r="U41" s="444"/>
      <c r="V41" s="444"/>
      <c r="W41" s="445"/>
    </row>
    <row r="42" spans="2:23" ht="23.1" customHeight="1">
      <c r="B42" s="48"/>
      <c r="C42" s="148"/>
      <c r="D42" s="64"/>
      <c r="E42" s="137"/>
      <c r="F42" s="137"/>
      <c r="G42" s="149"/>
      <c r="H42" s="50"/>
      <c r="J42" s="443"/>
      <c r="K42" s="444"/>
      <c r="L42" s="444"/>
      <c r="M42" s="444"/>
      <c r="N42" s="444"/>
      <c r="O42" s="444"/>
      <c r="P42" s="444"/>
      <c r="Q42" s="444"/>
      <c r="R42" s="444"/>
      <c r="S42" s="444"/>
      <c r="T42" s="444"/>
      <c r="U42" s="444"/>
      <c r="V42" s="444"/>
      <c r="W42" s="445"/>
    </row>
    <row r="43" spans="2:23" ht="23.1" customHeight="1">
      <c r="B43" s="48"/>
      <c r="C43" s="141" t="s">
        <v>283</v>
      </c>
      <c r="D43" s="86" t="s">
        <v>284</v>
      </c>
      <c r="E43" s="133">
        <f>E44+E49+SUM(E55:E59)</f>
        <v>102211.03</v>
      </c>
      <c r="F43" s="133">
        <f>F44+F49+SUM(F55:F59)</f>
        <v>75404.56</v>
      </c>
      <c r="G43" s="142">
        <f>G44+G49+SUM(G55:G59)</f>
        <v>61794.540000000008</v>
      </c>
      <c r="H43" s="50"/>
      <c r="J43" s="443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5"/>
    </row>
    <row r="44" spans="2:23" ht="23.1" customHeight="1">
      <c r="B44" s="48"/>
      <c r="C44" s="143" t="s">
        <v>189</v>
      </c>
      <c r="D44" s="72" t="s">
        <v>285</v>
      </c>
      <c r="E44" s="134">
        <f>SUM(E45:E48)</f>
        <v>0</v>
      </c>
      <c r="F44" s="134">
        <f>SUM(F45:F48)</f>
        <v>0</v>
      </c>
      <c r="G44" s="144">
        <f>SUM(G45:G48)</f>
        <v>0</v>
      </c>
      <c r="H44" s="50"/>
      <c r="J44" s="443"/>
      <c r="K44" s="444"/>
      <c r="L44" s="444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5"/>
    </row>
    <row r="45" spans="2:23" ht="23.1" customHeight="1">
      <c r="B45" s="48"/>
      <c r="C45" s="145" t="s">
        <v>88</v>
      </c>
      <c r="D45" s="73" t="s">
        <v>286</v>
      </c>
      <c r="E45" s="469"/>
      <c r="F45" s="469"/>
      <c r="G45" s="485"/>
      <c r="H45" s="50"/>
      <c r="J45" s="443"/>
      <c r="K45" s="444"/>
      <c r="L45" s="444"/>
      <c r="M45" s="444"/>
      <c r="N45" s="444"/>
      <c r="O45" s="444"/>
      <c r="P45" s="444"/>
      <c r="Q45" s="444"/>
      <c r="R45" s="444"/>
      <c r="S45" s="444"/>
      <c r="T45" s="444"/>
      <c r="U45" s="444"/>
      <c r="V45" s="444"/>
      <c r="W45" s="445"/>
    </row>
    <row r="46" spans="2:23" ht="23.1" customHeight="1">
      <c r="B46" s="48"/>
      <c r="C46" s="146" t="s">
        <v>95</v>
      </c>
      <c r="D46" s="74" t="s">
        <v>287</v>
      </c>
      <c r="E46" s="470"/>
      <c r="F46" s="470"/>
      <c r="G46" s="486"/>
      <c r="H46" s="50"/>
      <c r="J46" s="443"/>
      <c r="K46" s="444"/>
      <c r="L46" s="444"/>
      <c r="M46" s="444"/>
      <c r="N46" s="444"/>
      <c r="O46" s="444"/>
      <c r="P46" s="444"/>
      <c r="Q46" s="444"/>
      <c r="R46" s="444"/>
      <c r="S46" s="444"/>
      <c r="T46" s="444"/>
      <c r="U46" s="444"/>
      <c r="V46" s="444"/>
      <c r="W46" s="445"/>
    </row>
    <row r="47" spans="2:23" ht="23.1" customHeight="1">
      <c r="B47" s="48"/>
      <c r="C47" s="146" t="s">
        <v>97</v>
      </c>
      <c r="D47" s="74" t="s">
        <v>288</v>
      </c>
      <c r="E47" s="470"/>
      <c r="F47" s="470"/>
      <c r="G47" s="486"/>
      <c r="H47" s="50"/>
      <c r="J47" s="443"/>
      <c r="K47" s="444"/>
      <c r="L47" s="444"/>
      <c r="M47" s="444"/>
      <c r="N47" s="444"/>
      <c r="O47" s="444"/>
      <c r="P47" s="444"/>
      <c r="Q47" s="444"/>
      <c r="R47" s="444"/>
      <c r="S47" s="444"/>
      <c r="T47" s="444"/>
      <c r="U47" s="444"/>
      <c r="V47" s="444"/>
      <c r="W47" s="445"/>
    </row>
    <row r="48" spans="2:23" ht="23.1" customHeight="1">
      <c r="B48" s="48"/>
      <c r="C48" s="146" t="s">
        <v>99</v>
      </c>
      <c r="D48" s="74" t="s">
        <v>289</v>
      </c>
      <c r="E48" s="470"/>
      <c r="F48" s="470"/>
      <c r="G48" s="486"/>
      <c r="H48" s="50"/>
      <c r="J48" s="443"/>
      <c r="K48" s="444"/>
      <c r="L48" s="444"/>
      <c r="M48" s="444"/>
      <c r="N48" s="444"/>
      <c r="O48" s="444"/>
      <c r="P48" s="444"/>
      <c r="Q48" s="444"/>
      <c r="R48" s="444"/>
      <c r="S48" s="444"/>
      <c r="T48" s="444"/>
      <c r="U48" s="444"/>
      <c r="V48" s="444"/>
      <c r="W48" s="445"/>
    </row>
    <row r="49" spans="2:23" ht="23.1" customHeight="1">
      <c r="B49" s="48"/>
      <c r="C49" s="143" t="s">
        <v>199</v>
      </c>
      <c r="D49" s="72" t="s">
        <v>290</v>
      </c>
      <c r="E49" s="134">
        <f>SUM(E50:E54)</f>
        <v>37504.230000000003</v>
      </c>
      <c r="F49" s="134">
        <f>SUM(F50:F54)</f>
        <v>12153.89</v>
      </c>
      <c r="G49" s="144">
        <f>SUM(G50:G54)</f>
        <v>0</v>
      </c>
      <c r="H49" s="50"/>
      <c r="J49" s="443"/>
      <c r="K49" s="444"/>
      <c r="L49" s="444"/>
      <c r="M49" s="444"/>
      <c r="N49" s="444"/>
      <c r="O49" s="444"/>
      <c r="P49" s="444"/>
      <c r="Q49" s="444"/>
      <c r="R49" s="444"/>
      <c r="S49" s="444"/>
      <c r="T49" s="444"/>
      <c r="U49" s="444"/>
      <c r="V49" s="444"/>
      <c r="W49" s="445"/>
    </row>
    <row r="50" spans="2:23" ht="23.1" customHeight="1">
      <c r="B50" s="48"/>
      <c r="C50" s="145" t="s">
        <v>88</v>
      </c>
      <c r="D50" s="73" t="s">
        <v>291</v>
      </c>
      <c r="E50" s="469"/>
      <c r="F50" s="469"/>
      <c r="G50" s="485"/>
      <c r="H50" s="50"/>
      <c r="J50" s="443"/>
      <c r="K50" s="444"/>
      <c r="L50" s="444"/>
      <c r="M50" s="444"/>
      <c r="N50" s="444"/>
      <c r="O50" s="444"/>
      <c r="P50" s="444"/>
      <c r="Q50" s="444"/>
      <c r="R50" s="444"/>
      <c r="S50" s="444"/>
      <c r="T50" s="444"/>
      <c r="U50" s="444"/>
      <c r="V50" s="444"/>
      <c r="W50" s="445"/>
    </row>
    <row r="51" spans="2:23" s="77" customFormat="1" ht="23.1" customHeight="1">
      <c r="B51" s="24"/>
      <c r="C51" s="146" t="s">
        <v>95</v>
      </c>
      <c r="D51" s="74" t="s">
        <v>292</v>
      </c>
      <c r="E51" s="470">
        <v>37504.230000000003</v>
      </c>
      <c r="F51" s="470">
        <v>12153.89</v>
      </c>
      <c r="G51" s="486">
        <v>0</v>
      </c>
      <c r="H51" s="61"/>
      <c r="J51" s="443"/>
      <c r="K51" s="444"/>
      <c r="L51" s="444"/>
      <c r="M51" s="444"/>
      <c r="N51" s="444"/>
      <c r="O51" s="444"/>
      <c r="P51" s="444"/>
      <c r="Q51" s="444"/>
      <c r="R51" s="444"/>
      <c r="S51" s="444"/>
      <c r="T51" s="444"/>
      <c r="U51" s="444"/>
      <c r="V51" s="444"/>
      <c r="W51" s="445"/>
    </row>
    <row r="52" spans="2:23" ht="23.1" customHeight="1">
      <c r="B52" s="48"/>
      <c r="C52" s="146" t="s">
        <v>97</v>
      </c>
      <c r="D52" s="74" t="s">
        <v>293</v>
      </c>
      <c r="E52" s="470"/>
      <c r="F52" s="470"/>
      <c r="G52" s="486"/>
      <c r="H52" s="50"/>
      <c r="J52" s="443"/>
      <c r="K52" s="444"/>
      <c r="L52" s="444"/>
      <c r="M52" s="444"/>
      <c r="N52" s="444"/>
      <c r="O52" s="444"/>
      <c r="P52" s="444"/>
      <c r="Q52" s="444"/>
      <c r="R52" s="444"/>
      <c r="S52" s="444"/>
      <c r="T52" s="444"/>
      <c r="U52" s="444"/>
      <c r="V52" s="444"/>
      <c r="W52" s="445"/>
    </row>
    <row r="53" spans="2:23" ht="23.1" customHeight="1">
      <c r="B53" s="48"/>
      <c r="C53" s="146" t="s">
        <v>99</v>
      </c>
      <c r="D53" s="74" t="s">
        <v>213</v>
      </c>
      <c r="E53" s="470"/>
      <c r="F53" s="470"/>
      <c r="G53" s="486"/>
      <c r="H53" s="50"/>
      <c r="J53" s="443"/>
      <c r="K53" s="444"/>
      <c r="L53" s="444"/>
      <c r="M53" s="444"/>
      <c r="N53" s="444"/>
      <c r="O53" s="444"/>
      <c r="P53" s="444"/>
      <c r="Q53" s="444"/>
      <c r="R53" s="444"/>
      <c r="S53" s="444"/>
      <c r="T53" s="444"/>
      <c r="U53" s="444"/>
      <c r="V53" s="444"/>
      <c r="W53" s="445"/>
    </row>
    <row r="54" spans="2:23" ht="23.1" customHeight="1">
      <c r="B54" s="48"/>
      <c r="C54" s="146" t="s">
        <v>195</v>
      </c>
      <c r="D54" s="74" t="s">
        <v>294</v>
      </c>
      <c r="E54" s="470"/>
      <c r="F54" s="470"/>
      <c r="G54" s="486"/>
      <c r="H54" s="50"/>
      <c r="J54" s="443"/>
      <c r="K54" s="444"/>
      <c r="L54" s="444"/>
      <c r="M54" s="444"/>
      <c r="N54" s="444"/>
      <c r="O54" s="444"/>
      <c r="P54" s="444"/>
      <c r="Q54" s="444"/>
      <c r="R54" s="444"/>
      <c r="S54" s="444"/>
      <c r="T54" s="444"/>
      <c r="U54" s="444"/>
      <c r="V54" s="444"/>
      <c r="W54" s="445"/>
    </row>
    <row r="55" spans="2:23" ht="23.1" customHeight="1">
      <c r="B55" s="48"/>
      <c r="C55" s="143" t="s">
        <v>204</v>
      </c>
      <c r="D55" s="72" t="s">
        <v>295</v>
      </c>
      <c r="E55" s="471"/>
      <c r="F55" s="471"/>
      <c r="G55" s="487"/>
      <c r="H55" s="50"/>
      <c r="J55" s="443"/>
      <c r="K55" s="444"/>
      <c r="L55" s="444"/>
      <c r="M55" s="444"/>
      <c r="N55" s="444"/>
      <c r="O55" s="444"/>
      <c r="P55" s="444"/>
      <c r="Q55" s="444"/>
      <c r="R55" s="444"/>
      <c r="S55" s="444"/>
      <c r="T55" s="444"/>
      <c r="U55" s="444"/>
      <c r="V55" s="444"/>
      <c r="W55" s="445"/>
    </row>
    <row r="56" spans="2:23" ht="23.1" customHeight="1">
      <c r="B56" s="48"/>
      <c r="C56" s="143" t="s">
        <v>208</v>
      </c>
      <c r="D56" s="72" t="s">
        <v>296</v>
      </c>
      <c r="E56" s="471">
        <v>64706.8</v>
      </c>
      <c r="F56" s="471">
        <f>+E56-1456.13</f>
        <v>63250.670000000006</v>
      </c>
      <c r="G56" s="487">
        <f>+F56-1456.13</f>
        <v>61794.540000000008</v>
      </c>
      <c r="H56" s="50"/>
      <c r="J56" s="443"/>
      <c r="K56" s="444"/>
      <c r="L56" s="444"/>
      <c r="M56" s="444"/>
      <c r="N56" s="444"/>
      <c r="O56" s="444"/>
      <c r="P56" s="444"/>
      <c r="Q56" s="444"/>
      <c r="R56" s="444"/>
      <c r="S56" s="444"/>
      <c r="T56" s="444"/>
      <c r="U56" s="444"/>
      <c r="V56" s="444"/>
      <c r="W56" s="445"/>
    </row>
    <row r="57" spans="2:23" ht="23.1" customHeight="1">
      <c r="B57" s="48"/>
      <c r="C57" s="143" t="s">
        <v>216</v>
      </c>
      <c r="D57" s="72" t="s">
        <v>297</v>
      </c>
      <c r="E57" s="471"/>
      <c r="F57" s="471"/>
      <c r="G57" s="487"/>
      <c r="H57" s="50"/>
      <c r="J57" s="443"/>
      <c r="K57" s="444"/>
      <c r="L57" s="444"/>
      <c r="M57" s="444"/>
      <c r="N57" s="444"/>
      <c r="O57" s="444"/>
      <c r="P57" s="444"/>
      <c r="Q57" s="444"/>
      <c r="R57" s="444"/>
      <c r="S57" s="444"/>
      <c r="T57" s="444"/>
      <c r="U57" s="444"/>
      <c r="V57" s="444"/>
      <c r="W57" s="445"/>
    </row>
    <row r="58" spans="2:23" ht="23.1" customHeight="1">
      <c r="B58" s="48"/>
      <c r="C58" s="143" t="s">
        <v>219</v>
      </c>
      <c r="D58" s="72" t="s">
        <v>298</v>
      </c>
      <c r="E58" s="471"/>
      <c r="F58" s="471"/>
      <c r="G58" s="487"/>
      <c r="H58" s="50"/>
      <c r="J58" s="443"/>
      <c r="K58" s="444"/>
      <c r="L58" s="444"/>
      <c r="M58" s="444"/>
      <c r="N58" s="444"/>
      <c r="O58" s="444"/>
      <c r="P58" s="444"/>
      <c r="Q58" s="444"/>
      <c r="R58" s="444"/>
      <c r="S58" s="444"/>
      <c r="T58" s="444"/>
      <c r="U58" s="444"/>
      <c r="V58" s="444"/>
      <c r="W58" s="445"/>
    </row>
    <row r="59" spans="2:23" ht="23.1" customHeight="1">
      <c r="B59" s="48"/>
      <c r="C59" s="143" t="s">
        <v>221</v>
      </c>
      <c r="D59" s="72" t="s">
        <v>299</v>
      </c>
      <c r="E59" s="471"/>
      <c r="F59" s="471"/>
      <c r="G59" s="487"/>
      <c r="H59" s="50"/>
      <c r="J59" s="443"/>
      <c r="K59" s="444"/>
      <c r="L59" s="444"/>
      <c r="M59" s="444"/>
      <c r="N59" s="444"/>
      <c r="O59" s="444"/>
      <c r="P59" s="444"/>
      <c r="Q59" s="444"/>
      <c r="R59" s="444"/>
      <c r="S59" s="444"/>
      <c r="T59" s="444"/>
      <c r="U59" s="444"/>
      <c r="V59" s="444"/>
      <c r="W59" s="445"/>
    </row>
    <row r="60" spans="2:23" ht="23.1" customHeight="1">
      <c r="B60" s="48"/>
      <c r="C60" s="150"/>
      <c r="D60" s="1"/>
      <c r="E60" s="137"/>
      <c r="F60" s="137"/>
      <c r="G60" s="149"/>
      <c r="H60" s="50"/>
      <c r="J60" s="443"/>
      <c r="K60" s="444"/>
      <c r="L60" s="444"/>
      <c r="M60" s="444"/>
      <c r="N60" s="444"/>
      <c r="O60" s="444"/>
      <c r="P60" s="444"/>
      <c r="Q60" s="444"/>
      <c r="R60" s="444"/>
      <c r="S60" s="444"/>
      <c r="T60" s="444"/>
      <c r="U60" s="444"/>
      <c r="V60" s="444"/>
      <c r="W60" s="445"/>
    </row>
    <row r="61" spans="2:23" ht="23.1" customHeight="1">
      <c r="B61" s="48"/>
      <c r="C61" s="141" t="s">
        <v>300</v>
      </c>
      <c r="D61" s="86" t="s">
        <v>301</v>
      </c>
      <c r="E61" s="133">
        <f>E62+E63+E66+E72+E73+E83+E84</f>
        <v>6910776.5199999996</v>
      </c>
      <c r="F61" s="133">
        <f>F62+F63+F66+F72+F73+F83+F84</f>
        <v>1897702.96</v>
      </c>
      <c r="G61" s="142">
        <f>G62+G63+G66+G72+G73+G83+G84</f>
        <v>1667928.38</v>
      </c>
      <c r="H61" s="50"/>
      <c r="J61" s="443"/>
      <c r="K61" s="444"/>
      <c r="L61" s="444"/>
      <c r="M61" s="444"/>
      <c r="N61" s="444"/>
      <c r="O61" s="444"/>
      <c r="P61" s="444"/>
      <c r="Q61" s="444"/>
      <c r="R61" s="444"/>
      <c r="S61" s="444"/>
      <c r="T61" s="444"/>
      <c r="U61" s="444"/>
      <c r="V61" s="444"/>
      <c r="W61" s="445"/>
    </row>
    <row r="62" spans="2:23" ht="23.1" customHeight="1">
      <c r="B62" s="48"/>
      <c r="C62" s="143" t="s">
        <v>189</v>
      </c>
      <c r="D62" s="72" t="s">
        <v>302</v>
      </c>
      <c r="E62" s="471"/>
      <c r="F62" s="471"/>
      <c r="G62" s="487"/>
      <c r="H62" s="50"/>
      <c r="J62" s="443"/>
      <c r="K62" s="444"/>
      <c r="L62" s="444"/>
      <c r="M62" s="444"/>
      <c r="N62" s="444"/>
      <c r="O62" s="444"/>
      <c r="P62" s="444"/>
      <c r="Q62" s="444"/>
      <c r="R62" s="444"/>
      <c r="S62" s="444"/>
      <c r="T62" s="444"/>
      <c r="U62" s="444"/>
      <c r="V62" s="444"/>
      <c r="W62" s="445"/>
    </row>
    <row r="63" spans="2:23" ht="23.1" customHeight="1">
      <c r="B63" s="48"/>
      <c r="C63" s="143" t="s">
        <v>199</v>
      </c>
      <c r="D63" s="72" t="s">
        <v>303</v>
      </c>
      <c r="E63" s="134">
        <f>SUM(E64:E65)</f>
        <v>0</v>
      </c>
      <c r="F63" s="134">
        <f>SUM(F64:F65)</f>
        <v>0</v>
      </c>
      <c r="G63" s="144">
        <f>SUM(G64:G65)</f>
        <v>0</v>
      </c>
      <c r="H63" s="50"/>
      <c r="J63" s="443"/>
      <c r="K63" s="444"/>
      <c r="L63" s="444"/>
      <c r="M63" s="444"/>
      <c r="N63" s="444"/>
      <c r="O63" s="444"/>
      <c r="P63" s="444"/>
      <c r="Q63" s="444"/>
      <c r="R63" s="444"/>
      <c r="S63" s="444"/>
      <c r="T63" s="444"/>
      <c r="U63" s="444"/>
      <c r="V63" s="444"/>
      <c r="W63" s="445"/>
    </row>
    <row r="64" spans="2:23" ht="23.1" customHeight="1">
      <c r="B64" s="48"/>
      <c r="C64" s="145" t="s">
        <v>88</v>
      </c>
      <c r="D64" s="73" t="s">
        <v>304</v>
      </c>
      <c r="E64" s="469"/>
      <c r="F64" s="469"/>
      <c r="G64" s="485"/>
      <c r="H64" s="50"/>
      <c r="J64" s="443"/>
      <c r="K64" s="444"/>
      <c r="L64" s="444"/>
      <c r="M64" s="444"/>
      <c r="N64" s="444"/>
      <c r="O64" s="444"/>
      <c r="P64" s="444"/>
      <c r="Q64" s="444"/>
      <c r="R64" s="444"/>
      <c r="S64" s="444"/>
      <c r="T64" s="444"/>
      <c r="U64" s="444"/>
      <c r="V64" s="444"/>
      <c r="W64" s="445"/>
    </row>
    <row r="65" spans="2:23" ht="23.1" customHeight="1">
      <c r="B65" s="48"/>
      <c r="C65" s="146" t="s">
        <v>95</v>
      </c>
      <c r="D65" s="74" t="s">
        <v>289</v>
      </c>
      <c r="E65" s="470"/>
      <c r="F65" s="470"/>
      <c r="G65" s="486"/>
      <c r="H65" s="50"/>
      <c r="J65" s="443"/>
      <c r="K65" s="444"/>
      <c r="L65" s="444"/>
      <c r="M65" s="444"/>
      <c r="N65" s="444"/>
      <c r="O65" s="444"/>
      <c r="P65" s="444"/>
      <c r="Q65" s="444"/>
      <c r="R65" s="444"/>
      <c r="S65" s="444"/>
      <c r="T65" s="444"/>
      <c r="U65" s="444"/>
      <c r="V65" s="444"/>
      <c r="W65" s="445"/>
    </row>
    <row r="66" spans="2:23" ht="23.1" customHeight="1">
      <c r="B66" s="48"/>
      <c r="C66" s="143" t="s">
        <v>204</v>
      </c>
      <c r="D66" s="72" t="s">
        <v>305</v>
      </c>
      <c r="E66" s="134">
        <f>SUM(E67:E71)</f>
        <v>3358436.35</v>
      </c>
      <c r="F66" s="134">
        <f>SUM(F67:F71)</f>
        <v>23768.3</v>
      </c>
      <c r="G66" s="144">
        <f>SUM(G67:G71)</f>
        <v>12153.89</v>
      </c>
      <c r="H66" s="50"/>
      <c r="J66" s="443"/>
      <c r="K66" s="444"/>
      <c r="L66" s="444"/>
      <c r="M66" s="444"/>
      <c r="N66" s="444"/>
      <c r="O66" s="444"/>
      <c r="P66" s="444"/>
      <c r="Q66" s="444"/>
      <c r="R66" s="444"/>
      <c r="S66" s="444"/>
      <c r="T66" s="444"/>
      <c r="U66" s="444"/>
      <c r="V66" s="444"/>
      <c r="W66" s="445"/>
    </row>
    <row r="67" spans="2:23" ht="23.1" customHeight="1">
      <c r="B67" s="48"/>
      <c r="C67" s="145" t="s">
        <v>88</v>
      </c>
      <c r="D67" s="73" t="s">
        <v>306</v>
      </c>
      <c r="E67" s="469"/>
      <c r="F67" s="469"/>
      <c r="G67" s="485"/>
      <c r="H67" s="50"/>
      <c r="J67" s="443"/>
      <c r="K67" s="444"/>
      <c r="L67" s="444"/>
      <c r="M67" s="444"/>
      <c r="N67" s="444"/>
      <c r="O67" s="444"/>
      <c r="P67" s="444"/>
      <c r="Q67" s="444"/>
      <c r="R67" s="444"/>
      <c r="S67" s="444"/>
      <c r="T67" s="444"/>
      <c r="U67" s="444"/>
      <c r="V67" s="444"/>
      <c r="W67" s="445"/>
    </row>
    <row r="68" spans="2:23" ht="23.1" customHeight="1">
      <c r="B68" s="48"/>
      <c r="C68" s="146" t="s">
        <v>95</v>
      </c>
      <c r="D68" s="74" t="s">
        <v>292</v>
      </c>
      <c r="E68" s="470">
        <v>39304.519999999997</v>
      </c>
      <c r="F68" s="470">
        <v>23768.3</v>
      </c>
      <c r="G68" s="486">
        <v>12153.89</v>
      </c>
      <c r="H68" s="50"/>
      <c r="J68" s="443"/>
      <c r="K68" s="444"/>
      <c r="L68" s="444"/>
      <c r="M68" s="444"/>
      <c r="N68" s="444"/>
      <c r="O68" s="444"/>
      <c r="P68" s="444"/>
      <c r="Q68" s="444"/>
      <c r="R68" s="444"/>
      <c r="S68" s="444"/>
      <c r="T68" s="444"/>
      <c r="U68" s="444"/>
      <c r="V68" s="444"/>
      <c r="W68" s="445"/>
    </row>
    <row r="69" spans="2:23" ht="23.1" customHeight="1">
      <c r="B69" s="48"/>
      <c r="C69" s="146" t="s">
        <v>97</v>
      </c>
      <c r="D69" s="74" t="s">
        <v>293</v>
      </c>
      <c r="E69" s="470"/>
      <c r="F69" s="470"/>
      <c r="G69" s="486"/>
      <c r="H69" s="50"/>
      <c r="J69" s="443"/>
      <c r="K69" s="444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5"/>
    </row>
    <row r="70" spans="2:23" ht="23.1" customHeight="1">
      <c r="B70" s="48"/>
      <c r="C70" s="146" t="s">
        <v>99</v>
      </c>
      <c r="D70" s="74" t="s">
        <v>213</v>
      </c>
      <c r="E70" s="470"/>
      <c r="F70" s="470"/>
      <c r="G70" s="486"/>
      <c r="H70" s="50"/>
      <c r="J70" s="443"/>
      <c r="K70" s="444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5"/>
    </row>
    <row r="71" spans="2:23" ht="23.1" customHeight="1">
      <c r="B71" s="48"/>
      <c r="C71" s="146" t="s">
        <v>195</v>
      </c>
      <c r="D71" s="74" t="s">
        <v>294</v>
      </c>
      <c r="E71" s="470">
        <v>3319131.83</v>
      </c>
      <c r="F71" s="470"/>
      <c r="G71" s="486"/>
      <c r="H71" s="50"/>
      <c r="J71" s="443"/>
      <c r="K71" s="444"/>
      <c r="L71" s="444"/>
      <c r="M71" s="444"/>
      <c r="N71" s="444"/>
      <c r="O71" s="444"/>
      <c r="P71" s="444"/>
      <c r="Q71" s="444"/>
      <c r="R71" s="444"/>
      <c r="S71" s="444"/>
      <c r="T71" s="444"/>
      <c r="U71" s="444"/>
      <c r="V71" s="444"/>
      <c r="W71" s="445"/>
    </row>
    <row r="72" spans="2:23" ht="23.1" customHeight="1">
      <c r="B72" s="48"/>
      <c r="C72" s="143" t="s">
        <v>208</v>
      </c>
      <c r="D72" s="72" t="s">
        <v>307</v>
      </c>
      <c r="E72" s="471"/>
      <c r="F72" s="471"/>
      <c r="G72" s="487"/>
      <c r="H72" s="50"/>
      <c r="J72" s="443"/>
      <c r="K72" s="444"/>
      <c r="L72" s="444"/>
      <c r="M72" s="444"/>
      <c r="N72" s="444"/>
      <c r="O72" s="444"/>
      <c r="P72" s="444"/>
      <c r="Q72" s="444"/>
      <c r="R72" s="444"/>
      <c r="S72" s="444"/>
      <c r="T72" s="444"/>
      <c r="U72" s="444"/>
      <c r="V72" s="444"/>
      <c r="W72" s="445"/>
    </row>
    <row r="73" spans="2:23" ht="23.1" customHeight="1">
      <c r="B73" s="48"/>
      <c r="C73" s="143" t="s">
        <v>216</v>
      </c>
      <c r="D73" s="72" t="s">
        <v>308</v>
      </c>
      <c r="E73" s="134">
        <f>E74+SUM(E77:E82)</f>
        <v>3552340.17</v>
      </c>
      <c r="F73" s="134">
        <f>F74+SUM(F77:F82)</f>
        <v>1798934.66</v>
      </c>
      <c r="G73" s="144">
        <f>G74+SUM(G77:G82)</f>
        <v>1580774.49</v>
      </c>
      <c r="H73" s="50"/>
      <c r="J73" s="1070"/>
      <c r="K73" s="1070"/>
      <c r="L73" s="444"/>
      <c r="M73" s="444"/>
      <c r="N73" s="444"/>
      <c r="O73" s="444"/>
      <c r="P73" s="444"/>
      <c r="Q73" s="444"/>
      <c r="R73" s="444"/>
      <c r="S73" s="444"/>
      <c r="T73" s="444"/>
      <c r="U73" s="444"/>
      <c r="V73" s="444"/>
      <c r="W73" s="445"/>
    </row>
    <row r="74" spans="2:23" ht="23.1" customHeight="1">
      <c r="B74" s="48"/>
      <c r="C74" s="146" t="s">
        <v>88</v>
      </c>
      <c r="D74" s="74" t="s">
        <v>309</v>
      </c>
      <c r="E74" s="136">
        <f>SUM(E75:E76)</f>
        <v>0</v>
      </c>
      <c r="F74" s="136">
        <f>SUM(F75:F76)</f>
        <v>0</v>
      </c>
      <c r="G74" s="147">
        <f>SUM(G75:G76)</f>
        <v>0</v>
      </c>
      <c r="H74" s="50"/>
      <c r="J74" s="443"/>
      <c r="K74" s="444"/>
      <c r="L74" s="444"/>
      <c r="M74" s="444"/>
      <c r="N74" s="444"/>
      <c r="O74" s="444"/>
      <c r="P74" s="444"/>
      <c r="Q74" s="444"/>
      <c r="R74" s="444"/>
      <c r="S74" s="444"/>
      <c r="T74" s="444"/>
      <c r="U74" s="444"/>
      <c r="V74" s="444"/>
      <c r="W74" s="445"/>
    </row>
    <row r="75" spans="2:23" ht="23.1" customHeight="1">
      <c r="B75" s="48"/>
      <c r="C75" s="151" t="s">
        <v>89</v>
      </c>
      <c r="D75" s="89" t="s">
        <v>310</v>
      </c>
      <c r="E75" s="488"/>
      <c r="F75" s="488"/>
      <c r="G75" s="489"/>
      <c r="H75" s="50"/>
      <c r="J75" s="443"/>
      <c r="K75" s="444"/>
      <c r="L75" s="444"/>
      <c r="M75" s="444"/>
      <c r="N75" s="444"/>
      <c r="O75" s="444"/>
      <c r="P75" s="444"/>
      <c r="Q75" s="444"/>
      <c r="R75" s="444"/>
      <c r="S75" s="444"/>
      <c r="T75" s="444"/>
      <c r="U75" s="444"/>
      <c r="V75" s="444"/>
      <c r="W75" s="445"/>
    </row>
    <row r="76" spans="2:23" ht="23.1" customHeight="1">
      <c r="B76" s="48"/>
      <c r="C76" s="151" t="s">
        <v>91</v>
      </c>
      <c r="D76" s="89" t="s">
        <v>311</v>
      </c>
      <c r="E76" s="488"/>
      <c r="F76" s="488"/>
      <c r="G76" s="489"/>
      <c r="H76" s="50"/>
      <c r="J76" s="443"/>
      <c r="K76" s="444"/>
      <c r="L76" s="444"/>
      <c r="M76" s="444"/>
      <c r="N76" s="444"/>
      <c r="O76" s="444"/>
      <c r="P76" s="444"/>
      <c r="Q76" s="444"/>
      <c r="R76" s="444"/>
      <c r="S76" s="444"/>
      <c r="T76" s="444"/>
      <c r="U76" s="444"/>
      <c r="V76" s="444"/>
      <c r="W76" s="445"/>
    </row>
    <row r="77" spans="2:23" ht="23.1" customHeight="1">
      <c r="B77" s="48"/>
      <c r="C77" s="146" t="s">
        <v>95</v>
      </c>
      <c r="D77" s="74" t="s">
        <v>312</v>
      </c>
      <c r="E77" s="470"/>
      <c r="F77" s="470"/>
      <c r="G77" s="486"/>
      <c r="H77" s="50"/>
      <c r="J77" s="443"/>
      <c r="K77" s="444"/>
      <c r="L77" s="444"/>
      <c r="M77" s="444"/>
      <c r="N77" s="444"/>
      <c r="O77" s="444"/>
      <c r="P77" s="444"/>
      <c r="Q77" s="444"/>
      <c r="R77" s="444"/>
      <c r="S77" s="444"/>
      <c r="T77" s="444"/>
      <c r="U77" s="444"/>
      <c r="V77" s="444"/>
      <c r="W77" s="445"/>
    </row>
    <row r="78" spans="2:23" ht="23.1" customHeight="1">
      <c r="B78" s="48"/>
      <c r="C78" s="146" t="s">
        <v>97</v>
      </c>
      <c r="D78" s="74" t="s">
        <v>313</v>
      </c>
      <c r="E78" s="470">
        <v>3552340.17</v>
      </c>
      <c r="F78" s="470">
        <f>1802185-3250.34</f>
        <v>1798934.66</v>
      </c>
      <c r="G78" s="486">
        <f>1584024.83-3250.34</f>
        <v>1580774.49</v>
      </c>
      <c r="H78" s="50"/>
      <c r="J78" s="443"/>
      <c r="K78" s="444"/>
      <c r="L78" s="444"/>
      <c r="M78" s="444"/>
      <c r="N78" s="444"/>
      <c r="O78" s="444"/>
      <c r="P78" s="444"/>
      <c r="Q78" s="444"/>
      <c r="R78" s="444"/>
      <c r="S78" s="444"/>
      <c r="T78" s="444"/>
      <c r="U78" s="444"/>
      <c r="V78" s="444"/>
      <c r="W78" s="445"/>
    </row>
    <row r="79" spans="2:23" ht="23.1" customHeight="1">
      <c r="B79" s="48"/>
      <c r="C79" s="146" t="s">
        <v>99</v>
      </c>
      <c r="D79" s="74" t="s">
        <v>314</v>
      </c>
      <c r="E79" s="470"/>
      <c r="F79" s="470"/>
      <c r="G79" s="486"/>
      <c r="H79" s="50"/>
      <c r="J79" s="443"/>
      <c r="K79" s="444"/>
      <c r="L79" s="444"/>
      <c r="M79" s="444"/>
      <c r="N79" s="444"/>
      <c r="O79" s="444"/>
      <c r="P79" s="444"/>
      <c r="Q79" s="444"/>
      <c r="R79" s="444"/>
      <c r="S79" s="444"/>
      <c r="T79" s="444"/>
      <c r="U79" s="444"/>
      <c r="V79" s="444"/>
      <c r="W79" s="445"/>
    </row>
    <row r="80" spans="2:23" ht="23.1" customHeight="1">
      <c r="B80" s="48"/>
      <c r="C80" s="146" t="s">
        <v>195</v>
      </c>
      <c r="D80" s="74" t="s">
        <v>315</v>
      </c>
      <c r="E80" s="470"/>
      <c r="F80" s="470"/>
      <c r="G80" s="486"/>
      <c r="H80" s="50"/>
      <c r="J80" s="443"/>
      <c r="K80" s="444"/>
      <c r="L80" s="444"/>
      <c r="M80" s="444"/>
      <c r="N80" s="444"/>
      <c r="O80" s="444"/>
      <c r="P80" s="444"/>
      <c r="Q80" s="444"/>
      <c r="R80" s="444"/>
      <c r="S80" s="444"/>
      <c r="T80" s="444"/>
      <c r="U80" s="444"/>
      <c r="V80" s="444"/>
      <c r="W80" s="445"/>
    </row>
    <row r="81" spans="2:23" ht="23.1" customHeight="1">
      <c r="B81" s="48"/>
      <c r="C81" s="146" t="s">
        <v>109</v>
      </c>
      <c r="D81" s="74" t="s">
        <v>316</v>
      </c>
      <c r="E81" s="470"/>
      <c r="F81" s="470"/>
      <c r="G81" s="486"/>
      <c r="H81" s="50"/>
      <c r="J81" s="443"/>
      <c r="K81" s="444"/>
      <c r="L81" s="444"/>
      <c r="M81" s="444"/>
      <c r="N81" s="444"/>
      <c r="O81" s="444"/>
      <c r="P81" s="444"/>
      <c r="Q81" s="444"/>
      <c r="R81" s="444"/>
      <c r="S81" s="444"/>
      <c r="T81" s="444"/>
      <c r="U81" s="444"/>
      <c r="V81" s="444"/>
      <c r="W81" s="445"/>
    </row>
    <row r="82" spans="2:23" ht="23.1" customHeight="1">
      <c r="B82" s="48"/>
      <c r="C82" s="146" t="s">
        <v>114</v>
      </c>
      <c r="D82" s="74" t="s">
        <v>317</v>
      </c>
      <c r="E82" s="470"/>
      <c r="F82" s="470"/>
      <c r="G82" s="486"/>
      <c r="H82" s="50"/>
      <c r="J82" s="443"/>
      <c r="K82" s="444"/>
      <c r="L82" s="444"/>
      <c r="M82" s="444"/>
      <c r="N82" s="444"/>
      <c r="O82" s="444"/>
      <c r="P82" s="444"/>
      <c r="Q82" s="444"/>
      <c r="R82" s="444"/>
      <c r="S82" s="444"/>
      <c r="T82" s="444"/>
      <c r="U82" s="444"/>
      <c r="V82" s="444"/>
      <c r="W82" s="445"/>
    </row>
    <row r="83" spans="2:23" ht="23.1" customHeight="1">
      <c r="B83" s="48"/>
      <c r="C83" s="143" t="s">
        <v>219</v>
      </c>
      <c r="D83" s="72" t="s">
        <v>245</v>
      </c>
      <c r="E83" s="471"/>
      <c r="F83" s="471">
        <v>75000</v>
      </c>
      <c r="G83" s="487">
        <v>75000</v>
      </c>
      <c r="H83" s="50"/>
      <c r="J83" s="443"/>
      <c r="K83" s="444"/>
      <c r="L83" s="444"/>
      <c r="M83" s="444"/>
      <c r="N83" s="444"/>
      <c r="O83" s="444"/>
      <c r="P83" s="444"/>
      <c r="Q83" s="444"/>
      <c r="R83" s="444"/>
      <c r="S83" s="444"/>
      <c r="T83" s="444"/>
      <c r="U83" s="444"/>
      <c r="V83" s="444"/>
      <c r="W83" s="445"/>
    </row>
    <row r="84" spans="2:23" ht="23.1" customHeight="1">
      <c r="B84" s="48"/>
      <c r="C84" s="143" t="s">
        <v>221</v>
      </c>
      <c r="D84" s="72" t="s">
        <v>318</v>
      </c>
      <c r="E84" s="471"/>
      <c r="F84" s="471"/>
      <c r="G84" s="487"/>
      <c r="H84" s="50"/>
      <c r="J84" s="443"/>
      <c r="K84" s="444"/>
      <c r="L84" s="444"/>
      <c r="M84" s="444"/>
      <c r="N84" s="444"/>
      <c r="O84" s="444"/>
      <c r="P84" s="444"/>
      <c r="Q84" s="444"/>
      <c r="R84" s="444"/>
      <c r="S84" s="444"/>
      <c r="T84" s="444"/>
      <c r="U84" s="444"/>
      <c r="V84" s="444"/>
      <c r="W84" s="445"/>
    </row>
    <row r="85" spans="2:23" ht="23.1" customHeight="1">
      <c r="B85" s="48"/>
      <c r="C85" s="139"/>
      <c r="D85" s="88"/>
      <c r="E85" s="137"/>
      <c r="F85" s="137"/>
      <c r="G85" s="149"/>
      <c r="H85" s="50"/>
      <c r="J85" s="443"/>
      <c r="K85" s="444"/>
      <c r="L85" s="444"/>
      <c r="M85" s="444"/>
      <c r="N85" s="444"/>
      <c r="O85" s="444"/>
      <c r="P85" s="444"/>
      <c r="Q85" s="444"/>
      <c r="R85" s="444"/>
      <c r="S85" s="444"/>
      <c r="T85" s="444"/>
      <c r="U85" s="444"/>
      <c r="V85" s="444"/>
      <c r="W85" s="445"/>
    </row>
    <row r="86" spans="2:23" ht="23.1" customHeight="1" thickBot="1">
      <c r="B86" s="48"/>
      <c r="C86" s="152" t="s">
        <v>319</v>
      </c>
      <c r="D86" s="81"/>
      <c r="E86" s="138">
        <f>E16+E43+E61</f>
        <v>8051978.3799999999</v>
      </c>
      <c r="F86" s="138">
        <f>F16+F43+F61</f>
        <v>3007729.95</v>
      </c>
      <c r="G86" s="153">
        <f>G16+G43+G61</f>
        <v>2895699.13</v>
      </c>
      <c r="H86" s="50"/>
      <c r="J86" s="443"/>
      <c r="K86" s="444"/>
      <c r="L86" s="444"/>
      <c r="M86" s="444"/>
      <c r="N86" s="444"/>
      <c r="O86" s="444"/>
      <c r="P86" s="444"/>
      <c r="Q86" s="444"/>
      <c r="R86" s="444"/>
      <c r="S86" s="444"/>
      <c r="T86" s="444"/>
      <c r="U86" s="444"/>
      <c r="V86" s="444"/>
      <c r="W86" s="445"/>
    </row>
    <row r="87" spans="2:23" ht="23.1" customHeight="1" thickBot="1">
      <c r="B87" s="52"/>
      <c r="C87" s="1134"/>
      <c r="D87" s="1134"/>
      <c r="E87" s="1134"/>
      <c r="F87" s="1134"/>
      <c r="G87" s="54"/>
      <c r="H87" s="55"/>
      <c r="J87" s="446"/>
      <c r="K87" s="447"/>
      <c r="L87" s="447"/>
      <c r="M87" s="447"/>
      <c r="N87" s="447"/>
      <c r="O87" s="447"/>
      <c r="P87" s="447"/>
      <c r="Q87" s="447"/>
      <c r="R87" s="447"/>
      <c r="S87" s="447"/>
      <c r="T87" s="447"/>
      <c r="U87" s="447"/>
      <c r="V87" s="447"/>
      <c r="W87" s="448"/>
    </row>
    <row r="88" spans="2:23" ht="23.1" customHeight="1">
      <c r="C88" s="44"/>
      <c r="D88" s="44"/>
      <c r="E88" s="44"/>
      <c r="F88" s="44"/>
      <c r="G88" s="44"/>
    </row>
    <row r="89" spans="2:23" ht="13.2">
      <c r="C89" s="37" t="s">
        <v>77</v>
      </c>
      <c r="D89" s="44"/>
      <c r="E89" s="44"/>
      <c r="F89" s="44"/>
      <c r="G89" s="41" t="s">
        <v>706</v>
      </c>
    </row>
    <row r="90" spans="2:23" ht="13.2">
      <c r="C90" s="38" t="s">
        <v>78</v>
      </c>
      <c r="D90" s="44"/>
      <c r="E90" s="44"/>
      <c r="F90" s="44"/>
      <c r="G90" s="44"/>
    </row>
    <row r="91" spans="2:23" ht="13.2">
      <c r="C91" s="38" t="s">
        <v>79</v>
      </c>
      <c r="D91" s="44"/>
      <c r="E91" s="44"/>
      <c r="F91" s="44"/>
      <c r="G91" s="44"/>
    </row>
    <row r="92" spans="2:23" ht="13.2">
      <c r="C92" s="38" t="s">
        <v>80</v>
      </c>
      <c r="D92" s="44"/>
      <c r="E92" s="44"/>
      <c r="F92" s="44"/>
      <c r="G92" s="44"/>
    </row>
    <row r="93" spans="2:23" ht="13.2">
      <c r="C93" s="38" t="s">
        <v>81</v>
      </c>
      <c r="D93" s="44"/>
      <c r="E93" s="44"/>
      <c r="F93" s="44"/>
      <c r="G93" s="44"/>
    </row>
    <row r="94" spans="2:23" ht="23.1" customHeight="1">
      <c r="C94" s="44"/>
      <c r="D94" s="44"/>
      <c r="E94" s="749" t="str">
        <f>IF(CHECK_LIST!J15&gt;0,"Revisa","")</f>
        <v/>
      </c>
      <c r="F94" s="749" t="str">
        <f>IF(CHECK_LIST!K15&gt;0,"Revisa","")</f>
        <v/>
      </c>
      <c r="G94" s="749" t="str">
        <f>IF(CHECK_LIST!L15&gt;0,"Revisa","")</f>
        <v/>
      </c>
    </row>
    <row r="95" spans="2:23" ht="23.1" customHeight="1">
      <c r="C95" s="44"/>
      <c r="D95" s="44"/>
      <c r="E95" s="44"/>
      <c r="F95" s="44"/>
      <c r="G95" s="44"/>
    </row>
    <row r="96" spans="2:23" ht="23.1" customHeight="1">
      <c r="C96" s="44"/>
      <c r="D96" s="44"/>
      <c r="E96" s="44"/>
      <c r="F96" s="44"/>
      <c r="G96" s="44"/>
    </row>
    <row r="97" spans="3:7" ht="23.1" customHeight="1">
      <c r="C97" s="44"/>
      <c r="D97" s="44"/>
      <c r="E97" s="44"/>
      <c r="F97" s="44"/>
      <c r="G97" s="44"/>
    </row>
    <row r="98" spans="3:7" ht="23.1" customHeight="1">
      <c r="F98" s="44"/>
      <c r="G98" s="44"/>
    </row>
  </sheetData>
  <sheetProtection password="E059" sheet="1" objects="1" scenarios="1"/>
  <mergeCells count="3">
    <mergeCell ref="G6:G7"/>
    <mergeCell ref="D9:G9"/>
    <mergeCell ref="C87:F87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8C4C667D80F14B8B425488C0119DEC" ma:contentTypeVersion="5" ma:contentTypeDescription="Crear nuevo documento." ma:contentTypeScope="" ma:versionID="76565bb5e7a17d742224befe71d5187a">
  <xsd:schema xmlns:xsd="http://www.w3.org/2001/XMLSchema" xmlns:xs="http://www.w3.org/2001/XMLSchema" xmlns:p="http://schemas.microsoft.com/office/2006/metadata/properties" xmlns:ns2="9c59f122-ab66-42f1-8bb5-a3979aa14479" targetNamespace="http://schemas.microsoft.com/office/2006/metadata/properties" ma:root="true" ma:fieldsID="029b5652a7515d133607c3d86fde9261" ns2:_="">
    <xsd:import namespace="9c59f122-ab66-42f1-8bb5-a3979aa144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9f122-ab66-42f1-8bb5-a3979aa14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8B8678-F464-47D5-9B3B-0848BC74E1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59f122-ab66-42f1-8bb5-a3979aa14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0B5860-A009-4927-BB23-849D7C4893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CC1E62-48BC-430E-80F5-090ADF4FF431}">
  <ds:schemaRefs>
    <ds:schemaRef ds:uri="http://schemas.microsoft.com/office/2006/metadata/properties"/>
    <ds:schemaRef ds:uri="http://schemas.microsoft.com/office/2006/documentManagement/types"/>
    <ds:schemaRef ds:uri="9c59f122-ab66-42f1-8bb5-a3979aa14479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28</vt:i4>
      </vt:variant>
    </vt:vector>
  </HeadingPairs>
  <TitlesOfParts>
    <vt:vector size="53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FC-5_EFE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'FC-5_EFE'!Área_de_impresión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Silvia Davara Arricivita</cp:lastModifiedBy>
  <cp:lastPrinted>2017-11-07T13:20:27Z</cp:lastPrinted>
  <dcterms:created xsi:type="dcterms:W3CDTF">2017-09-18T15:25:23Z</dcterms:created>
  <dcterms:modified xsi:type="dcterms:W3CDTF">2018-01-26T14:19:24Z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0x010100B78C4C667D80F14B8B425488C0119DEC</vt:lpwstr>
  </property>
</Properties>
</file>