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workbookProtection workbookPassword="CF7A" lockStructure="1"/>
  <bookViews>
    <workbookView xWindow="372" yWindow="0" windowWidth="23112" windowHeight="12828" tabRatio="807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'FC-3_1_INF_ADIC_CPyG'!$B$1:$N$104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'FC-9_TRANS_SUBV'!$B$1:$M$117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8" l="1"/>
  <c r="G32" i="18"/>
  <c r="G56" i="14"/>
  <c r="F28" i="15"/>
  <c r="G18" i="13"/>
  <c r="F30" i="18"/>
  <c r="F32" i="18"/>
  <c r="F35" i="18"/>
  <c r="F32" i="37"/>
  <c r="K32" i="37"/>
  <c r="G91" i="9"/>
  <c r="G32" i="7"/>
  <c r="G31" i="7"/>
  <c r="E24" i="34"/>
  <c r="E24" i="32"/>
  <c r="G51" i="17"/>
  <c r="N42" i="23"/>
  <c r="N74" i="23"/>
  <c r="E47" i="34"/>
  <c r="E50" i="32"/>
  <c r="G90" i="9"/>
  <c r="G54" i="9"/>
  <c r="G57" i="9"/>
  <c r="G60" i="9"/>
  <c r="G52" i="9"/>
  <c r="G66" i="9"/>
  <c r="G65" i="9"/>
  <c r="G75" i="9"/>
  <c r="G82" i="9"/>
  <c r="G50" i="9"/>
  <c r="G17" i="9"/>
  <c r="G26" i="9"/>
  <c r="G30" i="9"/>
  <c r="G33" i="9"/>
  <c r="G40" i="9"/>
  <c r="F90" i="9"/>
  <c r="F54" i="9"/>
  <c r="F57" i="9"/>
  <c r="F60" i="9"/>
  <c r="F52" i="9"/>
  <c r="F66" i="9"/>
  <c r="F65" i="9"/>
  <c r="F75" i="9"/>
  <c r="F82" i="9"/>
  <c r="F17" i="9"/>
  <c r="F26" i="9"/>
  <c r="F30" i="9"/>
  <c r="F33" i="9"/>
  <c r="F40" i="9"/>
  <c r="F16" i="9"/>
  <c r="G21" i="20"/>
  <c r="Q53" i="23"/>
  <c r="Q52" i="23"/>
  <c r="K18" i="13"/>
  <c r="F42" i="18"/>
  <c r="F45" i="18"/>
  <c r="G33" i="37"/>
  <c r="F33" i="37"/>
  <c r="J96" i="18"/>
  <c r="F96" i="18"/>
  <c r="G70" i="18"/>
  <c r="F70" i="18"/>
  <c r="H67" i="18"/>
  <c r="I67" i="18"/>
  <c r="I56" i="18"/>
  <c r="H56" i="18"/>
  <c r="G56" i="18"/>
  <c r="F56" i="18"/>
  <c r="H52" i="18"/>
  <c r="I52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66" i="9"/>
  <c r="E65" i="9"/>
  <c r="E75" i="9"/>
  <c r="E82" i="9"/>
  <c r="E90" i="9"/>
  <c r="E50" i="9"/>
  <c r="E63" i="14"/>
  <c r="E66" i="14"/>
  <c r="E74" i="14"/>
  <c r="E73" i="14"/>
  <c r="E61" i="14"/>
  <c r="E68" i="32"/>
  <c r="G52" i="18"/>
  <c r="G67" i="18"/>
  <c r="G30" i="7"/>
  <c r="E39" i="33"/>
  <c r="E36" i="34"/>
  <c r="E39" i="32"/>
  <c r="J39" i="25"/>
  <c r="J40" i="25"/>
  <c r="J41" i="25"/>
  <c r="J42" i="25"/>
  <c r="J43" i="25"/>
  <c r="J44" i="25"/>
  <c r="F53" i="25"/>
  <c r="J51" i="17"/>
  <c r="J52" i="17"/>
  <c r="J53" i="17"/>
  <c r="J54" i="17"/>
  <c r="J55" i="17"/>
  <c r="J56" i="17"/>
  <c r="J57" i="17"/>
  <c r="J58" i="17"/>
  <c r="G31" i="37"/>
  <c r="J27" i="17"/>
  <c r="J28" i="17"/>
  <c r="J29" i="17"/>
  <c r="J30" i="17"/>
  <c r="J31" i="17"/>
  <c r="J32" i="17"/>
  <c r="J33" i="17"/>
  <c r="J34" i="17"/>
  <c r="G29" i="37"/>
  <c r="J42" i="17"/>
  <c r="J43" i="17"/>
  <c r="J44" i="17"/>
  <c r="J45" i="17"/>
  <c r="J46" i="17"/>
  <c r="J47" i="17"/>
  <c r="J48" i="17"/>
  <c r="J49" i="17"/>
  <c r="G30" i="37"/>
  <c r="J18" i="17"/>
  <c r="J19" i="17"/>
  <c r="J20" i="17"/>
  <c r="J21" i="17"/>
  <c r="J22" i="17"/>
  <c r="J23" i="17"/>
  <c r="J24" i="17"/>
  <c r="J25" i="17"/>
  <c r="G28" i="37"/>
  <c r="M18" i="15"/>
  <c r="E29" i="15"/>
  <c r="M29" i="15"/>
  <c r="M19" i="15"/>
  <c r="E30" i="15"/>
  <c r="M30" i="15"/>
  <c r="G24" i="37"/>
  <c r="L24" i="37"/>
  <c r="O31" i="3"/>
  <c r="R74" i="23"/>
  <c r="S74" i="23"/>
  <c r="Q49" i="23"/>
  <c r="Q50" i="23"/>
  <c r="Q51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7" i="37"/>
  <c r="L37" i="37"/>
  <c r="M37" i="37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2" i="23"/>
  <c r="G36" i="37"/>
  <c r="L36" i="37"/>
  <c r="L42" i="23"/>
  <c r="L74" i="23"/>
  <c r="P42" i="23"/>
  <c r="P74" i="23"/>
  <c r="O74" i="23"/>
  <c r="M74" i="23"/>
  <c r="K74" i="23"/>
  <c r="Q48" i="23"/>
  <c r="P48" i="23"/>
  <c r="O48" i="23"/>
  <c r="N48" i="23"/>
  <c r="M48" i="23"/>
  <c r="L48" i="23"/>
  <c r="I46" i="13"/>
  <c r="F31" i="15"/>
  <c r="H31" i="15"/>
  <c r="K31" i="15"/>
  <c r="E39" i="29"/>
  <c r="G53" i="13"/>
  <c r="G51" i="13"/>
  <c r="F49" i="13"/>
  <c r="G22" i="7"/>
  <c r="E32" i="29"/>
  <c r="G59" i="36"/>
  <c r="G89" i="36"/>
  <c r="E42" i="33"/>
  <c r="G88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8" i="38"/>
  <c r="D44" i="38"/>
  <c r="L44" i="38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18" i="14"/>
  <c r="G22" i="14"/>
  <c r="G28" i="14"/>
  <c r="G35" i="14"/>
  <c r="G49" i="14"/>
  <c r="G44" i="14"/>
  <c r="G43" i="14"/>
  <c r="G66" i="14"/>
  <c r="G63" i="14"/>
  <c r="G74" i="14"/>
  <c r="G73" i="14"/>
  <c r="E17" i="9"/>
  <c r="E26" i="9"/>
  <c r="E30" i="9"/>
  <c r="E33" i="9"/>
  <c r="E40" i="9"/>
  <c r="E16" i="9"/>
  <c r="E18" i="14"/>
  <c r="E22" i="14"/>
  <c r="E28" i="14"/>
  <c r="E17" i="14"/>
  <c r="E35" i="14"/>
  <c r="E16" i="14"/>
  <c r="E44" i="14"/>
  <c r="E49" i="14"/>
  <c r="M16" i="15"/>
  <c r="M17" i="15"/>
  <c r="F18" i="14"/>
  <c r="F22" i="14"/>
  <c r="F28" i="14"/>
  <c r="F35" i="14"/>
  <c r="F44" i="14"/>
  <c r="F49" i="14"/>
  <c r="F43" i="14"/>
  <c r="F63" i="14"/>
  <c r="F66" i="14"/>
  <c r="F74" i="14"/>
  <c r="F73" i="14"/>
  <c r="F61" i="14"/>
  <c r="E59" i="36"/>
  <c r="E51" i="36"/>
  <c r="K36" i="36"/>
  <c r="K40" i="36"/>
  <c r="K35" i="36"/>
  <c r="G16" i="7"/>
  <c r="E18" i="33"/>
  <c r="E18" i="34"/>
  <c r="G27" i="7"/>
  <c r="G34" i="7"/>
  <c r="E34" i="29"/>
  <c r="G43" i="7"/>
  <c r="G59" i="7"/>
  <c r="G52" i="7"/>
  <c r="E26" i="29"/>
  <c r="G55" i="7"/>
  <c r="G63" i="7"/>
  <c r="G67" i="7"/>
  <c r="E55" i="33"/>
  <c r="E55" i="32"/>
  <c r="G70" i="7"/>
  <c r="E41" i="33"/>
  <c r="E38" i="34"/>
  <c r="E41" i="32"/>
  <c r="E19" i="33"/>
  <c r="E25" i="33"/>
  <c r="E29" i="33"/>
  <c r="E33" i="33"/>
  <c r="E33" i="32"/>
  <c r="E47" i="33"/>
  <c r="E51" i="33"/>
  <c r="F19" i="20"/>
  <c r="M42" i="23"/>
  <c r="E28" i="34"/>
  <c r="F67" i="18"/>
  <c r="F35" i="37"/>
  <c r="K35" i="37"/>
  <c r="G35" i="37"/>
  <c r="L35" i="37"/>
  <c r="F52" i="18"/>
  <c r="F34" i="37"/>
  <c r="K34" i="37"/>
  <c r="G34" i="37"/>
  <c r="L34" i="37"/>
  <c r="M34" i="37"/>
  <c r="I31" i="15"/>
  <c r="E64" i="32"/>
  <c r="I20" i="15"/>
  <c r="F26" i="37"/>
  <c r="K26" i="37"/>
  <c r="M22" i="15"/>
  <c r="E33" i="15"/>
  <c r="M33" i="15"/>
  <c r="F24" i="37"/>
  <c r="K24" i="37"/>
  <c r="E28" i="15"/>
  <c r="M28" i="15"/>
  <c r="E27" i="15"/>
  <c r="M27" i="15"/>
  <c r="M15" i="15"/>
  <c r="E26" i="15"/>
  <c r="F22" i="37"/>
  <c r="K22" i="37"/>
  <c r="G79" i="36"/>
  <c r="G20" i="37"/>
  <c r="L20" i="37"/>
  <c r="F79" i="36"/>
  <c r="F20" i="37"/>
  <c r="K20" i="37"/>
  <c r="E79" i="36"/>
  <c r="E20" i="37"/>
  <c r="J20" i="37"/>
  <c r="G75" i="36"/>
  <c r="G19" i="37"/>
  <c r="L19" i="37"/>
  <c r="E75" i="36"/>
  <c r="E19" i="37"/>
  <c r="J19" i="37"/>
  <c r="F75" i="36"/>
  <c r="F19" i="37"/>
  <c r="K19" i="37"/>
  <c r="G51" i="36"/>
  <c r="G18" i="37"/>
  <c r="L18" i="37"/>
  <c r="E18" i="37"/>
  <c r="J18" i="37"/>
  <c r="F51" i="36"/>
  <c r="F59" i="36"/>
  <c r="F18" i="37"/>
  <c r="K18" i="37"/>
  <c r="K16" i="36"/>
  <c r="K20" i="36"/>
  <c r="K25" i="36"/>
  <c r="K19" i="36"/>
  <c r="E17" i="31"/>
  <c r="K44" i="36"/>
  <c r="E16" i="7"/>
  <c r="E16" i="36"/>
  <c r="E20" i="36"/>
  <c r="E25" i="36"/>
  <c r="E19" i="36"/>
  <c r="E36" i="36"/>
  <c r="E40" i="36"/>
  <c r="E35" i="36"/>
  <c r="E44" i="36"/>
  <c r="E34" i="36"/>
  <c r="E47" i="36"/>
  <c r="E17" i="37"/>
  <c r="J17" i="37"/>
  <c r="F16" i="7"/>
  <c r="H16" i="36"/>
  <c r="H20" i="36"/>
  <c r="H25" i="36"/>
  <c r="H19" i="36"/>
  <c r="H36" i="36"/>
  <c r="H40" i="36"/>
  <c r="H35" i="36"/>
  <c r="H44" i="36"/>
  <c r="H34" i="36"/>
  <c r="H47" i="36"/>
  <c r="F17" i="37"/>
  <c r="K17" i="37"/>
  <c r="E52" i="7"/>
  <c r="E55" i="7"/>
  <c r="E51" i="7"/>
  <c r="E59" i="7"/>
  <c r="E63" i="7"/>
  <c r="E67" i="7"/>
  <c r="E70" i="7"/>
  <c r="E74" i="7"/>
  <c r="E22" i="7"/>
  <c r="E27" i="7"/>
  <c r="E30" i="7"/>
  <c r="E34" i="7"/>
  <c r="E43" i="7"/>
  <c r="E49" i="7"/>
  <c r="E76" i="7"/>
  <c r="E79" i="7"/>
  <c r="E84" i="7"/>
  <c r="E16" i="37"/>
  <c r="J16" i="37"/>
  <c r="F27" i="7"/>
  <c r="F22" i="7"/>
  <c r="F30" i="7"/>
  <c r="F34" i="7"/>
  <c r="F43" i="7"/>
  <c r="F49" i="7"/>
  <c r="F52" i="7"/>
  <c r="F55" i="7"/>
  <c r="F51" i="7"/>
  <c r="F59" i="7"/>
  <c r="F63" i="7"/>
  <c r="F67" i="7"/>
  <c r="F70" i="7"/>
  <c r="F74" i="7"/>
  <c r="L16" i="36"/>
  <c r="L20" i="36"/>
  <c r="L25" i="36"/>
  <c r="L19" i="36"/>
  <c r="L36" i="36"/>
  <c r="L40" i="36"/>
  <c r="L35" i="36"/>
  <c r="L44" i="36"/>
  <c r="L34" i="36"/>
  <c r="I16" i="36"/>
  <c r="I20" i="36"/>
  <c r="I25" i="36"/>
  <c r="I19" i="36"/>
  <c r="I36" i="36"/>
  <c r="I40" i="36"/>
  <c r="I44" i="36"/>
  <c r="F16" i="36"/>
  <c r="F20" i="36"/>
  <c r="F25" i="36"/>
  <c r="F19" i="36"/>
  <c r="F36" i="36"/>
  <c r="F40" i="36"/>
  <c r="F35" i="36"/>
  <c r="F44" i="36"/>
  <c r="F34" i="36"/>
  <c r="E40" i="29"/>
  <c r="E42" i="34"/>
  <c r="E45" i="32"/>
  <c r="E46" i="32"/>
  <c r="E47" i="32"/>
  <c r="E23" i="34"/>
  <c r="E37" i="29"/>
  <c r="E36" i="29"/>
  <c r="E35" i="29"/>
  <c r="E22" i="29"/>
  <c r="E23" i="29"/>
  <c r="E24" i="29"/>
  <c r="G81" i="18"/>
  <c r="E28" i="29"/>
  <c r="E25" i="31"/>
  <c r="E26" i="31"/>
  <c r="E21" i="31"/>
  <c r="E28" i="31"/>
  <c r="G31" i="15"/>
  <c r="E63" i="32"/>
  <c r="J31" i="15"/>
  <c r="E65" i="32"/>
  <c r="L31" i="15"/>
  <c r="E66" i="32"/>
  <c r="I25" i="17"/>
  <c r="I34" i="17"/>
  <c r="I49" i="17"/>
  <c r="I58" i="17"/>
  <c r="E67" i="32"/>
  <c r="E19" i="34"/>
  <c r="E19" i="32"/>
  <c r="E16" i="32"/>
  <c r="E17" i="32"/>
  <c r="H25" i="17"/>
  <c r="H34" i="17"/>
  <c r="H49" i="17"/>
  <c r="H58" i="17"/>
  <c r="E27" i="34"/>
  <c r="E27" i="32"/>
  <c r="G25" i="17"/>
  <c r="G34" i="17"/>
  <c r="G49" i="17"/>
  <c r="G58" i="17"/>
  <c r="O42" i="23"/>
  <c r="G74" i="36"/>
  <c r="F74" i="36"/>
  <c r="E74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9" i="36"/>
  <c r="F69" i="36"/>
  <c r="E69" i="36"/>
  <c r="G50" i="36"/>
  <c r="F50" i="36"/>
  <c r="E50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81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E29" i="29"/>
  <c r="E20" i="33"/>
  <c r="E20" i="34"/>
  <c r="E20" i="32"/>
  <c r="E27" i="29"/>
  <c r="E21" i="29"/>
  <c r="G21" i="37"/>
  <c r="L21" i="37"/>
  <c r="M21" i="37"/>
  <c r="F36" i="37"/>
  <c r="K36" i="37"/>
  <c r="E38" i="29"/>
  <c r="I35" i="36"/>
  <c r="I34" i="36"/>
  <c r="E25" i="29"/>
  <c r="E44" i="34"/>
  <c r="G26" i="37"/>
  <c r="L26" i="37"/>
  <c r="E94" i="9"/>
  <c r="F76" i="7"/>
  <c r="F79" i="7"/>
  <c r="F84" i="7"/>
  <c r="F16" i="37"/>
  <c r="K16" i="37"/>
  <c r="L47" i="36"/>
  <c r="M18" i="37"/>
  <c r="G25" i="37"/>
  <c r="L25" i="37"/>
  <c r="F17" i="14"/>
  <c r="F16" i="14"/>
  <c r="F86" i="14"/>
  <c r="E43" i="14"/>
  <c r="G27" i="37"/>
  <c r="I47" i="36"/>
  <c r="G51" i="7"/>
  <c r="G74" i="7"/>
  <c r="G17" i="14"/>
  <c r="G16" i="14"/>
  <c r="E24" i="31"/>
  <c r="G16" i="9"/>
  <c r="M36" i="37"/>
  <c r="E33" i="29"/>
  <c r="E21" i="33"/>
  <c r="E31" i="33"/>
  <c r="E35" i="33"/>
  <c r="G49" i="7"/>
  <c r="M20" i="15"/>
  <c r="E70" i="32"/>
  <c r="E46" i="34"/>
  <c r="E49" i="32"/>
  <c r="E51" i="32"/>
  <c r="M19" i="37"/>
  <c r="M35" i="37"/>
  <c r="E31" i="29"/>
  <c r="F23" i="37"/>
  <c r="K23" i="37"/>
  <c r="G23" i="37"/>
  <c r="L23" i="37"/>
  <c r="M23" i="37"/>
  <c r="G61" i="14"/>
  <c r="J45" i="25"/>
  <c r="F31" i="25"/>
  <c r="G38" i="37"/>
  <c r="L38" i="37"/>
  <c r="M38" i="37"/>
  <c r="E21" i="34"/>
  <c r="E18" i="32"/>
  <c r="E21" i="32"/>
  <c r="F50" i="9"/>
  <c r="F94" i="9"/>
  <c r="F15" i="37"/>
  <c r="K15" i="37"/>
  <c r="F94" i="14"/>
  <c r="F25" i="37"/>
  <c r="K25" i="37"/>
  <c r="E62" i="32"/>
  <c r="M26" i="37"/>
  <c r="G86" i="14"/>
  <c r="E39" i="34"/>
  <c r="E42" i="32"/>
  <c r="E40" i="33"/>
  <c r="E23" i="31"/>
  <c r="E23" i="32"/>
  <c r="E25" i="32"/>
  <c r="E25" i="34"/>
  <c r="F47" i="36"/>
  <c r="M20" i="37"/>
  <c r="E31" i="15"/>
  <c r="M26" i="15"/>
  <c r="E69" i="32"/>
  <c r="G94" i="9"/>
  <c r="M24" i="37"/>
  <c r="E29" i="34"/>
  <c r="E28" i="32"/>
  <c r="E29" i="32"/>
  <c r="E20" i="29"/>
  <c r="E45" i="29"/>
  <c r="E18" i="31"/>
  <c r="K34" i="36"/>
  <c r="K47" i="36"/>
  <c r="G17" i="37"/>
  <c r="L17" i="37"/>
  <c r="M17" i="37"/>
  <c r="E86" i="14"/>
  <c r="E15" i="37"/>
  <c r="J15" i="37"/>
  <c r="E48" i="34"/>
  <c r="M25" i="37"/>
  <c r="G76" i="7"/>
  <c r="G79" i="7"/>
  <c r="G84" i="7"/>
  <c r="G16" i="37"/>
  <c r="L16" i="37"/>
  <c r="M16" i="37"/>
  <c r="G35" i="18"/>
  <c r="G32" i="37"/>
  <c r="L32" i="37"/>
  <c r="M32" i="37"/>
  <c r="E71" i="32"/>
  <c r="E61" i="32"/>
  <c r="E94" i="14"/>
  <c r="G22" i="37"/>
  <c r="L22" i="37"/>
  <c r="M22" i="37"/>
  <c r="M31" i="15"/>
  <c r="E16" i="31"/>
  <c r="E33" i="31"/>
  <c r="F23" i="31"/>
  <c r="E37" i="34"/>
  <c r="E43" i="33"/>
  <c r="E53" i="33"/>
  <c r="E57" i="33"/>
  <c r="E59" i="33"/>
  <c r="G40" i="37"/>
  <c r="L40" i="37"/>
  <c r="M40" i="37"/>
  <c r="E31" i="32"/>
  <c r="E35" i="32"/>
  <c r="G15" i="37"/>
  <c r="L15" i="37"/>
  <c r="G94" i="14"/>
  <c r="E31" i="34"/>
  <c r="F18" i="31"/>
  <c r="F16" i="31"/>
  <c r="F33" i="31"/>
  <c r="F29" i="31"/>
  <c r="F17" i="31"/>
  <c r="F30" i="31"/>
  <c r="F28" i="31"/>
  <c r="F25" i="31"/>
  <c r="F19" i="31"/>
  <c r="F21" i="31"/>
  <c r="F26" i="31"/>
  <c r="F31" i="31"/>
  <c r="F24" i="31"/>
  <c r="E40" i="34"/>
  <c r="E50" i="34"/>
  <c r="E40" i="32"/>
  <c r="E43" i="32"/>
  <c r="E53" i="32"/>
  <c r="E57" i="32"/>
  <c r="E59" i="32"/>
  <c r="E73" i="32"/>
  <c r="M15" i="37"/>
</calcChain>
</file>

<file path=xl/sharedStrings.xml><?xml version="1.0" encoding="utf-8"?>
<sst xmlns="http://schemas.openxmlformats.org/spreadsheetml/2006/main" count="1712" uniqueCount="881">
  <si>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</si>
  <si>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</si>
  <si>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</si>
  <si>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</si>
  <si>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</si>
  <si>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</si>
  <si>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</si>
  <si>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</si>
  <si>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</si>
  <si>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</si>
  <si>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</si>
  <si>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</si>
  <si>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</si>
  <si>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</si>
  <si>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</si>
  <si>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</si>
  <si>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</si>
  <si>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</si>
  <si>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</si>
  <si>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</si>
  <si>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</si>
  <si>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</si>
  <si>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</si>
  <si>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</si>
  <si>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</si>
  <si>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</si>
  <si>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</si>
  <si>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</si>
  <si>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</si>
  <si>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</si>
  <si>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</si>
  <si>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</si>
  <si>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</si>
  <si>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</si>
  <si>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</si>
  <si>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</si>
  <si>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</si>
  <si>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</si>
  <si>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</si>
  <si>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</si>
  <si>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</si>
  <si>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</si>
  <si>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</si>
  <si>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</si>
  <si>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</si>
  <si>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</si>
  <si>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</si>
  <si>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</si>
  <si>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</si>
  <si>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</si>
  <si>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</si>
  <si>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</si>
  <si>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</si>
  <si>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</si>
  <si>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</si>
  <si>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</si>
  <si>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</si>
  <si>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</si>
  <si>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</si>
  <si>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</si>
  <si>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</si>
  <si>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</si>
  <si>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</si>
  <si>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</si>
  <si>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</si>
  <si>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</si>
  <si>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</si>
  <si>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</si>
  <si>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</si>
  <si>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</si>
  <si>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</si>
  <si>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</si>
  <si>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</si>
  <si>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</si>
  <si>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</si>
  <si>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</si>
  <si>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</si>
  <si>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</si>
  <si>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</si>
  <si>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</si>
  <si>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</si>
  <si>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</si>
  <si>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</si>
  <si>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</si>
  <si>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</si>
  <si>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</si>
  <si>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</si>
  <si>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</si>
  <si>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</si>
  <si>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</si>
  <si>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</si>
  <si>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</si>
  <si>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</si>
  <si>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</si>
  <si>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</si>
  <si>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</si>
  <si>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</si>
  <si>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</si>
  <si>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</si>
  <si>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</si>
  <si>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</si>
  <si>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</si>
  <si>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</si>
  <si>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</si>
  <si>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</si>
  <si>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</si>
  <si>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</si>
  <si>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</si>
  <si>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</si>
  <si>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</si>
  <si>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</si>
  <si>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</si>
  <si>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</si>
  <si>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</si>
  <si>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</si>
  <si>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</si>
  <si>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</si>
  <si>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</si>
  <si>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</si>
  <si>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</si>
  <si>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</si>
  <si>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</si>
  <si>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</si>
  <si>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</si>
  <si>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</si>
  <si>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</si>
  <si>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</si>
  <si>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</si>
  <si>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</si>
  <si>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</si>
  <si>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</si>
  <si>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</si>
  <si>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</si>
  <si>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</si>
  <si>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</si>
  <si>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</si>
  <si>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</si>
  <si>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</si>
  <si>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</si>
  <si>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</si>
  <si>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</si>
  <si>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</si>
  <si>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</si>
  <si>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</si>
  <si>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</si>
  <si>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</si>
  <si>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</si>
  <si>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</si>
  <si>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</si>
  <si>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</si>
  <si>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</si>
  <si>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</si>
  <si>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</si>
  <si>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</si>
  <si>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</si>
  <si>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</si>
  <si>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</si>
  <si>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</si>
  <si>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</si>
  <si>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</si>
  <si>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</si>
  <si>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</si>
  <si>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</si>
  <si>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</si>
  <si>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</si>
  <si>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</si>
  <si>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</si>
  <si>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</si>
  <si>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</si>
  <si>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</si>
  <si>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</si>
  <si>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</si>
  <si>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</si>
  <si>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</si>
  <si>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</si>
  <si>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</si>
  <si>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</si>
  <si>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</si>
  <si>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</si>
  <si>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</si>
  <si>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</si>
  <si>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</si>
  <si>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</si>
  <si>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</si>
  <si>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</si>
  <si>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</si>
  <si>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</si>
  <si>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</si>
  <si>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</si>
  <si>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</si>
  <si>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</si>
  <si>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</si>
  <si>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</si>
  <si>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</si>
  <si>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</si>
  <si>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</si>
  <si>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</si>
  <si>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</si>
  <si>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</si>
  <si>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</si>
  <si>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</si>
  <si>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</si>
  <si>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</si>
  <si>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</si>
  <si>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</si>
  <si>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</si>
  <si>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</si>
  <si>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</si>
  <si>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</si>
  <si>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</si>
  <si>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</si>
  <si>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</si>
  <si>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</si>
  <si>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</si>
  <si>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</si>
  <si>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</si>
  <si>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</si>
  <si>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</si>
  <si>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</si>
  <si>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</si>
  <si>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</si>
  <si>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</si>
  <si>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</si>
  <si>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</si>
  <si>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</si>
  <si>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</si>
  <si>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</si>
  <si>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</si>
  <si>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</si>
  <si>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</si>
  <si>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</si>
  <si>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</si>
  <si>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</si>
  <si>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</si>
  <si>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</si>
  <si>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</si>
  <si>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</si>
  <si>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</si>
  <si>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</si>
  <si>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</si>
  <si>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</si>
  <si>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</si>
  <si>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</si>
  <si>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</si>
  <si>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</si>
  <si>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</si>
  <si>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</si>
  <si>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</si>
  <si>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</si>
  <si>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</si>
  <si>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</si>
  <si>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</si>
  <si>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</si>
  <si>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</si>
  <si>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</si>
  <si>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</si>
  <si>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</si>
  <si>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</si>
  <si>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</si>
  <si>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</si>
  <si>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</si>
  <si>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</si>
  <si>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</si>
  <si>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</si>
  <si>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</si>
  <si>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</si>
  <si>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</si>
  <si>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</si>
  <si>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</si>
  <si>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</si>
  <si>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</si>
  <si>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</si>
  <si>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</si>
  <si>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</si>
  <si>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</si>
  <si>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</si>
  <si>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</si>
  <si>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</si>
  <si>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</si>
  <si>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</si>
  <si>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</si>
  <si>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</si>
  <si>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</si>
  <si>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</si>
  <si>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</si>
  <si>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</si>
  <si>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</si>
  <si>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</si>
  <si>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</si>
  <si>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</si>
  <si>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</si>
  <si>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</si>
  <si>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</si>
  <si>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</si>
  <si>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</si>
  <si>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</si>
  <si>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</si>
  <si>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</si>
  <si>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</si>
  <si>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</si>
  <si>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</si>
  <si>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</si>
  <si>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</si>
  <si>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</si>
  <si>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</si>
  <si>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</si>
  <si>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</si>
  <si>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</si>
  <si>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</si>
  <si>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</si>
  <si>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</si>
  <si>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</si>
  <si>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</si>
  <si>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</si>
  <si>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</si>
  <si>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</si>
  <si>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</si>
  <si>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</si>
  <si>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</si>
  <si>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</si>
  <si>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</si>
  <si>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</si>
  <si>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</si>
  <si>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</si>
  <si>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</si>
  <si>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</si>
  <si>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</si>
  <si>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</si>
  <si>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</si>
  <si>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</si>
  <si>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</si>
  <si>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</si>
  <si>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</si>
  <si>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</si>
  <si>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</si>
  <si>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</si>
  <si>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</si>
  <si>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</si>
  <si>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</si>
  <si>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</si>
  <si>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</si>
  <si>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</si>
  <si>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</si>
  <si>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</si>
  <si>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</si>
  <si>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</si>
  <si>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</si>
  <si>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</si>
  <si>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</si>
  <si>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</si>
  <si>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</si>
  <si>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</si>
  <si>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</si>
  <si>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</si>
  <si>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</si>
  <si>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</si>
  <si>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</si>
  <si>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</si>
  <si>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</si>
  <si>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</si>
  <si>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</si>
  <si>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</si>
  <si>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</si>
  <si>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</si>
  <si>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</si>
  <si>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</si>
  <si>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</si>
  <si>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</si>
  <si>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</si>
  <si>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</si>
  <si>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</si>
  <si>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</si>
  <si>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</si>
  <si>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</si>
  <si>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</si>
  <si>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</si>
  <si>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</si>
  <si>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</si>
  <si>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</si>
  <si>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</si>
  <si>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</si>
  <si>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</si>
  <si>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</si>
  <si>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</si>
  <si>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</si>
  <si>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</si>
  <si>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</si>
  <si>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</si>
  <si>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</si>
  <si>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</si>
  <si>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</si>
  <si>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</si>
  <si>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</si>
  <si>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</si>
  <si>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</si>
  <si>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</si>
  <si>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</si>
  <si>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</si>
  <si>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</si>
  <si>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</si>
  <si>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</si>
  <si>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</si>
  <si>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</si>
  <si>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</si>
  <si>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</si>
  <si>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</si>
  <si>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</si>
  <si>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</si>
  <si>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</si>
  <si>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</si>
  <si>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</si>
  <si>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</si>
  <si>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</si>
  <si>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</si>
  <si>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</si>
  <si>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</si>
  <si>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</si>
  <si>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</si>
  <si>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</si>
  <si>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</si>
  <si>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</si>
  <si>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</si>
  <si>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</si>
  <si>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</si>
  <si>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</si>
  <si>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</si>
  <si>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</si>
  <si>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</si>
  <si>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</si>
  <si>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</si>
  <si>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</si>
  <si>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</si>
  <si>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</si>
  <si>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</si>
  <si>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</si>
  <si>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</si>
  <si>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</si>
  <si>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</si>
  <si>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</si>
  <si>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</si>
  <si>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</si>
  <si>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</si>
  <si>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</si>
  <si>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</si>
  <si>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</si>
  <si>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</si>
  <si>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</si>
  <si>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</si>
  <si>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</si>
  <si>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</si>
  <si>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</si>
  <si>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</si>
  <si>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</si>
  <si>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</si>
  <si>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</si>
  <si>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</si>
  <si>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</si>
  <si>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</si>
  <si>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</si>
  <si>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</si>
  <si>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</si>
  <si>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</si>
  <si>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</si>
  <si>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</si>
  <si>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</si>
  <si>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</si>
  <si>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</si>
  <si>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</si>
  <si>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</si>
  <si>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</si>
  <si>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</si>
  <si>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</si>
  <si>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</si>
  <si>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</si>
  <si>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</si>
  <si>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</si>
  <si>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</si>
  <si>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</si>
  <si>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</si>
  <si>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</si>
  <si>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</si>
  <si>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</si>
  <si>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</si>
  <si>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</si>
  <si>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</si>
  <si>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</si>
  <si>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</si>
  <si>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</si>
  <si>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</si>
  <si>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</si>
  <si>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</si>
  <si>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</si>
  <si>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</si>
  <si>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</si>
  <si>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</si>
  <si>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</si>
  <si>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</si>
  <si>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</si>
  <si>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</si>
  <si>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</si>
  <si>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</si>
  <si>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</si>
  <si>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</si>
  <si>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</si>
  <si>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</si>
  <si>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</si>
  <si>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</si>
  <si>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</si>
  <si>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</si>
  <si>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</si>
  <si>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</si>
  <si>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</si>
  <si>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</si>
  <si>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</si>
  <si>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</si>
  <si>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</si>
  <si>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</si>
  <si>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</si>
  <si>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</si>
  <si>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</si>
  <si>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</si>
  <si>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</si>
  <si>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</si>
  <si>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</si>
  <si>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</si>
  <si>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</si>
  <si>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</si>
  <si>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</si>
  <si>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</si>
  <si>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</si>
  <si>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</si>
  <si>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</si>
  <si>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</si>
  <si>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</si>
  <si>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</si>
  <si>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</si>
  <si>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</si>
  <si>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</si>
  <si>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</si>
  <si>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</si>
  <si>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</si>
  <si>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</si>
  <si>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</si>
  <si>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</si>
  <si>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</si>
  <si>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</si>
  <si>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</si>
  <si>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</si>
  <si>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</si>
  <si>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</si>
  <si>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</si>
  <si>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</si>
  <si>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</si>
  <si>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</si>
  <si>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</si>
  <si>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</si>
  <si>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</si>
  <si>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</si>
  <si>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</si>
  <si>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</si>
  <si>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</si>
  <si>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</si>
  <si>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</si>
  <si>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</si>
  <si>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</si>
  <si>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</si>
  <si>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</si>
  <si>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</si>
  <si>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</si>
  <si>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</si>
  <si>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</si>
  <si>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</si>
  <si>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</si>
  <si>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</si>
  <si>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</si>
  <si>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</si>
  <si>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</si>
  <si>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</si>
  <si>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</si>
  <si>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</si>
  <si>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</si>
  <si>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</si>
  <si>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</si>
  <si>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</si>
  <si>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</si>
  <si>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</si>
  <si>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</si>
  <si>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</si>
  <si>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</si>
  <si>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</si>
  <si>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</si>
  <si>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</si>
  <si>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</si>
  <si>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</si>
  <si>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</si>
  <si>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</si>
  <si>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</si>
  <si>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</si>
  <si>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</si>
  <si>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</si>
  <si>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</si>
  <si>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</si>
  <si>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</si>
  <si>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</si>
  <si>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</si>
  <si>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</si>
  <si>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</si>
  <si>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</si>
  <si>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</si>
  <si>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</si>
  <si>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</si>
  <si>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</si>
  <si>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</si>
  <si>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</si>
  <si>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</si>
  <si>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</si>
  <si>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</si>
  <si>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</si>
  <si>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</si>
  <si>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</si>
  <si>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</si>
  <si>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</si>
  <si>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</si>
  <si>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</si>
  <si>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</si>
  <si>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</si>
  <si>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</si>
  <si>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</si>
  <si>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</si>
  <si>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</si>
  <si>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</si>
  <si>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</si>
  <si>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</si>
  <si>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</si>
  <si>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</si>
  <si>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</si>
  <si>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</si>
  <si>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</si>
  <si>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</si>
  <si>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</si>
  <si>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</si>
  <si>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</si>
  <si>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</si>
  <si>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</si>
  <si>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</si>
  <si>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</si>
  <si>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</si>
  <si>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</si>
  <si>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</si>
  <si>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</si>
  <si>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</si>
  <si>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</si>
  <si>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</si>
  <si>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</si>
  <si>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</si>
  <si>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</si>
  <si>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</si>
  <si>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</si>
  <si>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</si>
  <si>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</si>
  <si>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</si>
  <si>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</si>
  <si>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</si>
  <si>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</si>
  <si>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</si>
  <si>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</si>
  <si>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</si>
  <si>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</si>
  <si>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</si>
  <si>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</si>
  <si>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</si>
  <si>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</si>
  <si>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</si>
  <si>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</si>
  <si>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</si>
  <si>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</si>
  <si>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</si>
  <si>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</si>
  <si>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</si>
  <si>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</si>
  <si>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</si>
  <si>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</si>
  <si>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</si>
  <si>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</si>
  <si>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</si>
  <si>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</si>
  <si>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</si>
  <si>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</si>
  <si>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</si>
  <si>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</si>
  <si>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</si>
  <si>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</si>
  <si>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</si>
  <si>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</si>
  <si>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</si>
  <si>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</si>
  <si>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</si>
  <si>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</si>
  <si>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</si>
  <si>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</si>
  <si>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</si>
  <si>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</si>
  <si>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</si>
  <si>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</si>
  <si>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</si>
  <si>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</si>
  <si>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</si>
  <si>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</si>
  <si>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</si>
  <si>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</si>
  <si>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</si>
  <si>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</si>
  <si>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</si>
  <si>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</si>
  <si>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</si>
  <si>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</si>
  <si>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</si>
  <si>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</si>
  <si>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</si>
  <si>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</si>
  <si>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</si>
  <si>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</si>
  <si>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</si>
  <si>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</si>
  <si>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</si>
  <si>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</si>
  <si>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</si>
  <si>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</si>
  <si>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</si>
  <si>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</si>
  <si>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</si>
  <si>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</si>
  <si>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</si>
  <si>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</si>
  <si>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</si>
  <si>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</si>
  <si>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</si>
  <si>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</si>
  <si>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</si>
  <si>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</si>
  <si>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</si>
  <si>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</si>
  <si>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</si>
  <si>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</si>
  <si>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</si>
  <si>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</si>
  <si>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</si>
  <si>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</si>
  <si>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</si>
  <si>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</si>
  <si>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</si>
  <si>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</si>
  <si>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</si>
  <si>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</si>
  <si>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</si>
  <si>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</si>
  <si>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</si>
  <si>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</si>
  <si>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</si>
  <si>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</si>
  <si>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</si>
  <si>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</si>
  <si>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</si>
  <si>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</si>
  <si>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</si>
  <si>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</si>
  <si>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</si>
  <si>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</si>
  <si>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</si>
  <si>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</si>
  <si>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</si>
  <si>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</si>
  <si>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</si>
  <si>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</si>
  <si>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</si>
  <si>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</si>
  <si>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</si>
  <si>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</si>
  <si>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</si>
  <si>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</si>
  <si>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</si>
  <si>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</si>
  <si>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</si>
  <si>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</si>
  <si>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</si>
  <si>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</si>
  <si>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</si>
  <si>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</si>
  <si>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</si>
  <si>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</si>
  <si>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</si>
  <si>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</si>
  <si>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</si>
  <si>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</si>
  <si>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</si>
  <si>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</si>
  <si>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</si>
  <si>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</si>
  <si>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</si>
  <si>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</si>
  <si>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</si>
  <si>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</si>
  <si>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</si>
  <si>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</si>
  <si>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</si>
  <si>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</si>
  <si>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</si>
  <si>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</si>
  <si>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</si>
  <si>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</si>
  <si>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</si>
  <si>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</si>
  <si>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</si>
  <si>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</si>
  <si>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</si>
  <si>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</si>
  <si>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CARLOS ALONSO RODRÍGUEZ</t>
  </si>
  <si>
    <t>ANTONIO GARCÍA MARICHAL</t>
  </si>
  <si>
    <t>JESÚS BERNARDO CORREA</t>
  </si>
  <si>
    <t>FÉLIX FARIÑA RODRÍGUEZ</t>
  </si>
  <si>
    <t>MIGUEL BECERRA DOMÍNGUEZ</t>
  </si>
  <si>
    <t>MIGUEL ÁNGEL PÉREZ PEREZ</t>
  </si>
  <si>
    <t>MANUEL FERNÁNDEZ VEGA</t>
  </si>
  <si>
    <t>LUIS ANTONIO MARTÍNEZ SANZ</t>
  </si>
  <si>
    <t>FRANCISCO ALMEIDA RODRÍGUEZ</t>
  </si>
  <si>
    <t>CARLOS GARCINUÑO ZURITA</t>
  </si>
  <si>
    <t>ORLANDO PERÉZ GARCÍA</t>
  </si>
  <si>
    <t>MANUEL FREDDY SANTOS PADRÓN</t>
  </si>
  <si>
    <t>EXCMO. CABILDO INSULAR DE TENERIFE</t>
  </si>
  <si>
    <t>A</t>
  </si>
  <si>
    <t>GERENCIA MUNICIPAL DE URBANISMO</t>
  </si>
  <si>
    <t>B</t>
  </si>
  <si>
    <t>AUTOCARTERA</t>
  </si>
  <si>
    <t>EXCMO. AYTO S/C TENERIFE</t>
  </si>
  <si>
    <t>AUTORIDAD PORTUARIA S/C TENERIFE</t>
  </si>
  <si>
    <t>AUDITORES Y CONSULTORES CANARIOS, S.L.P.</t>
  </si>
  <si>
    <t>ITER</t>
  </si>
  <si>
    <t>METROPOLITANO</t>
  </si>
  <si>
    <t>SINPROMI</t>
  </si>
  <si>
    <t>SPET</t>
  </si>
  <si>
    <t>MUSEOS DE TENERIFE</t>
  </si>
  <si>
    <t>AYUNTAMIENTO S/C DE TENERIFE</t>
  </si>
  <si>
    <t>CAJASIETE</t>
  </si>
  <si>
    <t>VARIOS</t>
  </si>
  <si>
    <t>260 y 265</t>
  </si>
  <si>
    <t>GENÉRICA</t>
  </si>
  <si>
    <t>ECIT</t>
  </si>
  <si>
    <t>EQUIPAMIENTO MOBILIARIO (COMÚN Y ESPECIALIZADO)</t>
  </si>
  <si>
    <t>ACTUACIONES TF INNOVA</t>
  </si>
  <si>
    <t>EDIFICIO MULTIEMPRESA</t>
  </si>
  <si>
    <t>PRÉSTAMO HIPOTECARIO</t>
  </si>
  <si>
    <t>9620.295-646905-89</t>
  </si>
  <si>
    <t>9620.295-646900-024</t>
  </si>
  <si>
    <t>9620.295-646906-02</t>
  </si>
  <si>
    <t>9620.305-141179-64</t>
  </si>
  <si>
    <t>9620.310-950098-26</t>
  </si>
  <si>
    <t>CAIXABANK</t>
  </si>
  <si>
    <t>NO</t>
  </si>
  <si>
    <t xml:space="preserve">EQUIPAMIENTO MOBILIARIO </t>
  </si>
  <si>
    <t>OTRAS JORNADAS, ENCUENTROS Y PATROCINIOS</t>
  </si>
  <si>
    <t>OBSERVATRIO PARA LA INNOVACIÓN</t>
  </si>
  <si>
    <t>PROG. CAPACITACION ALTA TECNOLOGÍA</t>
  </si>
  <si>
    <t>PROG. EMPRENDIMIENTO START IN</t>
  </si>
  <si>
    <t>FINANCIACIÓN FI2</t>
  </si>
  <si>
    <t>ACC. PROY. FORMATIVOS INN. CENTROS EDUC.</t>
  </si>
  <si>
    <t>NUEVOS PERFILES DIGITALES</t>
  </si>
  <si>
    <t>PLAN COMERCIALIZACIÓN PCTT</t>
  </si>
  <si>
    <t xml:space="preserve">MTO OFICINAS </t>
  </si>
  <si>
    <t>MEJORAS DÁRSENA PESQUERA</t>
  </si>
  <si>
    <t>ACTUACIONES DÁRSENA PESQUERA</t>
  </si>
  <si>
    <t>CASAS ANEXAS HG</t>
  </si>
  <si>
    <t>EDIFICIO MULTIEMPRESAS PROYECTO</t>
  </si>
  <si>
    <t>ACTUACIONES CCBB Y HG (Cofinanciación Cabildo Convenio)</t>
  </si>
  <si>
    <t>MEJORAS PCTT</t>
  </si>
  <si>
    <r>
      <rPr>
        <sz val="12"/>
        <color theme="1"/>
        <rFont val="Arial"/>
        <family val="2"/>
      </rPr>
      <t>170/</t>
    </r>
    <r>
      <rPr>
        <sz val="12"/>
        <color theme="1"/>
        <rFont val="Arial"/>
        <family val="2"/>
      </rPr>
      <t>520</t>
    </r>
  </si>
  <si>
    <t>0702</t>
  </si>
  <si>
    <t>4633</t>
  </si>
  <si>
    <t>74146</t>
  </si>
  <si>
    <t>44935</t>
  </si>
  <si>
    <t>ACTUACIONES DEL PROGRAMA TF INNOVA</t>
  </si>
  <si>
    <t>LVP: LIGA VIDEOJUEGOS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</si>
</sst>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3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86">
    <xf numFmtId="0" fontId="0" fillId="0" borderId="0" xfId="0"/>
    <xf numFmtId="0" fontId="14" fillId="2" borderId="0" xfId="0" applyFont="1" applyFill="1" applyBorder="1"/>
    <xf numFmtId="0" fontId="15" fillId="2" borderId="0" xfId="0" applyFont="1" applyFill="1"/>
    <xf numFmtId="0" fontId="15" fillId="2" borderId="0" xfId="0" applyFont="1" applyFill="1" applyBorder="1"/>
    <xf numFmtId="0" fontId="15" fillId="0" borderId="0" xfId="0" applyFont="1"/>
    <xf numFmtId="0" fontId="15" fillId="2" borderId="6" xfId="0" applyFont="1" applyFill="1" applyBorder="1"/>
    <xf numFmtId="0" fontId="15" fillId="2" borderId="7" xfId="0" applyFont="1" applyFill="1" applyBorder="1"/>
    <xf numFmtId="0" fontId="15" fillId="2" borderId="8" xfId="0" applyFont="1" applyFill="1" applyBorder="1"/>
    <xf numFmtId="0" fontId="15" fillId="2" borderId="9" xfId="0" applyFont="1" applyFill="1" applyBorder="1"/>
    <xf numFmtId="0" fontId="15" fillId="2" borderId="10" xfId="0" applyFont="1" applyFill="1" applyBorder="1"/>
    <xf numFmtId="0" fontId="15" fillId="2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vertical="center"/>
    </xf>
    <xf numFmtId="0" fontId="14" fillId="2" borderId="0" xfId="0" applyFont="1" applyFill="1"/>
    <xf numFmtId="0" fontId="14" fillId="2" borderId="1" xfId="0" applyFont="1" applyFill="1" applyBorder="1"/>
    <xf numFmtId="0" fontId="15" fillId="2" borderId="0" xfId="0" applyFont="1" applyFill="1" applyBorder="1" applyAlignment="1"/>
    <xf numFmtId="0" fontId="15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13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9" fillId="2" borderId="9" xfId="0" applyFont="1" applyFill="1" applyBorder="1"/>
    <xf numFmtId="0" fontId="14" fillId="2" borderId="10" xfId="0" applyFont="1" applyFill="1" applyBorder="1"/>
    <xf numFmtId="0" fontId="15" fillId="2" borderId="2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wrapText="1"/>
    </xf>
    <xf numFmtId="0" fontId="21" fillId="2" borderId="4" xfId="0" applyFont="1" applyFill="1" applyBorder="1"/>
    <xf numFmtId="0" fontId="21" fillId="2" borderId="5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 applyBorder="1" applyAlignment="1">
      <alignment horizontal="center"/>
    </xf>
    <xf numFmtId="0" fontId="21" fillId="2" borderId="2" xfId="0" applyFont="1" applyFill="1" applyBorder="1"/>
    <xf numFmtId="164" fontId="15" fillId="2" borderId="12" xfId="0" applyNumberFormat="1" applyFont="1" applyFill="1" applyBorder="1" applyAlignment="1">
      <alignment horizontal="center"/>
    </xf>
    <xf numFmtId="164" fontId="15" fillId="2" borderId="0" xfId="0" applyNumberFormat="1" applyFont="1" applyFill="1" applyAlignment="1">
      <alignment horizontal="center"/>
    </xf>
    <xf numFmtId="0" fontId="22" fillId="2" borderId="0" xfId="0" applyFont="1" applyFill="1" applyBorder="1"/>
    <xf numFmtId="0" fontId="22" fillId="2" borderId="0" xfId="0" applyFont="1" applyFill="1"/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5" fillId="2" borderId="0" xfId="0" applyFont="1" applyFill="1"/>
    <xf numFmtId="164" fontId="25" fillId="2" borderId="0" xfId="0" applyNumberFormat="1" applyFont="1" applyFill="1" applyAlignment="1">
      <alignment horizontal="center"/>
    </xf>
    <xf numFmtId="0" fontId="25" fillId="2" borderId="0" xfId="0" applyFont="1" applyFill="1" applyBorder="1"/>
    <xf numFmtId="0" fontId="25" fillId="2" borderId="6" xfId="0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2" borderId="9" xfId="0" applyFont="1" applyFill="1" applyBorder="1"/>
    <xf numFmtId="0" fontId="26" fillId="2" borderId="0" xfId="0" applyFont="1" applyFill="1" applyBorder="1"/>
    <xf numFmtId="0" fontId="25" fillId="2" borderId="10" xfId="0" applyFont="1" applyFill="1" applyBorder="1"/>
    <xf numFmtId="0" fontId="26" fillId="2" borderId="0" xfId="0" applyFont="1" applyFill="1" applyBorder="1" applyAlignment="1">
      <alignment horizontal="center" vertical="center"/>
    </xf>
    <xf numFmtId="0" fontId="25" fillId="2" borderId="11" xfId="0" applyFont="1" applyFill="1" applyBorder="1"/>
    <xf numFmtId="0" fontId="25" fillId="2" borderId="12" xfId="0" applyFont="1" applyFill="1" applyBorder="1" applyAlignment="1">
      <alignment horizontal="left"/>
    </xf>
    <xf numFmtId="0" fontId="25" fillId="2" borderId="12" xfId="0" applyFont="1" applyFill="1" applyBorder="1"/>
    <xf numFmtId="0" fontId="25" fillId="2" borderId="13" xfId="0" applyFont="1" applyFill="1" applyBorder="1"/>
    <xf numFmtId="0" fontId="14" fillId="4" borderId="0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/>
    <xf numFmtId="0" fontId="19" fillId="2" borderId="10" xfId="0" applyFont="1" applyFill="1" applyBorder="1"/>
    <xf numFmtId="0" fontId="17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left"/>
    </xf>
    <xf numFmtId="0" fontId="17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/>
    </xf>
    <xf numFmtId="0" fontId="25" fillId="3" borderId="0" xfId="0" applyFont="1" applyFill="1" applyBorder="1"/>
    <xf numFmtId="0" fontId="14" fillId="2" borderId="21" xfId="0" applyFont="1" applyFill="1" applyBorder="1"/>
    <xf numFmtId="0" fontId="11" fillId="2" borderId="22" xfId="0" applyFont="1" applyFill="1" applyBorder="1"/>
    <xf numFmtId="0" fontId="11" fillId="2" borderId="23" xfId="0" applyFont="1" applyFill="1" applyBorder="1"/>
    <xf numFmtId="0" fontId="11" fillId="2" borderId="25" xfId="0" applyFont="1" applyFill="1" applyBorder="1"/>
    <xf numFmtId="0" fontId="17" fillId="2" borderId="24" xfId="0" applyFont="1" applyFill="1" applyBorder="1"/>
    <xf numFmtId="0" fontId="19" fillId="2" borderId="0" xfId="0" applyFont="1" applyFill="1"/>
    <xf numFmtId="0" fontId="17" fillId="2" borderId="27" xfId="0" applyFont="1" applyFill="1" applyBorder="1"/>
    <xf numFmtId="2" fontId="11" fillId="2" borderId="26" xfId="0" applyNumberFormat="1" applyFont="1" applyFill="1" applyBorder="1"/>
    <xf numFmtId="0" fontId="27" fillId="2" borderId="0" xfId="0" applyFont="1" applyFill="1" applyBorder="1"/>
    <xf numFmtId="0" fontId="28" fillId="2" borderId="27" xfId="0" applyFont="1" applyFill="1" applyBorder="1"/>
    <xf numFmtId="0" fontId="30" fillId="2" borderId="9" xfId="0" applyFont="1" applyFill="1" applyBorder="1"/>
    <xf numFmtId="0" fontId="30" fillId="2" borderId="10" xfId="0" applyFont="1" applyFill="1" applyBorder="1"/>
    <xf numFmtId="0" fontId="30" fillId="2" borderId="0" xfId="0" applyFont="1" applyFill="1"/>
    <xf numFmtId="0" fontId="28" fillId="2" borderId="27" xfId="0" applyFont="1" applyFill="1" applyBorder="1" applyAlignment="1">
      <alignment horizontal="left"/>
    </xf>
    <xf numFmtId="0" fontId="17" fillId="2" borderId="21" xfId="0" applyFont="1" applyFill="1" applyBorder="1"/>
    <xf numFmtId="0" fontId="17" fillId="2" borderId="0" xfId="0" applyFont="1" applyFill="1" applyBorder="1"/>
    <xf numFmtId="0" fontId="29" fillId="2" borderId="0" xfId="0" applyFont="1" applyFill="1" applyBorder="1"/>
    <xf numFmtId="4" fontId="24" fillId="2" borderId="0" xfId="0" applyNumberFormat="1" applyFont="1" applyFill="1" applyAlignment="1">
      <alignment horizontal="right"/>
    </xf>
    <xf numFmtId="4" fontId="17" fillId="2" borderId="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25" fillId="2" borderId="6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4" fontId="25" fillId="2" borderId="7" xfId="0" applyNumberFormat="1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/>
    </xf>
    <xf numFmtId="0" fontId="25" fillId="2" borderId="1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 vertical="center"/>
    </xf>
    <xf numFmtId="4" fontId="17" fillId="5" borderId="0" xfId="0" applyNumberFormat="1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25" fillId="2" borderId="11" xfId="0" applyFont="1" applyFill="1" applyBorder="1" applyAlignment="1">
      <alignment horizontal="left"/>
    </xf>
    <xf numFmtId="4" fontId="25" fillId="2" borderId="12" xfId="0" applyNumberFormat="1" applyFont="1" applyFill="1" applyBorder="1" applyAlignment="1">
      <alignment horizontal="left"/>
    </xf>
    <xf numFmtId="0" fontId="25" fillId="2" borderId="13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3" fontId="14" fillId="2" borderId="38" xfId="0" applyNumberFormat="1" applyFont="1" applyFill="1" applyBorder="1" applyAlignment="1">
      <alignment horizontal="center" vertical="center"/>
    </xf>
    <xf numFmtId="4" fontId="14" fillId="2" borderId="38" xfId="0" applyNumberFormat="1" applyFont="1" applyFill="1" applyBorder="1" applyAlignment="1">
      <alignment vertical="center"/>
    </xf>
    <xf numFmtId="0" fontId="26" fillId="2" borderId="10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25" fillId="2" borderId="42" xfId="0" applyFont="1" applyFill="1" applyBorder="1"/>
    <xf numFmtId="4" fontId="17" fillId="2" borderId="43" xfId="0" applyNumberFormat="1" applyFont="1" applyFill="1" applyBorder="1"/>
    <xf numFmtId="4" fontId="14" fillId="2" borderId="43" xfId="0" applyNumberFormat="1" applyFont="1" applyFill="1" applyBorder="1"/>
    <xf numFmtId="4" fontId="11" fillId="2" borderId="44" xfId="0" applyNumberFormat="1" applyFont="1" applyFill="1" applyBorder="1"/>
    <xf numFmtId="4" fontId="11" fillId="2" borderId="45" xfId="0" applyNumberFormat="1" applyFont="1" applyFill="1" applyBorder="1"/>
    <xf numFmtId="4" fontId="25" fillId="2" borderId="42" xfId="0" applyNumberFormat="1" applyFont="1" applyFill="1" applyBorder="1"/>
    <xf numFmtId="4" fontId="28" fillId="2" borderId="41" xfId="0" applyNumberFormat="1" applyFont="1" applyFill="1" applyBorder="1"/>
    <xf numFmtId="0" fontId="17" fillId="2" borderId="48" xfId="0" applyFont="1" applyFill="1" applyBorder="1" applyAlignment="1">
      <alignment horizontal="center"/>
    </xf>
    <xf numFmtId="0" fontId="25" fillId="2" borderId="49" xfId="0" applyFont="1" applyFill="1" applyBorder="1"/>
    <xf numFmtId="0" fontId="17" fillId="2" borderId="34" xfId="0" applyFont="1" applyFill="1" applyBorder="1" applyAlignment="1">
      <alignment horizontal="center"/>
    </xf>
    <xf numFmtId="4" fontId="17" fillId="2" borderId="50" xfId="0" applyNumberFormat="1" applyFont="1" applyFill="1" applyBorder="1"/>
    <xf numFmtId="0" fontId="14" fillId="2" borderId="34" xfId="0" applyFont="1" applyFill="1" applyBorder="1" applyAlignment="1">
      <alignment horizontal="center"/>
    </xf>
    <xf numFmtId="4" fontId="14" fillId="2" borderId="50" xfId="0" applyNumberFormat="1" applyFont="1" applyFill="1" applyBorder="1"/>
    <xf numFmtId="0" fontId="11" fillId="2" borderId="51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4" fontId="11" fillId="2" borderId="54" xfId="0" applyNumberFormat="1" applyFont="1" applyFill="1" applyBorder="1"/>
    <xf numFmtId="0" fontId="11" fillId="2" borderId="48" xfId="0" applyFont="1" applyFill="1" applyBorder="1" applyAlignment="1">
      <alignment horizontal="center"/>
    </xf>
    <xf numFmtId="4" fontId="25" fillId="2" borderId="49" xfId="0" applyNumberFormat="1" applyFont="1" applyFill="1" applyBorder="1"/>
    <xf numFmtId="0" fontId="14" fillId="2" borderId="48" xfId="0" applyFont="1" applyFill="1" applyBorder="1" applyAlignment="1">
      <alignment horizontal="center"/>
    </xf>
    <xf numFmtId="0" fontId="29" fillId="2" borderId="48" xfId="0" applyFont="1" applyFill="1" applyBorder="1" applyAlignment="1">
      <alignment horizontal="center"/>
    </xf>
    <xf numFmtId="0" fontId="28" fillId="2" borderId="55" xfId="0" applyFont="1" applyFill="1" applyBorder="1" applyAlignment="1">
      <alignment horizontal="left"/>
    </xf>
    <xf numFmtId="4" fontId="28" fillId="2" borderId="56" xfId="0" applyNumberFormat="1" applyFont="1" applyFill="1" applyBorder="1"/>
    <xf numFmtId="0" fontId="14" fillId="4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4" fontId="14" fillId="2" borderId="75" xfId="0" applyNumberFormat="1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10" fillId="2" borderId="73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 vertical="center"/>
    </xf>
    <xf numFmtId="4" fontId="39" fillId="2" borderId="0" xfId="0" applyNumberFormat="1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4" fontId="14" fillId="2" borderId="77" xfId="0" applyNumberFormat="1" applyFont="1" applyFill="1" applyBorder="1" applyAlignment="1">
      <alignment vertical="center"/>
    </xf>
    <xf numFmtId="4" fontId="10" fillId="2" borderId="77" xfId="0" applyNumberFormat="1" applyFont="1" applyFill="1" applyBorder="1" applyAlignment="1">
      <alignment vertical="center"/>
    </xf>
    <xf numFmtId="4" fontId="10" fillId="2" borderId="79" xfId="0" applyNumberFormat="1" applyFont="1" applyFill="1" applyBorder="1" applyAlignment="1">
      <alignment vertical="center"/>
    </xf>
    <xf numFmtId="4" fontId="14" fillId="2" borderId="72" xfId="0" applyNumberFormat="1" applyFont="1" applyFill="1" applyBorder="1" applyAlignment="1">
      <alignment vertical="center"/>
    </xf>
    <xf numFmtId="4" fontId="14" fillId="2" borderId="78" xfId="0" applyNumberFormat="1" applyFont="1" applyFill="1" applyBorder="1" applyAlignment="1">
      <alignment vertical="center"/>
    </xf>
    <xf numFmtId="4" fontId="14" fillId="2" borderId="79" xfId="0" applyNumberFormat="1" applyFont="1" applyFill="1" applyBorder="1" applyAlignment="1">
      <alignment vertical="center"/>
    </xf>
    <xf numFmtId="4" fontId="14" fillId="2" borderId="68" xfId="0" applyNumberFormat="1" applyFont="1" applyFill="1" applyBorder="1" applyAlignment="1">
      <alignment vertical="center"/>
    </xf>
    <xf numFmtId="4" fontId="14" fillId="2" borderId="71" xfId="0" applyNumberFormat="1" applyFont="1" applyFill="1" applyBorder="1" applyAlignment="1">
      <alignment vertical="center"/>
    </xf>
    <xf numFmtId="4" fontId="14" fillId="2" borderId="75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left" vertical="center"/>
    </xf>
    <xf numFmtId="0" fontId="10" fillId="2" borderId="100" xfId="0" applyFont="1" applyFill="1" applyBorder="1" applyAlignment="1">
      <alignment horizontal="left" vertical="center"/>
    </xf>
    <xf numFmtId="4" fontId="14" fillId="2" borderId="101" xfId="0" applyNumberFormat="1" applyFont="1" applyFill="1" applyBorder="1" applyAlignment="1">
      <alignment vertical="center"/>
    </xf>
    <xf numFmtId="4" fontId="14" fillId="2" borderId="104" xfId="0" applyNumberFormat="1" applyFont="1" applyFill="1" applyBorder="1" applyAlignment="1">
      <alignment vertical="center"/>
    </xf>
    <xf numFmtId="0" fontId="35" fillId="2" borderId="0" xfId="132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4" fontId="14" fillId="2" borderId="15" xfId="0" applyNumberFormat="1" applyFont="1" applyFill="1" applyBorder="1" applyAlignment="1">
      <alignment vertical="center"/>
    </xf>
    <xf numFmtId="0" fontId="10" fillId="2" borderId="99" xfId="0" applyFont="1" applyFill="1" applyBorder="1" applyAlignment="1">
      <alignment horizontal="center" vertical="center"/>
    </xf>
    <xf numFmtId="4" fontId="10" fillId="2" borderId="101" xfId="0" applyNumberFormat="1" applyFont="1" applyFill="1" applyBorder="1" applyAlignment="1">
      <alignment vertical="center"/>
    </xf>
    <xf numFmtId="0" fontId="20" fillId="3" borderId="57" xfId="0" applyFont="1" applyFill="1" applyBorder="1" applyAlignment="1">
      <alignment horizontal="left" vertical="center"/>
    </xf>
    <xf numFmtId="0" fontId="20" fillId="3" borderId="59" xfId="0" applyFont="1" applyFill="1" applyBorder="1" applyAlignment="1">
      <alignment horizontal="left" vertical="center"/>
    </xf>
    <xf numFmtId="0" fontId="14" fillId="3" borderId="76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left"/>
    </xf>
    <xf numFmtId="0" fontId="17" fillId="3" borderId="19" xfId="0" applyFont="1" applyFill="1" applyBorder="1" applyAlignment="1">
      <alignment horizontal="left"/>
    </xf>
    <xf numFmtId="0" fontId="35" fillId="3" borderId="80" xfId="132" applyFont="1" applyFill="1" applyBorder="1" applyAlignment="1">
      <alignment horizontal="center" wrapText="1"/>
    </xf>
    <xf numFmtId="0" fontId="37" fillId="3" borderId="105" xfId="132" applyFont="1" applyFill="1" applyBorder="1" applyAlignment="1">
      <alignment horizontal="center" wrapText="1"/>
    </xf>
    <xf numFmtId="0" fontId="37" fillId="3" borderId="106" xfId="132" applyFont="1" applyFill="1" applyBorder="1" applyAlignment="1">
      <alignment horizontal="center" wrapText="1"/>
    </xf>
    <xf numFmtId="0" fontId="37" fillId="3" borderId="107" xfId="132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left" vertical="center"/>
    </xf>
    <xf numFmtId="0" fontId="35" fillId="3" borderId="42" xfId="132" applyFont="1" applyFill="1" applyBorder="1" applyAlignment="1">
      <alignment horizontal="center" wrapText="1"/>
    </xf>
    <xf numFmtId="0" fontId="17" fillId="3" borderId="62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25" fillId="3" borderId="31" xfId="0" applyFont="1" applyFill="1" applyBorder="1"/>
    <xf numFmtId="0" fontId="25" fillId="3" borderId="32" xfId="0" applyFont="1" applyFill="1" applyBorder="1"/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8" fillId="3" borderId="48" xfId="0" applyFont="1" applyFill="1" applyBorder="1"/>
    <xf numFmtId="0" fontId="28" fillId="3" borderId="42" xfId="0" applyFont="1" applyFill="1" applyBorder="1" applyAlignment="1">
      <alignment horizontal="center"/>
    </xf>
    <xf numFmtId="0" fontId="28" fillId="3" borderId="49" xfId="0" applyFont="1" applyFill="1" applyBorder="1" applyAlignment="1">
      <alignment horizontal="center"/>
    </xf>
    <xf numFmtId="4" fontId="19" fillId="2" borderId="6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left"/>
    </xf>
    <xf numFmtId="0" fontId="35" fillId="3" borderId="76" xfId="132" applyFont="1" applyFill="1" applyBorder="1" applyAlignment="1">
      <alignment horizontal="center" wrapText="1"/>
    </xf>
    <xf numFmtId="0" fontId="14" fillId="3" borderId="60" xfId="0" applyFont="1" applyFill="1" applyBorder="1" applyAlignment="1">
      <alignment horizontal="left"/>
    </xf>
    <xf numFmtId="0" fontId="14" fillId="3" borderId="58" xfId="0" applyFont="1" applyFill="1" applyBorder="1" applyAlignment="1">
      <alignment horizontal="left"/>
    </xf>
    <xf numFmtId="0" fontId="35" fillId="3" borderId="59" xfId="132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/>
    </xf>
    <xf numFmtId="0" fontId="35" fillId="3" borderId="61" xfId="132" applyFont="1" applyFill="1" applyBorder="1" applyAlignment="1">
      <alignment horizontal="center" wrapText="1"/>
    </xf>
    <xf numFmtId="4" fontId="14" fillId="2" borderId="115" xfId="0" applyNumberFormat="1" applyFont="1" applyFill="1" applyBorder="1" applyAlignment="1">
      <alignment vertical="center"/>
    </xf>
    <xf numFmtId="4" fontId="14" fillId="2" borderId="91" xfId="0" applyNumberFormat="1" applyFont="1" applyFill="1" applyBorder="1" applyAlignment="1">
      <alignment vertical="center"/>
    </xf>
    <xf numFmtId="4" fontId="14" fillId="2" borderId="74" xfId="0" applyNumberFormat="1" applyFont="1" applyFill="1" applyBorder="1" applyAlignment="1">
      <alignment vertical="center"/>
    </xf>
    <xf numFmtId="0" fontId="10" fillId="2" borderId="65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4" fontId="21" fillId="2" borderId="0" xfId="0" applyNumberFormat="1" applyFont="1" applyFill="1" applyBorder="1" applyAlignment="1">
      <alignment horizontal="left"/>
    </xf>
    <xf numFmtId="4" fontId="21" fillId="2" borderId="111" xfId="0" applyNumberFormat="1" applyFont="1" applyFill="1" applyBorder="1" applyAlignment="1">
      <alignment horizontal="left"/>
    </xf>
    <xf numFmtId="4" fontId="21" fillId="2" borderId="112" xfId="0" applyNumberFormat="1" applyFont="1" applyFill="1" applyBorder="1" applyAlignment="1">
      <alignment horizontal="left"/>
    </xf>
    <xf numFmtId="4" fontId="21" fillId="2" borderId="113" xfId="0" applyNumberFormat="1" applyFont="1" applyFill="1" applyBorder="1" applyAlignment="1">
      <alignment horizontal="left"/>
    </xf>
    <xf numFmtId="4" fontId="14" fillId="2" borderId="92" xfId="0" applyNumberFormat="1" applyFont="1" applyFill="1" applyBorder="1" applyAlignment="1">
      <alignment vertical="center"/>
    </xf>
    <xf numFmtId="4" fontId="14" fillId="2" borderId="90" xfId="0" applyNumberFormat="1" applyFont="1" applyFill="1" applyBorder="1" applyAlignment="1">
      <alignment vertical="center"/>
    </xf>
    <xf numFmtId="0" fontId="35" fillId="3" borderId="116" xfId="132" applyFont="1" applyFill="1" applyBorder="1" applyAlignment="1">
      <alignment horizontal="center" wrapText="1"/>
    </xf>
    <xf numFmtId="0" fontId="35" fillId="3" borderId="117" xfId="132" applyFont="1" applyFill="1" applyBorder="1" applyAlignment="1">
      <alignment horizontal="center" wrapText="1"/>
    </xf>
    <xf numFmtId="0" fontId="35" fillId="3" borderId="118" xfId="132" applyFont="1" applyFill="1" applyBorder="1" applyAlignment="1">
      <alignment horizontal="center" wrapText="1"/>
    </xf>
    <xf numFmtId="0" fontId="25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4" fillId="3" borderId="58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35" fillId="3" borderId="118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5" fillId="3" borderId="107" xfId="132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/>
    </xf>
    <xf numFmtId="0" fontId="35" fillId="3" borderId="119" xfId="132" applyFont="1" applyFill="1" applyBorder="1" applyAlignment="1">
      <alignment horizontal="center" vertical="center" wrapText="1"/>
    </xf>
    <xf numFmtId="4" fontId="42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vertical="center" wrapText="1"/>
    </xf>
    <xf numFmtId="0" fontId="14" fillId="3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4" fontId="17" fillId="2" borderId="18" xfId="0" applyNumberFormat="1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/>
    </xf>
    <xf numFmtId="4" fontId="14" fillId="2" borderId="72" xfId="0" applyNumberFormat="1" applyFont="1" applyFill="1" applyBorder="1" applyAlignment="1"/>
    <xf numFmtId="4" fontId="14" fillId="2" borderId="75" xfId="0" applyNumberFormat="1" applyFont="1" applyFill="1" applyBorder="1" applyAlignment="1"/>
    <xf numFmtId="0" fontId="14" fillId="2" borderId="62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4" fillId="2" borderId="20" xfId="0" applyFont="1" applyFill="1" applyBorder="1"/>
    <xf numFmtId="0" fontId="15" fillId="2" borderId="20" xfId="0" applyFont="1" applyFill="1" applyBorder="1" applyAlignment="1">
      <alignment horizontal="left"/>
    </xf>
    <xf numFmtId="0" fontId="10" fillId="2" borderId="0" xfId="0" applyFont="1" applyFill="1"/>
    <xf numFmtId="0" fontId="14" fillId="3" borderId="18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vertical="center"/>
    </xf>
    <xf numFmtId="0" fontId="21" fillId="2" borderId="65" xfId="0" applyFont="1" applyFill="1" applyBorder="1" applyAlignment="1">
      <alignment vertical="center"/>
    </xf>
    <xf numFmtId="0" fontId="21" fillId="2" borderId="101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1" fillId="2" borderId="66" xfId="0" applyFont="1" applyFill="1" applyBorder="1" applyAlignment="1">
      <alignment vertical="center"/>
    </xf>
    <xf numFmtId="0" fontId="21" fillId="2" borderId="68" xfId="0" applyFont="1" applyFill="1" applyBorder="1" applyAlignment="1">
      <alignment vertical="center"/>
    </xf>
    <xf numFmtId="0" fontId="21" fillId="2" borderId="93" xfId="0" applyFont="1" applyFill="1" applyBorder="1" applyAlignment="1">
      <alignment vertical="center"/>
    </xf>
    <xf numFmtId="0" fontId="21" fillId="2" borderId="98" xfId="0" applyFont="1" applyFill="1" applyBorder="1" applyAlignment="1">
      <alignment vertical="center"/>
    </xf>
    <xf numFmtId="0" fontId="17" fillId="3" borderId="80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left" vertical="center"/>
    </xf>
    <xf numFmtId="0" fontId="25" fillId="2" borderId="74" xfId="0" applyFont="1" applyFill="1" applyBorder="1" applyAlignment="1">
      <alignment horizontal="left"/>
    </xf>
    <xf numFmtId="4" fontId="44" fillId="6" borderId="121" xfId="0" applyNumberFormat="1" applyFont="1" applyFill="1" applyBorder="1"/>
    <xf numFmtId="0" fontId="14" fillId="2" borderId="9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4" fontId="14" fillId="2" borderId="15" xfId="0" applyNumberFormat="1" applyFont="1" applyFill="1" applyBorder="1" applyAlignment="1"/>
    <xf numFmtId="4" fontId="10" fillId="2" borderId="0" xfId="0" applyNumberFormat="1" applyFont="1" applyFill="1" applyBorder="1" applyAlignment="1">
      <alignment horizontal="right" vertical="center"/>
    </xf>
    <xf numFmtId="10" fontId="44" fillId="6" borderId="121" xfId="0" applyNumberFormat="1" applyFont="1" applyFill="1" applyBorder="1" applyAlignment="1">
      <alignment horizontal="right"/>
    </xf>
    <xf numFmtId="10" fontId="14" fillId="2" borderId="18" xfId="131" applyNumberFormat="1" applyFont="1" applyFill="1" applyBorder="1" applyAlignment="1">
      <alignment horizontal="right"/>
    </xf>
    <xf numFmtId="10" fontId="10" fillId="2" borderId="104" xfId="0" applyNumberFormat="1" applyFont="1" applyFill="1" applyBorder="1" applyAlignment="1">
      <alignment horizontal="right" vertical="center"/>
    </xf>
    <xf numFmtId="10" fontId="10" fillId="2" borderId="68" xfId="0" applyNumberFormat="1" applyFont="1" applyFill="1" applyBorder="1" applyAlignment="1">
      <alignment horizontal="right" vertical="center"/>
    </xf>
    <xf numFmtId="10" fontId="10" fillId="2" borderId="71" xfId="0" applyNumberFormat="1" applyFont="1" applyFill="1" applyBorder="1" applyAlignment="1">
      <alignment horizontal="right" vertical="center"/>
    </xf>
    <xf numFmtId="10" fontId="35" fillId="2" borderId="0" xfId="0" applyNumberFormat="1" applyFont="1" applyFill="1" applyBorder="1" applyAlignment="1">
      <alignment horizontal="right" vertical="center"/>
    </xf>
    <xf numFmtId="10" fontId="14" fillId="2" borderId="18" xfId="0" applyNumberFormat="1" applyFont="1" applyFill="1" applyBorder="1" applyAlignment="1">
      <alignment horizontal="right"/>
    </xf>
    <xf numFmtId="4" fontId="43" fillId="6" borderId="121" xfId="0" applyNumberFormat="1" applyFont="1" applyFill="1" applyBorder="1"/>
    <xf numFmtId="0" fontId="19" fillId="2" borderId="0" xfId="0" applyFont="1" applyFill="1" applyAlignment="1">
      <alignment horizontal="left"/>
    </xf>
    <xf numFmtId="0" fontId="43" fillId="6" borderId="0" xfId="0" applyFont="1" applyFill="1" applyBorder="1" applyAlignment="1">
      <alignment horizontal="left"/>
    </xf>
    <xf numFmtId="4" fontId="43" fillId="6" borderId="0" xfId="0" applyNumberFormat="1" applyFont="1" applyFill="1" applyBorder="1"/>
    <xf numFmtId="0" fontId="17" fillId="3" borderId="123" xfId="0" applyFont="1" applyFill="1" applyBorder="1" applyAlignment="1">
      <alignment vertical="center"/>
    </xf>
    <xf numFmtId="0" fontId="19" fillId="3" borderId="124" xfId="0" applyFont="1" applyFill="1" applyBorder="1" applyAlignment="1">
      <alignment horizontal="center" vertical="center"/>
    </xf>
    <xf numFmtId="4" fontId="17" fillId="3" borderId="122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26" xfId="0" applyFont="1" applyFill="1" applyBorder="1" applyAlignment="1">
      <alignment horizontal="center" vertical="center"/>
    </xf>
    <xf numFmtId="0" fontId="14" fillId="2" borderId="127" xfId="0" applyFont="1" applyFill="1" applyBorder="1" applyAlignment="1">
      <alignment horizontal="left" vertical="center"/>
    </xf>
    <xf numFmtId="4" fontId="14" fillId="2" borderId="125" xfId="0" applyNumberFormat="1" applyFont="1" applyFill="1" applyBorder="1" applyAlignment="1">
      <alignment vertical="center"/>
    </xf>
    <xf numFmtId="0" fontId="10" fillId="2" borderId="60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11" fillId="2" borderId="48" xfId="0" applyFont="1" applyFill="1" applyBorder="1"/>
    <xf numFmtId="4" fontId="25" fillId="2" borderId="128" xfId="0" applyNumberFormat="1" applyFont="1" applyFill="1" applyBorder="1"/>
    <xf numFmtId="4" fontId="28" fillId="2" borderId="129" xfId="0" applyNumberFormat="1" applyFont="1" applyFill="1" applyBorder="1"/>
    <xf numFmtId="0" fontId="28" fillId="3" borderId="61" xfId="0" applyFont="1" applyFill="1" applyBorder="1" applyAlignment="1">
      <alignment horizontal="center"/>
    </xf>
    <xf numFmtId="0" fontId="28" fillId="3" borderId="29" xfId="0" applyFont="1" applyFill="1" applyBorder="1" applyAlignment="1">
      <alignment horizontal="center"/>
    </xf>
    <xf numFmtId="0" fontId="25" fillId="2" borderId="29" xfId="0" applyFont="1" applyFill="1" applyBorder="1"/>
    <xf numFmtId="4" fontId="17" fillId="2" borderId="30" xfId="0" applyNumberFormat="1" applyFont="1" applyFill="1" applyBorder="1"/>
    <xf numFmtId="4" fontId="14" fillId="2" borderId="30" xfId="0" applyNumberFormat="1" applyFont="1" applyFill="1" applyBorder="1"/>
    <xf numFmtId="4" fontId="11" fillId="2" borderId="37" xfId="0" applyNumberFormat="1" applyFont="1" applyFill="1" applyBorder="1"/>
    <xf numFmtId="4" fontId="25" fillId="2" borderId="29" xfId="0" applyNumberFormat="1" applyFont="1" applyFill="1" applyBorder="1"/>
    <xf numFmtId="4" fontId="28" fillId="2" borderId="130" xfId="0" applyNumberFormat="1" applyFont="1" applyFill="1" applyBorder="1"/>
    <xf numFmtId="0" fontId="28" fillId="3" borderId="131" xfId="0" applyFont="1" applyFill="1" applyBorder="1" applyAlignment="1">
      <alignment horizontal="center"/>
    </xf>
    <xf numFmtId="0" fontId="25" fillId="2" borderId="131" xfId="0" applyFont="1" applyFill="1" applyBorder="1"/>
    <xf numFmtId="4" fontId="17" fillId="2" borderId="132" xfId="0" applyNumberFormat="1" applyFont="1" applyFill="1" applyBorder="1"/>
    <xf numFmtId="4" fontId="14" fillId="2" borderId="132" xfId="0" applyNumberFormat="1" applyFont="1" applyFill="1" applyBorder="1"/>
    <xf numFmtId="4" fontId="11" fillId="2" borderId="134" xfId="0" applyNumberFormat="1" applyFont="1" applyFill="1" applyBorder="1"/>
    <xf numFmtId="4" fontId="25" fillId="2" borderId="131" xfId="0" applyNumberFormat="1" applyFont="1" applyFill="1" applyBorder="1"/>
    <xf numFmtId="4" fontId="28" fillId="2" borderId="135" xfId="0" applyNumberFormat="1" applyFont="1" applyFill="1" applyBorder="1"/>
    <xf numFmtId="0" fontId="25" fillId="3" borderId="57" xfId="0" applyFont="1" applyFill="1" applyBorder="1"/>
    <xf numFmtId="0" fontId="25" fillId="3" borderId="58" xfId="0" applyFont="1" applyFill="1" applyBorder="1"/>
    <xf numFmtId="0" fontId="14" fillId="3" borderId="136" xfId="0" applyFont="1" applyFill="1" applyBorder="1" applyAlignment="1">
      <alignment horizontal="center"/>
    </xf>
    <xf numFmtId="0" fontId="14" fillId="3" borderId="137" xfId="0" applyFont="1" applyFill="1" applyBorder="1" applyAlignment="1">
      <alignment horizontal="center"/>
    </xf>
    <xf numFmtId="0" fontId="14" fillId="3" borderId="59" xfId="0" applyFont="1" applyFill="1" applyBorder="1" applyAlignment="1">
      <alignment horizontal="center"/>
    </xf>
    <xf numFmtId="0" fontId="18" fillId="3" borderId="60" xfId="0" applyFont="1" applyFill="1" applyBorder="1"/>
    <xf numFmtId="0" fontId="17" fillId="2" borderId="60" xfId="0" applyFont="1" applyFill="1" applyBorder="1" applyAlignment="1">
      <alignment horizontal="center"/>
    </xf>
    <xf numFmtId="0" fontId="25" fillId="2" borderId="61" xfId="0" applyFont="1" applyFill="1" applyBorder="1"/>
    <xf numFmtId="0" fontId="17" fillId="2" borderId="138" xfId="0" applyFont="1" applyFill="1" applyBorder="1" applyAlignment="1">
      <alignment horizontal="center"/>
    </xf>
    <xf numFmtId="4" fontId="17" fillId="2" borderId="139" xfId="0" applyNumberFormat="1" applyFont="1" applyFill="1" applyBorder="1"/>
    <xf numFmtId="0" fontId="14" fillId="2" borderId="138" xfId="0" applyFont="1" applyFill="1" applyBorder="1" applyAlignment="1">
      <alignment horizontal="center"/>
    </xf>
    <xf numFmtId="4" fontId="14" fillId="2" borderId="139" xfId="0" applyNumberFormat="1" applyFont="1" applyFill="1" applyBorder="1"/>
    <xf numFmtId="0" fontId="11" fillId="2" borderId="140" xfId="0" applyFont="1" applyFill="1" applyBorder="1" applyAlignment="1">
      <alignment horizontal="center"/>
    </xf>
    <xf numFmtId="0" fontId="11" fillId="2" borderId="142" xfId="0" applyFont="1" applyFill="1" applyBorder="1" applyAlignment="1">
      <alignment horizontal="center"/>
    </xf>
    <xf numFmtId="4" fontId="11" fillId="2" borderId="143" xfId="0" applyNumberFormat="1" applyFont="1" applyFill="1" applyBorder="1"/>
    <xf numFmtId="0" fontId="11" fillId="2" borderId="60" xfId="0" applyFont="1" applyFill="1" applyBorder="1" applyAlignment="1">
      <alignment horizontal="center"/>
    </xf>
    <xf numFmtId="0" fontId="29" fillId="2" borderId="60" xfId="0" applyFont="1" applyFill="1" applyBorder="1" applyAlignment="1">
      <alignment horizontal="center"/>
    </xf>
    <xf numFmtId="0" fontId="11" fillId="2" borderId="144" xfId="0" applyFont="1" applyFill="1" applyBorder="1" applyAlignment="1">
      <alignment horizontal="center"/>
    </xf>
    <xf numFmtId="0" fontId="11" fillId="2" borderId="145" xfId="0" applyFont="1" applyFill="1" applyBorder="1"/>
    <xf numFmtId="0" fontId="28" fillId="2" borderId="149" xfId="0" applyFont="1" applyFill="1" applyBorder="1" applyAlignment="1">
      <alignment horizontal="left"/>
    </xf>
    <xf numFmtId="0" fontId="14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11" fillId="2" borderId="150" xfId="0" applyFont="1" applyFill="1" applyBorder="1" applyAlignment="1">
      <alignment horizontal="center"/>
    </xf>
    <xf numFmtId="0" fontId="17" fillId="2" borderId="151" xfId="0" applyFont="1" applyFill="1" applyBorder="1" applyAlignment="1">
      <alignment horizontal="center"/>
    </xf>
    <xf numFmtId="2" fontId="11" fillId="2" borderId="152" xfId="0" applyNumberFormat="1" applyFont="1" applyFill="1" applyBorder="1" applyAlignment="1">
      <alignment horizontal="center"/>
    </xf>
    <xf numFmtId="0" fontId="17" fillId="2" borderId="149" xfId="0" applyFont="1" applyFill="1" applyBorder="1" applyAlignment="1">
      <alignment horizontal="center"/>
    </xf>
    <xf numFmtId="0" fontId="28" fillId="2" borderId="149" xfId="0" applyFont="1" applyFill="1" applyBorder="1" applyAlignment="1">
      <alignment horizontal="center"/>
    </xf>
    <xf numFmtId="4" fontId="17" fillId="2" borderId="153" xfId="0" applyNumberFormat="1" applyFont="1" applyFill="1" applyBorder="1"/>
    <xf numFmtId="4" fontId="11" fillId="2" borderId="154" xfId="0" applyNumberFormat="1" applyFont="1" applyFill="1" applyBorder="1"/>
    <xf numFmtId="2" fontId="25" fillId="2" borderId="155" xfId="0" applyNumberFormat="1" applyFont="1" applyFill="1" applyBorder="1"/>
    <xf numFmtId="4" fontId="17" fillId="2" borderId="41" xfId="0" applyNumberFormat="1" applyFont="1" applyFill="1" applyBorder="1"/>
    <xf numFmtId="0" fontId="10" fillId="2" borderId="0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1" xfId="0" applyFont="1" applyFill="1" applyBorder="1"/>
    <xf numFmtId="0" fontId="10" fillId="2" borderId="12" xfId="0" applyFont="1" applyFill="1" applyBorder="1"/>
    <xf numFmtId="164" fontId="10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10" fillId="2" borderId="0" xfId="0" applyNumberFormat="1" applyFont="1" applyFill="1" applyAlignment="1">
      <alignment horizontal="center"/>
    </xf>
    <xf numFmtId="0" fontId="20" fillId="3" borderId="28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4" fontId="20" fillId="3" borderId="31" xfId="0" applyNumberFormat="1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4" fontId="20" fillId="3" borderId="32" xfId="0" applyNumberFormat="1" applyFont="1" applyFill="1" applyBorder="1" applyAlignment="1">
      <alignment horizontal="right" vertical="center"/>
    </xf>
    <xf numFmtId="0" fontId="20" fillId="3" borderId="32" xfId="0" applyFont="1" applyFill="1" applyBorder="1" applyAlignment="1">
      <alignment horizontal="left" vertical="center"/>
    </xf>
    <xf numFmtId="0" fontId="20" fillId="3" borderId="29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left"/>
    </xf>
    <xf numFmtId="0" fontId="21" fillId="3" borderId="21" xfId="0" applyFont="1" applyFill="1" applyBorder="1" applyAlignment="1">
      <alignment horizontal="left"/>
    </xf>
    <xf numFmtId="0" fontId="21" fillId="3" borderId="35" xfId="0" applyFont="1" applyFill="1" applyBorder="1" applyAlignment="1">
      <alignment horizontal="left"/>
    </xf>
    <xf numFmtId="0" fontId="20" fillId="3" borderId="30" xfId="0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25" fillId="2" borderId="12" xfId="0" applyFont="1" applyFill="1" applyBorder="1" applyAlignment="1">
      <alignment horizontal="left"/>
    </xf>
    <xf numFmtId="0" fontId="14" fillId="3" borderId="71" xfId="0" applyFont="1" applyFill="1" applyBorder="1" applyAlignment="1">
      <alignment horizontal="center" vertical="center"/>
    </xf>
    <xf numFmtId="0" fontId="14" fillId="3" borderId="87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/>
    </xf>
    <xf numFmtId="0" fontId="9" fillId="2" borderId="0" xfId="0" applyFont="1" applyFill="1"/>
    <xf numFmtId="4" fontId="14" fillId="3" borderId="91" xfId="0" applyNumberFormat="1" applyFont="1" applyFill="1" applyBorder="1" applyAlignment="1">
      <alignment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5" fillId="0" borderId="8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0" borderId="13" xfId="0" applyFont="1" applyFill="1" applyBorder="1" applyAlignment="1" applyProtection="1">
      <alignment horizontal="left"/>
      <protection locked="0"/>
    </xf>
    <xf numFmtId="0" fontId="22" fillId="0" borderId="160" xfId="0" applyFont="1" applyBorder="1" applyAlignment="1" applyProtection="1">
      <alignment horizontal="left"/>
      <protection locked="0"/>
    </xf>
    <xf numFmtId="0" fontId="22" fillId="0" borderId="161" xfId="0" applyFont="1" applyBorder="1" applyAlignment="1" applyProtection="1">
      <alignment horizontal="left"/>
      <protection locked="0"/>
    </xf>
    <xf numFmtId="0" fontId="22" fillId="0" borderId="162" xfId="0" applyFont="1" applyBorder="1" applyAlignment="1" applyProtection="1">
      <alignment horizontal="left"/>
      <protection locked="0"/>
    </xf>
    <xf numFmtId="0" fontId="22" fillId="0" borderId="163" xfId="0" applyFont="1" applyBorder="1" applyAlignment="1" applyProtection="1">
      <alignment horizontal="left"/>
      <protection locked="0"/>
    </xf>
    <xf numFmtId="0" fontId="22" fillId="0" borderId="164" xfId="0" applyFont="1" applyBorder="1" applyAlignment="1" applyProtection="1">
      <alignment horizontal="left"/>
      <protection locked="0"/>
    </xf>
    <xf numFmtId="0" fontId="22" fillId="0" borderId="165" xfId="0" applyFont="1" applyBorder="1" applyAlignment="1" applyProtection="1">
      <alignment horizontal="left"/>
      <protection locked="0"/>
    </xf>
    <xf numFmtId="0" fontId="22" fillId="0" borderId="166" xfId="0" applyFont="1" applyBorder="1" applyAlignment="1" applyProtection="1">
      <alignment horizontal="left"/>
      <protection locked="0"/>
    </xf>
    <xf numFmtId="0" fontId="44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167" xfId="0" applyFont="1" applyBorder="1" applyAlignment="1" applyProtection="1">
      <alignment horizontal="left"/>
      <protection locked="0"/>
    </xf>
    <xf numFmtId="0" fontId="15" fillId="2" borderId="3" xfId="0" applyFont="1" applyFill="1" applyBorder="1" applyProtection="1">
      <protection locked="0"/>
    </xf>
    <xf numFmtId="164" fontId="21" fillId="2" borderId="4" xfId="0" applyNumberFormat="1" applyFont="1" applyFill="1" applyBorder="1" applyAlignment="1" applyProtection="1">
      <alignment horizontal="center"/>
      <protection locked="0"/>
    </xf>
    <xf numFmtId="164" fontId="21" fillId="2" borderId="5" xfId="0" applyNumberFormat="1" applyFont="1" applyFill="1" applyBorder="1" applyAlignment="1" applyProtection="1">
      <alignment horizontal="center"/>
      <protection locked="0"/>
    </xf>
    <xf numFmtId="164" fontId="21" fillId="2" borderId="2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Protection="1">
      <protection locked="0"/>
    </xf>
    <xf numFmtId="10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4" xfId="0" applyNumberFormat="1" applyFont="1" applyFill="1" applyBorder="1" applyProtection="1">
      <protection locked="0"/>
    </xf>
    <xf numFmtId="4" fontId="25" fillId="2" borderId="4" xfId="0" applyNumberFormat="1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10" fontId="25" fillId="2" borderId="5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Protection="1">
      <protection locked="0"/>
    </xf>
    <xf numFmtId="4" fontId="25" fillId="2" borderId="5" xfId="0" applyNumberFormat="1" applyFont="1" applyFill="1" applyBorder="1" applyProtection="1">
      <protection locked="0"/>
    </xf>
    <xf numFmtId="4" fontId="11" fillId="2" borderId="44" xfId="0" applyNumberFormat="1" applyFont="1" applyFill="1" applyBorder="1" applyProtection="1">
      <protection locked="0"/>
    </xf>
    <xf numFmtId="4" fontId="11" fillId="2" borderId="45" xfId="0" applyNumberFormat="1" applyFont="1" applyFill="1" applyBorder="1" applyProtection="1">
      <protection locked="0"/>
    </xf>
    <xf numFmtId="4" fontId="14" fillId="2" borderId="43" xfId="0" applyNumberFormat="1" applyFont="1" applyFill="1" applyBorder="1" applyProtection="1">
      <protection locked="0"/>
    </xf>
    <xf numFmtId="4" fontId="11" fillId="2" borderId="154" xfId="0" applyNumberFormat="1" applyFont="1" applyFill="1" applyBorder="1" applyProtection="1">
      <protection locked="0"/>
    </xf>
    <xf numFmtId="4" fontId="11" fillId="2" borderId="36" xfId="0" applyNumberFormat="1" applyFont="1" applyFill="1" applyBorder="1" applyProtection="1">
      <protection locked="0"/>
    </xf>
    <xf numFmtId="4" fontId="11" fillId="2" borderId="133" xfId="0" applyNumberFormat="1" applyFont="1" applyFill="1" applyBorder="1" applyProtection="1">
      <protection locked="0"/>
    </xf>
    <xf numFmtId="4" fontId="11" fillId="2" borderId="141" xfId="0" applyNumberFormat="1" applyFont="1" applyFill="1" applyBorder="1" applyProtection="1">
      <protection locked="0"/>
    </xf>
    <xf numFmtId="4" fontId="11" fillId="2" borderId="37" xfId="0" applyNumberFormat="1" applyFont="1" applyFill="1" applyBorder="1" applyProtection="1">
      <protection locked="0"/>
    </xf>
    <xf numFmtId="4" fontId="11" fillId="2" borderId="134" xfId="0" applyNumberFormat="1" applyFont="1" applyFill="1" applyBorder="1" applyProtection="1">
      <protection locked="0"/>
    </xf>
    <xf numFmtId="4" fontId="11" fillId="2" borderId="143" xfId="0" applyNumberFormat="1" applyFont="1" applyFill="1" applyBorder="1" applyProtection="1">
      <protection locked="0"/>
    </xf>
    <xf numFmtId="4" fontId="14" fillId="2" borderId="30" xfId="0" applyNumberFormat="1" applyFont="1" applyFill="1" applyBorder="1" applyProtection="1">
      <protection locked="0"/>
    </xf>
    <xf numFmtId="4" fontId="14" fillId="2" borderId="132" xfId="0" applyNumberFormat="1" applyFont="1" applyFill="1" applyBorder="1" applyProtection="1">
      <protection locked="0"/>
    </xf>
    <xf numFmtId="4" fontId="14" fillId="2" borderId="139" xfId="0" applyNumberFormat="1" applyFont="1" applyFill="1" applyBorder="1" applyProtection="1">
      <protection locked="0"/>
    </xf>
    <xf numFmtId="4" fontId="11" fillId="2" borderId="146" xfId="0" applyNumberFormat="1" applyFont="1" applyFill="1" applyBorder="1" applyProtection="1">
      <protection locked="0"/>
    </xf>
    <xf numFmtId="4" fontId="11" fillId="2" borderId="147" xfId="0" applyNumberFormat="1" applyFont="1" applyFill="1" applyBorder="1" applyProtection="1">
      <protection locked="0"/>
    </xf>
    <xf numFmtId="4" fontId="11" fillId="2" borderId="148" xfId="0" applyNumberFormat="1" applyFont="1" applyFill="1" applyBorder="1" applyProtection="1">
      <protection locked="0"/>
    </xf>
    <xf numFmtId="4" fontId="11" fillId="2" borderId="52" xfId="0" applyNumberFormat="1" applyFont="1" applyFill="1" applyBorder="1" applyProtection="1">
      <protection locked="0"/>
    </xf>
    <xf numFmtId="4" fontId="11" fillId="2" borderId="54" xfId="0" applyNumberFormat="1" applyFont="1" applyFill="1" applyBorder="1" applyProtection="1">
      <protection locked="0"/>
    </xf>
    <xf numFmtId="4" fontId="14" fillId="2" borderId="50" xfId="0" applyNumberFormat="1" applyFont="1" applyFill="1" applyBorder="1" applyProtection="1">
      <protection locked="0"/>
    </xf>
    <xf numFmtId="4" fontId="29" fillId="2" borderId="42" xfId="0" applyNumberFormat="1" applyFont="1" applyFill="1" applyBorder="1" applyProtection="1">
      <protection locked="0"/>
    </xf>
    <xf numFmtId="4" fontId="29" fillId="2" borderId="49" xfId="0" applyNumberFormat="1" applyFont="1" applyFill="1" applyBorder="1" applyProtection="1"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3" fontId="11" fillId="2" borderId="36" xfId="0" applyNumberFormat="1" applyFont="1" applyFill="1" applyBorder="1" applyAlignment="1" applyProtection="1">
      <alignment horizontal="center" vertical="center"/>
      <protection locked="0"/>
    </xf>
    <xf numFmtId="4" fontId="11" fillId="2" borderId="36" xfId="0" applyNumberFormat="1" applyFont="1" applyFill="1" applyBorder="1" applyAlignment="1" applyProtection="1">
      <alignment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vertical="center"/>
      <protection locked="0"/>
    </xf>
    <xf numFmtId="3" fontId="11" fillId="2" borderId="37" xfId="0" applyNumberFormat="1" applyFont="1" applyFill="1" applyBorder="1" applyAlignment="1" applyProtection="1">
      <alignment horizontal="center" vertical="center"/>
      <protection locked="0"/>
    </xf>
    <xf numFmtId="4" fontId="11" fillId="2" borderId="37" xfId="0" applyNumberFormat="1" applyFont="1" applyFill="1" applyBorder="1" applyAlignment="1" applyProtection="1">
      <alignment vertical="center"/>
      <protection locked="0"/>
    </xf>
    <xf numFmtId="4" fontId="14" fillId="2" borderId="77" xfId="0" applyNumberFormat="1" applyFont="1" applyFill="1" applyBorder="1" applyAlignment="1" applyProtection="1">
      <alignment vertical="center"/>
      <protection locked="0"/>
    </xf>
    <xf numFmtId="4" fontId="10" fillId="2" borderId="81" xfId="0" applyNumberFormat="1" applyFont="1" applyFill="1" applyBorder="1" applyAlignment="1" applyProtection="1">
      <alignment vertical="center"/>
      <protection locked="0"/>
    </xf>
    <xf numFmtId="4" fontId="10" fillId="2" borderId="82" xfId="0" applyNumberFormat="1" applyFont="1" applyFill="1" applyBorder="1" applyAlignment="1" applyProtection="1">
      <alignment vertical="center"/>
      <protection locked="0"/>
    </xf>
    <xf numFmtId="4" fontId="10" fillId="2" borderId="83" xfId="0" applyNumberFormat="1" applyFont="1" applyFill="1" applyBorder="1" applyAlignment="1" applyProtection="1">
      <alignment vertical="center"/>
      <protection locked="0"/>
    </xf>
    <xf numFmtId="4" fontId="14" fillId="2" borderId="78" xfId="0" applyNumberFormat="1" applyFont="1" applyFill="1" applyBorder="1" applyAlignment="1" applyProtection="1">
      <alignment vertical="center"/>
      <protection locked="0"/>
    </xf>
    <xf numFmtId="4" fontId="10" fillId="2" borderId="84" xfId="0" applyNumberFormat="1" applyFont="1" applyFill="1" applyBorder="1" applyAlignment="1" applyProtection="1">
      <alignment vertical="center"/>
      <protection locked="0"/>
    </xf>
    <xf numFmtId="4" fontId="10" fillId="2" borderId="85" xfId="0" applyNumberFormat="1" applyFont="1" applyFill="1" applyBorder="1" applyAlignment="1" applyProtection="1">
      <alignment vertical="center"/>
      <protection locked="0"/>
    </xf>
    <xf numFmtId="4" fontId="10" fillId="2" borderId="86" xfId="0" applyNumberFormat="1" applyFont="1" applyFill="1" applyBorder="1" applyAlignment="1" applyProtection="1">
      <alignment vertical="center"/>
      <protection locked="0"/>
    </xf>
    <xf numFmtId="4" fontId="14" fillId="2" borderId="79" xfId="0" applyNumberFormat="1" applyFont="1" applyFill="1" applyBorder="1" applyAlignment="1" applyProtection="1">
      <alignment vertical="center"/>
      <protection locked="0"/>
    </xf>
    <xf numFmtId="4" fontId="10" fillId="2" borderId="87" xfId="0" applyNumberFormat="1" applyFont="1" applyFill="1" applyBorder="1" applyAlignment="1" applyProtection="1">
      <alignment vertical="center"/>
      <protection locked="0"/>
    </xf>
    <xf numFmtId="4" fontId="10" fillId="2" borderId="88" xfId="0" applyNumberFormat="1" applyFont="1" applyFill="1" applyBorder="1" applyAlignment="1" applyProtection="1">
      <alignment vertical="center"/>
      <protection locked="0"/>
    </xf>
    <xf numFmtId="4" fontId="10" fillId="2" borderId="89" xfId="0" applyNumberFormat="1" applyFont="1" applyFill="1" applyBorder="1" applyAlignment="1" applyProtection="1">
      <alignment vertical="center"/>
      <protection locked="0"/>
    </xf>
    <xf numFmtId="4" fontId="10" fillId="2" borderId="102" xfId="0" applyNumberFormat="1" applyFont="1" applyFill="1" applyBorder="1" applyAlignment="1" applyProtection="1">
      <alignment vertical="center"/>
      <protection locked="0"/>
    </xf>
    <xf numFmtId="4" fontId="10" fillId="2" borderId="103" xfId="0" applyNumberFormat="1" applyFont="1" applyFill="1" applyBorder="1" applyAlignment="1" applyProtection="1">
      <alignment vertical="center"/>
      <protection locked="0"/>
    </xf>
    <xf numFmtId="4" fontId="10" fillId="2" borderId="96" xfId="0" applyNumberFormat="1" applyFont="1" applyFill="1" applyBorder="1" applyAlignment="1" applyProtection="1">
      <alignment vertical="center"/>
      <protection locked="0"/>
    </xf>
    <xf numFmtId="4" fontId="10" fillId="2" borderId="97" xfId="0" applyNumberFormat="1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98" xfId="0" applyNumberFormat="1" applyFont="1" applyFill="1" applyBorder="1" applyAlignment="1" applyProtection="1">
      <alignment horizontal="left" vertical="center"/>
      <protection locked="0"/>
    </xf>
    <xf numFmtId="10" fontId="9" fillId="2" borderId="104" xfId="131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10" fontId="9" fillId="2" borderId="68" xfId="131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10" fontId="9" fillId="2" borderId="98" xfId="131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10" fontId="9" fillId="2" borderId="71" xfId="131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10" fontId="14" fillId="2" borderId="75" xfId="131" applyNumberFormat="1" applyFont="1" applyFill="1" applyBorder="1" applyAlignment="1">
      <alignment vertical="center"/>
    </xf>
    <xf numFmtId="4" fontId="14" fillId="2" borderId="15" xfId="0" applyNumberFormat="1" applyFont="1" applyFill="1" applyBorder="1" applyAlignment="1" applyProtection="1">
      <alignment vertical="center"/>
      <protection locked="0"/>
    </xf>
    <xf numFmtId="4" fontId="14" fillId="2" borderId="105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4" fontId="10" fillId="2" borderId="77" xfId="0" applyNumberFormat="1" applyFont="1" applyFill="1" applyBorder="1" applyAlignment="1" applyProtection="1">
      <alignment vertical="center"/>
      <protection locked="0"/>
    </xf>
    <xf numFmtId="4" fontId="10" fillId="2" borderId="65" xfId="0" applyNumberFormat="1" applyFont="1" applyFill="1" applyBorder="1" applyAlignment="1" applyProtection="1">
      <alignment horizontal="left" vertical="center"/>
      <protection locked="0"/>
    </xf>
    <xf numFmtId="4" fontId="10" fillId="2" borderId="101" xfId="0" applyNumberFormat="1" applyFont="1" applyFill="1" applyBorder="1" applyAlignment="1" applyProtection="1">
      <alignment vertical="center"/>
      <protection locked="0"/>
    </xf>
    <xf numFmtId="4" fontId="10" fillId="2" borderId="78" xfId="0" applyNumberFormat="1" applyFont="1" applyFill="1" applyBorder="1" applyAlignment="1" applyProtection="1">
      <alignment vertical="center"/>
      <protection locked="0"/>
    </xf>
    <xf numFmtId="4" fontId="10" fillId="2" borderId="95" xfId="0" applyNumberFormat="1" applyFont="1" applyFill="1" applyBorder="1" applyAlignment="1" applyProtection="1">
      <alignment vertical="center"/>
      <protection locked="0"/>
    </xf>
    <xf numFmtId="4" fontId="10" fillId="2" borderId="79" xfId="0" applyNumberFormat="1" applyFont="1" applyFill="1" applyBorder="1" applyAlignment="1" applyProtection="1">
      <alignment vertical="center"/>
      <protection locked="0"/>
    </xf>
    <xf numFmtId="0" fontId="10" fillId="2" borderId="100" xfId="0" applyFont="1" applyFill="1" applyBorder="1" applyAlignment="1" applyProtection="1">
      <alignment horizontal="left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0" fontId="10" fillId="2" borderId="70" xfId="0" applyFont="1" applyFill="1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3" xfId="0" applyNumberFormat="1" applyFont="1" applyFill="1" applyBorder="1" applyAlignment="1" applyProtection="1">
      <alignment vertical="center"/>
      <protection locked="0"/>
    </xf>
    <xf numFmtId="4" fontId="10" fillId="2" borderId="66" xfId="0" applyNumberFormat="1" applyFont="1" applyFill="1" applyBorder="1" applyAlignment="1" applyProtection="1">
      <alignment vertical="center"/>
      <protection locked="0"/>
    </xf>
    <xf numFmtId="0" fontId="10" fillId="2" borderId="101" xfId="0" applyFont="1" applyFill="1" applyBorder="1" applyAlignment="1" applyProtection="1">
      <alignment horizontal="left" vertical="center"/>
      <protection locked="0"/>
    </xf>
    <xf numFmtId="0" fontId="10" fillId="2" borderId="78" xfId="0" applyFont="1" applyFill="1" applyBorder="1" applyAlignment="1" applyProtection="1">
      <alignment horizontal="left" vertical="center"/>
      <protection locked="0"/>
    </xf>
    <xf numFmtId="0" fontId="10" fillId="2" borderId="79" xfId="0" applyFont="1" applyFill="1" applyBorder="1" applyAlignment="1" applyProtection="1">
      <alignment horizontal="left" vertical="center"/>
      <protection locked="0"/>
    </xf>
    <xf numFmtId="0" fontId="20" fillId="3" borderId="76" xfId="0" applyFont="1" applyFill="1" applyBorder="1" applyAlignment="1">
      <alignment horizontal="center" vertical="center"/>
    </xf>
    <xf numFmtId="4" fontId="14" fillId="2" borderId="72" xfId="0" applyNumberFormat="1" applyFont="1" applyFill="1" applyBorder="1" applyAlignment="1" applyProtection="1">
      <alignment vertical="center"/>
      <protection locked="0"/>
    </xf>
    <xf numFmtId="4" fontId="14" fillId="2" borderId="115" xfId="0" applyNumberFormat="1" applyFont="1" applyFill="1" applyBorder="1" applyAlignment="1" applyProtection="1">
      <alignment vertical="center"/>
      <protection locked="0"/>
    </xf>
    <xf numFmtId="4" fontId="14" fillId="2" borderId="91" xfId="0" applyNumberFormat="1" applyFont="1" applyFill="1" applyBorder="1" applyAlignment="1" applyProtection="1">
      <alignment vertical="center"/>
      <protection locked="0"/>
    </xf>
    <xf numFmtId="4" fontId="10" fillId="2" borderId="108" xfId="0" applyNumberFormat="1" applyFont="1" applyFill="1" applyBorder="1" applyAlignment="1" applyProtection="1">
      <alignment vertical="center"/>
      <protection locked="0"/>
    </xf>
    <xf numFmtId="4" fontId="10" fillId="2" borderId="109" xfId="0" applyNumberFormat="1" applyFont="1" applyFill="1" applyBorder="1" applyAlignment="1" applyProtection="1">
      <alignment vertical="center"/>
      <protection locked="0"/>
    </xf>
    <xf numFmtId="4" fontId="10" fillId="2" borderId="110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4" fontId="10" fillId="2" borderId="100" xfId="0" applyNumberFormat="1" applyFont="1" applyFill="1" applyBorder="1" applyAlignment="1" applyProtection="1">
      <alignment horizontal="left" vertical="center"/>
      <protection locked="0"/>
    </xf>
    <xf numFmtId="4" fontId="10" fillId="2" borderId="70" xfId="0" applyNumberFormat="1" applyFont="1" applyFill="1" applyBorder="1" applyAlignment="1" applyProtection="1">
      <alignment horizontal="left" vertical="center"/>
      <protection locked="0"/>
    </xf>
    <xf numFmtId="4" fontId="10" fillId="2" borderId="79" xfId="0" applyNumberFormat="1" applyFont="1" applyFill="1" applyBorder="1" applyAlignment="1" applyProtection="1">
      <alignment horizontal="left" vertical="center"/>
      <protection locked="0"/>
    </xf>
    <xf numFmtId="4" fontId="21" fillId="2" borderId="101" xfId="0" applyNumberFormat="1" applyFont="1" applyFill="1" applyBorder="1" applyAlignment="1" applyProtection="1">
      <alignment vertical="center"/>
      <protection locked="0"/>
    </xf>
    <xf numFmtId="4" fontId="21" fillId="2" borderId="42" xfId="0" applyNumberFormat="1" applyFont="1" applyFill="1" applyBorder="1" applyAlignment="1" applyProtection="1">
      <alignment vertical="center"/>
      <protection locked="0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69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3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Protection="1">
      <protection locked="0"/>
    </xf>
    <xf numFmtId="0" fontId="21" fillId="2" borderId="4" xfId="0" applyFont="1" applyFill="1" applyBorder="1" applyAlignment="1" applyProtection="1">
      <protection locked="0"/>
    </xf>
    <xf numFmtId="0" fontId="21" fillId="2" borderId="5" xfId="0" applyFont="1" applyFill="1" applyBorder="1" applyAlignment="1" applyProtection="1">
      <protection locked="0"/>
    </xf>
    <xf numFmtId="0" fontId="21" fillId="2" borderId="2" xfId="0" applyFont="1" applyFill="1" applyBorder="1" applyAlignment="1" applyProtection="1">
      <protection locked="0"/>
    </xf>
    <xf numFmtId="10" fontId="25" fillId="2" borderId="4" xfId="0" applyNumberFormat="1" applyFont="1" applyFill="1" applyBorder="1" applyProtection="1">
      <protection locked="0"/>
    </xf>
    <xf numFmtId="10" fontId="25" fillId="2" borderId="5" xfId="0" applyNumberFormat="1" applyFont="1" applyFill="1" applyBorder="1" applyProtection="1">
      <protection locked="0"/>
    </xf>
    <xf numFmtId="4" fontId="10" fillId="2" borderId="77" xfId="0" applyNumberFormat="1" applyFont="1" applyFill="1" applyBorder="1" applyAlignment="1" applyProtection="1">
      <alignment horizontal="left" vertical="center"/>
      <protection locked="0"/>
    </xf>
    <xf numFmtId="0" fontId="10" fillId="2" borderId="77" xfId="0" applyFont="1" applyFill="1" applyBorder="1" applyAlignment="1" applyProtection="1">
      <alignment horizontal="left" vertical="center"/>
      <protection locked="0"/>
    </xf>
    <xf numFmtId="4" fontId="10" fillId="2" borderId="78" xfId="0" applyNumberFormat="1" applyFont="1" applyFill="1" applyBorder="1" applyAlignment="1" applyProtection="1">
      <alignment horizontal="left" vertical="center"/>
      <protection locked="0"/>
    </xf>
    <xf numFmtId="4" fontId="10" fillId="2" borderId="72" xfId="0" applyNumberFormat="1" applyFont="1" applyFill="1" applyBorder="1" applyAlignment="1" applyProtection="1">
      <alignment horizontal="right" vertical="center"/>
      <protection locked="0"/>
    </xf>
    <xf numFmtId="4" fontId="10" fillId="2" borderId="90" xfId="0" applyNumberFormat="1" applyFont="1" applyFill="1" applyBorder="1" applyAlignment="1" applyProtection="1">
      <alignment horizontal="right" vertical="center"/>
      <protection locked="0"/>
    </xf>
    <xf numFmtId="4" fontId="10" fillId="2" borderId="91" xfId="0" applyNumberFormat="1" applyFont="1" applyFill="1" applyBorder="1" applyAlignment="1" applyProtection="1">
      <alignment horizontal="right" vertical="center"/>
      <protection locked="0"/>
    </xf>
    <xf numFmtId="4" fontId="10" fillId="2" borderId="92" xfId="0" applyNumberFormat="1" applyFont="1" applyFill="1" applyBorder="1" applyAlignment="1" applyProtection="1">
      <alignment horizontal="righ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vertical="center"/>
      <protection locked="0"/>
    </xf>
    <xf numFmtId="0" fontId="10" fillId="2" borderId="66" xfId="0" applyFont="1" applyFill="1" applyBorder="1" applyAlignment="1" applyProtection="1">
      <alignment vertical="center"/>
      <protection locked="0"/>
    </xf>
    <xf numFmtId="0" fontId="10" fillId="2" borderId="68" xfId="0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vertical="center"/>
      <protection locked="0"/>
    </xf>
    <xf numFmtId="0" fontId="10" fillId="2" borderId="71" xfId="0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14" fillId="2" borderId="92" xfId="0" applyNumberFormat="1" applyFont="1" applyFill="1" applyBorder="1" applyAlignment="1" applyProtection="1">
      <alignment vertical="center"/>
      <protection locked="0"/>
    </xf>
    <xf numFmtId="4" fontId="10" fillId="2" borderId="114" xfId="0" applyNumberFormat="1" applyFont="1" applyFill="1" applyBorder="1" applyAlignment="1" applyProtection="1">
      <alignment horizontal="right" vertical="center"/>
      <protection locked="0"/>
    </xf>
    <xf numFmtId="4" fontId="10" fillId="2" borderId="86" xfId="0" applyNumberFormat="1" applyFont="1" applyFill="1" applyBorder="1" applyAlignment="1" applyProtection="1">
      <alignment horizontal="right" vertical="center"/>
      <protection locked="0"/>
    </xf>
    <xf numFmtId="4" fontId="10" fillId="2" borderId="89" xfId="0" applyNumberFormat="1" applyFont="1" applyFill="1" applyBorder="1" applyAlignment="1" applyProtection="1">
      <alignment horizontal="right"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horizontal="right" vertical="center"/>
      <protection locked="0"/>
    </xf>
    <xf numFmtId="4" fontId="8" fillId="2" borderId="88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8" fillId="2" borderId="108" xfId="0" applyNumberFormat="1" applyFont="1" applyFill="1" applyBorder="1" applyAlignment="1" applyProtection="1">
      <alignment horizontal="right" vertical="center"/>
      <protection locked="0"/>
    </xf>
    <xf numFmtId="4" fontId="8" fillId="2" borderId="103" xfId="0" applyNumberFormat="1" applyFont="1" applyFill="1" applyBorder="1" applyAlignment="1" applyProtection="1">
      <alignment horizontal="right"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0" fontId="10" fillId="2" borderId="101" xfId="0" applyFont="1" applyFill="1" applyBorder="1" applyAlignment="1" applyProtection="1">
      <alignment horizontal="center" vertical="center"/>
      <protection locked="0"/>
    </xf>
    <xf numFmtId="0" fontId="10" fillId="2" borderId="78" xfId="0" applyFont="1" applyFill="1" applyBorder="1" applyAlignment="1" applyProtection="1">
      <alignment horizontal="center" vertical="center"/>
      <protection locked="0"/>
    </xf>
    <xf numFmtId="0" fontId="10" fillId="2" borderId="79" xfId="0" applyFont="1" applyFill="1" applyBorder="1" applyAlignment="1" applyProtection="1">
      <alignment horizontal="center" vertical="center"/>
      <protection locked="0"/>
    </xf>
    <xf numFmtId="4" fontId="10" fillId="2" borderId="101" xfId="0" applyNumberFormat="1" applyFont="1" applyFill="1" applyBorder="1" applyAlignment="1" applyProtection="1">
      <alignment horizontal="right" vertical="center"/>
      <protection locked="0"/>
    </xf>
    <xf numFmtId="4" fontId="10" fillId="2" borderId="100" xfId="0" applyNumberFormat="1" applyFont="1" applyFill="1" applyBorder="1" applyAlignment="1" applyProtection="1">
      <alignment horizontal="right" vertical="center"/>
      <protection locked="0"/>
    </xf>
    <xf numFmtId="4" fontId="10" fillId="2" borderId="78" xfId="0" applyNumberFormat="1" applyFont="1" applyFill="1" applyBorder="1" applyAlignment="1" applyProtection="1">
      <alignment horizontal="right" vertical="center"/>
      <protection locked="0"/>
    </xf>
    <xf numFmtId="4" fontId="10" fillId="2" borderId="79" xfId="0" applyNumberFormat="1" applyFont="1" applyFill="1" applyBorder="1" applyAlignment="1" applyProtection="1">
      <alignment horizontal="right" vertical="center"/>
      <protection locked="0"/>
    </xf>
    <xf numFmtId="4" fontId="10" fillId="2" borderId="70" xfId="0" applyNumberFormat="1" applyFont="1" applyFill="1" applyBorder="1" applyAlignment="1" applyProtection="1">
      <alignment horizontal="right" vertical="center"/>
      <protection locked="0"/>
    </xf>
    <xf numFmtId="4" fontId="14" fillId="3" borderId="77" xfId="0" applyNumberFormat="1" applyFont="1" applyFill="1" applyBorder="1" applyAlignment="1" applyProtection="1">
      <alignment horizontal="right" vertical="center"/>
      <protection locked="0"/>
    </xf>
    <xf numFmtId="4" fontId="14" fillId="3" borderId="101" xfId="0" applyNumberFormat="1" applyFont="1" applyFill="1" applyBorder="1" applyAlignment="1" applyProtection="1">
      <alignment horizontal="right" vertical="center"/>
      <protection locked="0"/>
    </xf>
    <xf numFmtId="4" fontId="14" fillId="3" borderId="78" xfId="0" applyNumberFormat="1" applyFont="1" applyFill="1" applyBorder="1" applyAlignment="1" applyProtection="1">
      <alignment horizontal="right" vertical="center"/>
      <protection locked="0"/>
    </xf>
    <xf numFmtId="4" fontId="14" fillId="3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0" fontId="46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center" vertical="center"/>
    </xf>
    <xf numFmtId="4" fontId="14" fillId="2" borderId="114" xfId="0" applyNumberFormat="1" applyFont="1" applyFill="1" applyBorder="1" applyAlignment="1">
      <alignment horizontal="right" vertical="center"/>
    </xf>
    <xf numFmtId="4" fontId="8" fillId="2" borderId="15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protection locked="0"/>
    </xf>
    <xf numFmtId="0" fontId="10" fillId="2" borderId="64" xfId="0" applyFont="1" applyFill="1" applyBorder="1" applyAlignment="1" applyProtection="1">
      <protection locked="0"/>
    </xf>
    <xf numFmtId="0" fontId="10" fillId="2" borderId="65" xfId="0" applyFont="1" applyFill="1" applyBorder="1" applyAlignment="1" applyProtection="1">
      <protection locked="0"/>
    </xf>
    <xf numFmtId="0" fontId="10" fillId="2" borderId="66" xfId="0" applyFont="1" applyFill="1" applyBorder="1" applyAlignment="1" applyProtection="1">
      <protection locked="0"/>
    </xf>
    <xf numFmtId="0" fontId="10" fillId="2" borderId="67" xfId="0" applyFont="1" applyFill="1" applyBorder="1" applyAlignment="1" applyProtection="1">
      <protection locked="0"/>
    </xf>
    <xf numFmtId="0" fontId="10" fillId="2" borderId="68" xfId="0" applyFont="1" applyFill="1" applyBorder="1" applyAlignment="1" applyProtection="1">
      <protection locked="0"/>
    </xf>
    <xf numFmtId="0" fontId="10" fillId="2" borderId="69" xfId="0" applyFont="1" applyFill="1" applyBorder="1" applyAlignment="1" applyProtection="1">
      <protection locked="0"/>
    </xf>
    <xf numFmtId="0" fontId="10" fillId="2" borderId="70" xfId="0" applyFont="1" applyFill="1" applyBorder="1" applyAlignment="1" applyProtection="1">
      <protection locked="0"/>
    </xf>
    <xf numFmtId="0" fontId="10" fillId="2" borderId="71" xfId="0" applyFont="1" applyFill="1" applyBorder="1" applyAlignment="1" applyProtection="1"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10" fillId="2" borderId="114" xfId="0" applyNumberFormat="1" applyFont="1" applyFill="1" applyBorder="1" applyAlignment="1" applyProtection="1">
      <alignment horizontal="right" vertical="center"/>
      <protection locked="0"/>
    </xf>
    <xf numFmtId="165" fontId="10" fillId="2" borderId="86" xfId="0" applyNumberFormat="1" applyFont="1" applyFill="1" applyBorder="1" applyAlignment="1" applyProtection="1">
      <alignment horizontal="right" vertical="center"/>
      <protection locked="0"/>
    </xf>
    <xf numFmtId="165" fontId="10" fillId="2" borderId="89" xfId="0" applyNumberFormat="1" applyFont="1" applyFill="1" applyBorder="1" applyAlignment="1" applyProtection="1">
      <alignment horizontal="right" vertical="center"/>
      <protection locked="0"/>
    </xf>
    <xf numFmtId="4" fontId="14" fillId="2" borderId="15" xfId="0" applyNumberFormat="1" applyFont="1" applyFill="1" applyBorder="1" applyAlignment="1" applyProtection="1">
      <protection locked="0"/>
    </xf>
    <xf numFmtId="0" fontId="8" fillId="2" borderId="99" xfId="0" applyFont="1" applyFill="1" applyBorder="1" applyAlignment="1">
      <alignment horizontal="left" vertical="center"/>
    </xf>
    <xf numFmtId="4" fontId="10" fillId="2" borderId="101" xfId="0" applyNumberFormat="1" applyFont="1" applyFill="1" applyBorder="1" applyAlignment="1" applyProtection="1">
      <alignment vertical="center"/>
    </xf>
    <xf numFmtId="4" fontId="10" fillId="2" borderId="79" xfId="0" applyNumberFormat="1" applyFont="1" applyFill="1" applyBorder="1" applyAlignment="1" applyProtection="1">
      <alignment vertical="center"/>
    </xf>
    <xf numFmtId="0" fontId="47" fillId="0" borderId="9" xfId="0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47" fillId="0" borderId="10" xfId="0" applyFont="1" applyFill="1" applyBorder="1" applyAlignment="1" applyProtection="1">
      <alignment horizontal="left"/>
      <protection locked="0"/>
    </xf>
    <xf numFmtId="0" fontId="47" fillId="0" borderId="9" xfId="0" applyFont="1" applyFill="1" applyBorder="1" applyAlignment="1" applyProtection="1">
      <alignment horizontal="left" vertical="center"/>
      <protection locked="0"/>
    </xf>
    <xf numFmtId="0" fontId="47" fillId="0" borderId="0" xfId="0" applyFont="1" applyFill="1" applyBorder="1" applyAlignment="1" applyProtection="1">
      <alignment horizontal="left" vertical="center"/>
      <protection locked="0"/>
    </xf>
    <xf numFmtId="0" fontId="47" fillId="0" borderId="10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/>
    </xf>
    <xf numFmtId="4" fontId="25" fillId="2" borderId="0" xfId="0" applyNumberFormat="1" applyFont="1" applyFill="1" applyAlignment="1" applyProtection="1">
      <alignment horizontal="left"/>
    </xf>
    <xf numFmtId="0" fontId="25" fillId="2" borderId="6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left"/>
    </xf>
    <xf numFmtId="4" fontId="25" fillId="2" borderId="7" xfId="0" applyNumberFormat="1" applyFont="1" applyFill="1" applyBorder="1" applyAlignment="1" applyProtection="1">
      <alignment horizontal="left"/>
    </xf>
    <xf numFmtId="0" fontId="25" fillId="2" borderId="8" xfId="0" applyFont="1" applyFill="1" applyBorder="1" applyAlignment="1" applyProtection="1">
      <alignment horizontal="left"/>
    </xf>
    <xf numFmtId="0" fontId="25" fillId="2" borderId="9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4" fontId="25" fillId="2" borderId="0" xfId="0" applyNumberFormat="1" applyFont="1" applyFill="1" applyBorder="1" applyAlignment="1" applyProtection="1">
      <alignment horizontal="left"/>
    </xf>
    <xf numFmtId="0" fontId="25" fillId="2" borderId="10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0" fontId="10" fillId="2" borderId="9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/>
    </xf>
    <xf numFmtId="0" fontId="19" fillId="2" borderId="9" xfId="0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 vertical="center"/>
    </xf>
    <xf numFmtId="4" fontId="17" fillId="5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4" fontId="17" fillId="2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/>
    </xf>
    <xf numFmtId="0" fontId="21" fillId="2" borderId="9" xfId="0" applyFont="1" applyFill="1" applyBorder="1" applyAlignment="1" applyProtection="1">
      <alignment horizontal="left"/>
    </xf>
    <xf numFmtId="0" fontId="21" fillId="3" borderId="57" xfId="0" applyFont="1" applyFill="1" applyBorder="1" applyAlignment="1" applyProtection="1">
      <alignment vertical="center"/>
    </xf>
    <xf numFmtId="0" fontId="21" fillId="3" borderId="59" xfId="0" applyFont="1" applyFill="1" applyBorder="1" applyAlignment="1" applyProtection="1">
      <alignment vertical="center"/>
    </xf>
    <xf numFmtId="4" fontId="20" fillId="3" borderId="16" xfId="0" applyNumberFormat="1" applyFont="1" applyFill="1" applyBorder="1" applyAlignment="1" applyProtection="1">
      <alignment horizontal="right" vertical="center"/>
    </xf>
    <xf numFmtId="1" fontId="20" fillId="3" borderId="17" xfId="0" applyNumberFormat="1" applyFont="1" applyFill="1" applyBorder="1" applyAlignment="1" applyProtection="1">
      <alignment horizontal="center" vertical="center"/>
    </xf>
    <xf numFmtId="1" fontId="17" fillId="3" borderId="18" xfId="0" applyNumberFormat="1" applyFont="1" applyFill="1" applyBorder="1" applyAlignment="1" applyProtection="1">
      <alignment horizontal="left" vertical="center"/>
    </xf>
    <xf numFmtId="1" fontId="20" fillId="3" borderId="17" xfId="0" applyNumberFormat="1" applyFont="1" applyFill="1" applyBorder="1" applyAlignment="1" applyProtection="1">
      <alignment horizontal="left" vertical="center"/>
    </xf>
    <xf numFmtId="0" fontId="21" fillId="2" borderId="0" xfId="0" applyFont="1" applyFill="1" applyAlignment="1" applyProtection="1">
      <alignment horizontal="left" vertical="center"/>
    </xf>
    <xf numFmtId="0" fontId="26" fillId="2" borderId="9" xfId="0" applyFont="1" applyFill="1" applyBorder="1" applyAlignment="1" applyProtection="1">
      <alignment horizontal="center"/>
    </xf>
    <xf numFmtId="0" fontId="17" fillId="3" borderId="62" xfId="0" applyFont="1" applyFill="1" applyBorder="1" applyAlignment="1" applyProtection="1">
      <alignment vertical="center"/>
    </xf>
    <xf numFmtId="0" fontId="26" fillId="3" borderId="19" xfId="0" applyFont="1" applyFill="1" applyBorder="1" applyAlignment="1" applyProtection="1">
      <alignment horizontal="center" vertical="center"/>
    </xf>
    <xf numFmtId="4" fontId="26" fillId="3" borderId="15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left"/>
    </xf>
    <xf numFmtId="0" fontId="14" fillId="2" borderId="16" xfId="0" applyFont="1" applyFill="1" applyBorder="1" applyAlignment="1" applyProtection="1">
      <alignment vertical="center"/>
    </xf>
    <xf numFmtId="0" fontId="14" fillId="2" borderId="18" xfId="0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horizontal="left" vertical="center"/>
    </xf>
    <xf numFmtId="0" fontId="14" fillId="2" borderId="15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0" fillId="2" borderId="63" xfId="0" applyFont="1" applyFill="1" applyBorder="1" applyAlignment="1" applyProtection="1">
      <alignment vertical="center"/>
    </xf>
    <xf numFmtId="0" fontId="10" fillId="2" borderId="65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69" xfId="0" applyFont="1" applyFill="1" applyBorder="1" applyAlignment="1" applyProtection="1">
      <alignment vertical="center"/>
    </xf>
    <xf numFmtId="0" fontId="10" fillId="2" borderId="71" xfId="0" applyFont="1" applyFill="1" applyBorder="1" applyAlignment="1" applyProtection="1">
      <alignment vertical="center"/>
    </xf>
    <xf numFmtId="0" fontId="10" fillId="2" borderId="68" xfId="0" applyFont="1" applyFill="1" applyBorder="1" applyAlignment="1" applyProtection="1">
      <alignment vertical="center"/>
    </xf>
    <xf numFmtId="0" fontId="48" fillId="2" borderId="9" xfId="0" applyFont="1" applyFill="1" applyBorder="1" applyAlignment="1" applyProtection="1">
      <alignment horizontal="left"/>
    </xf>
    <xf numFmtId="0" fontId="48" fillId="2" borderId="63" xfId="0" applyFont="1" applyFill="1" applyBorder="1" applyAlignment="1" applyProtection="1">
      <alignment vertical="center"/>
    </xf>
    <xf numFmtId="0" fontId="48" fillId="2" borderId="65" xfId="0" applyFont="1" applyFill="1" applyBorder="1" applyAlignment="1" applyProtection="1">
      <alignment vertical="center"/>
    </xf>
    <xf numFmtId="4" fontId="48" fillId="2" borderId="77" xfId="0" applyNumberFormat="1" applyFont="1" applyFill="1" applyBorder="1" applyAlignment="1" applyProtection="1">
      <alignment vertical="center"/>
    </xf>
    <xf numFmtId="4" fontId="48" fillId="2" borderId="77" xfId="0" applyNumberFormat="1" applyFont="1" applyFill="1" applyBorder="1" applyAlignment="1" applyProtection="1">
      <alignment horizontal="left" vertical="center"/>
    </xf>
    <xf numFmtId="0" fontId="48" fillId="2" borderId="77" xfId="0" applyFont="1" applyFill="1" applyBorder="1" applyAlignment="1" applyProtection="1">
      <alignment horizontal="left" vertical="center"/>
    </xf>
    <xf numFmtId="0" fontId="48" fillId="2" borderId="10" xfId="0" applyFont="1" applyFill="1" applyBorder="1" applyAlignment="1" applyProtection="1">
      <alignment horizontal="left"/>
    </xf>
    <xf numFmtId="0" fontId="48" fillId="2" borderId="0" xfId="0" applyFont="1" applyFill="1" applyAlignment="1" applyProtection="1">
      <alignment horizontal="left" vertical="center"/>
    </xf>
    <xf numFmtId="0" fontId="14" fillId="2" borderId="73" xfId="0" applyFont="1" applyFill="1" applyBorder="1" applyAlignment="1" applyProtection="1">
      <alignment vertical="center"/>
    </xf>
    <xf numFmtId="0" fontId="14" fillId="2" borderId="75" xfId="0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horizontal="left" vertical="center"/>
    </xf>
    <xf numFmtId="0" fontId="14" fillId="2" borderId="72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horizontal="left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1" fontId="17" fillId="3" borderId="80" xfId="0" applyNumberFormat="1" applyFont="1" applyFill="1" applyBorder="1" applyAlignment="1" applyProtection="1">
      <alignment horizontal="center" vertical="center"/>
    </xf>
    <xf numFmtId="4" fontId="14" fillId="2" borderId="73" xfId="0" applyNumberFormat="1" applyFont="1" applyFill="1" applyBorder="1" applyAlignment="1" applyProtection="1">
      <alignment horizontal="left" vertical="center"/>
    </xf>
    <xf numFmtId="4" fontId="14" fillId="2" borderId="74" xfId="0" applyNumberFormat="1" applyFont="1" applyFill="1" applyBorder="1" applyAlignment="1" applyProtection="1">
      <alignment horizontal="left" vertical="center"/>
    </xf>
    <xf numFmtId="4" fontId="14" fillId="2" borderId="75" xfId="0" applyNumberFormat="1" applyFont="1" applyFill="1" applyBorder="1" applyAlignment="1" applyProtection="1">
      <alignment horizontal="left" vertical="center"/>
    </xf>
    <xf numFmtId="4" fontId="14" fillId="2" borderId="16" xfId="0" applyNumberFormat="1" applyFont="1" applyFill="1" applyBorder="1" applyAlignment="1" applyProtection="1">
      <alignment horizontal="left" vertical="center"/>
    </xf>
    <xf numFmtId="4" fontId="14" fillId="2" borderId="17" xfId="0" applyNumberFormat="1" applyFont="1" applyFill="1" applyBorder="1" applyAlignment="1" applyProtection="1">
      <alignment horizontal="left" vertical="center"/>
    </xf>
    <xf numFmtId="4" fontId="14" fillId="2" borderId="18" xfId="0" applyNumberFormat="1" applyFont="1" applyFill="1" applyBorder="1" applyAlignment="1" applyProtection="1">
      <alignment horizontal="left" vertical="center"/>
    </xf>
    <xf numFmtId="0" fontId="9" fillId="2" borderId="99" xfId="0" applyFont="1" applyFill="1" applyBorder="1" applyAlignment="1" applyProtection="1">
      <alignment vertical="center"/>
    </xf>
    <xf numFmtId="0" fontId="10" fillId="2" borderId="104" xfId="0" applyFont="1" applyFill="1" applyBorder="1" applyAlignment="1" applyProtection="1">
      <alignment vertical="center"/>
    </xf>
    <xf numFmtId="0" fontId="9" fillId="2" borderId="66" xfId="0" applyFont="1" applyFill="1" applyBorder="1" applyAlignment="1" applyProtection="1">
      <alignment vertical="center"/>
    </xf>
    <xf numFmtId="0" fontId="9" fillId="2" borderId="93" xfId="0" applyFont="1" applyFill="1" applyBorder="1" applyAlignment="1" applyProtection="1">
      <alignment vertical="center"/>
    </xf>
    <xf numFmtId="0" fontId="10" fillId="2" borderId="98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left"/>
    </xf>
    <xf numFmtId="0" fontId="8" fillId="2" borderId="66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horizontal="left" vertical="center"/>
    </xf>
    <xf numFmtId="0" fontId="39" fillId="2" borderId="0" xfId="0" applyFont="1" applyFill="1" applyBorder="1" applyAlignment="1" applyProtection="1">
      <alignment vertical="center"/>
    </xf>
    <xf numFmtId="4" fontId="39" fillId="2" borderId="0" xfId="0" applyNumberFormat="1" applyFont="1" applyFill="1" applyBorder="1" applyAlignment="1" applyProtection="1">
      <alignment horizontal="left" vertical="center"/>
    </xf>
    <xf numFmtId="0" fontId="25" fillId="2" borderId="11" xfId="0" applyFont="1" applyFill="1" applyBorder="1" applyAlignment="1" applyProtection="1">
      <alignment horizontal="left"/>
    </xf>
    <xf numFmtId="0" fontId="25" fillId="2" borderId="12" xfId="0" applyFont="1" applyFill="1" applyBorder="1" applyAlignment="1" applyProtection="1">
      <alignment horizontal="left"/>
    </xf>
    <xf numFmtId="0" fontId="25" fillId="2" borderId="13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24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>
      <alignment horizontal="left"/>
    </xf>
    <xf numFmtId="0" fontId="10" fillId="2" borderId="156" xfId="0" applyFont="1" applyFill="1" applyBorder="1" applyAlignment="1" applyProtection="1">
      <alignment vertical="center"/>
      <protection locked="0"/>
    </xf>
    <xf numFmtId="0" fontId="10" fillId="2" borderId="157" xfId="0" applyFont="1" applyFill="1" applyBorder="1" applyAlignment="1" applyProtection="1">
      <alignment vertical="center"/>
      <protection locked="0"/>
    </xf>
    <xf numFmtId="4" fontId="10" fillId="2" borderId="158" xfId="0" applyNumberFormat="1" applyFont="1" applyFill="1" applyBorder="1" applyAlignment="1" applyProtection="1">
      <alignment horizontal="right" vertical="center"/>
      <protection locked="0"/>
    </xf>
    <xf numFmtId="4" fontId="10" fillId="2" borderId="156" xfId="0" applyNumberFormat="1" applyFont="1" applyFill="1" applyBorder="1" applyAlignment="1" applyProtection="1">
      <alignment horizontal="left" vertical="center"/>
      <protection locked="0"/>
    </xf>
    <xf numFmtId="4" fontId="10" fillId="2" borderId="159" xfId="0" applyNumberFormat="1" applyFont="1" applyFill="1" applyBorder="1" applyAlignment="1" applyProtection="1">
      <alignment horizontal="left" vertical="center"/>
      <protection locked="0"/>
    </xf>
    <xf numFmtId="4" fontId="10" fillId="2" borderId="157" xfId="0" applyNumberFormat="1" applyFont="1" applyFill="1" applyBorder="1" applyAlignment="1" applyProtection="1">
      <alignment horizontal="left" vertical="center"/>
      <protection locked="0"/>
    </xf>
    <xf numFmtId="4" fontId="10" fillId="2" borderId="67" xfId="0" applyNumberFormat="1" applyFont="1" applyFill="1" applyBorder="1" applyAlignment="1" applyProtection="1">
      <alignment horizontal="left" vertical="center"/>
      <protection locked="0"/>
    </xf>
    <xf numFmtId="4" fontId="10" fillId="2" borderId="63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93" xfId="0" applyNumberFormat="1" applyFont="1" applyFill="1" applyBorder="1" applyAlignment="1" applyProtection="1">
      <alignment horizontal="left" vertical="center"/>
      <protection locked="0"/>
    </xf>
    <xf numFmtId="4" fontId="10" fillId="2" borderId="94" xfId="0" applyNumberFormat="1" applyFont="1" applyFill="1" applyBorder="1" applyAlignment="1" applyProtection="1">
      <alignment horizontal="left" vertical="center"/>
      <protection locked="0"/>
    </xf>
    <xf numFmtId="4" fontId="29" fillId="2" borderId="29" xfId="0" applyNumberFormat="1" applyFont="1" applyFill="1" applyBorder="1" applyProtection="1">
      <protection locked="0"/>
    </xf>
    <xf numFmtId="4" fontId="29" fillId="2" borderId="131" xfId="0" applyNumberFormat="1" applyFont="1" applyFill="1" applyBorder="1" applyProtection="1">
      <protection locked="0"/>
    </xf>
    <xf numFmtId="4" fontId="29" fillId="2" borderId="61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0" fontId="45" fillId="2" borderId="0" xfId="0" applyFont="1" applyFill="1" applyBorder="1" applyAlignment="1">
      <alignment horizontal="right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>
      <alignment horizontal="right" wrapText="1"/>
    </xf>
    <xf numFmtId="4" fontId="8" fillId="2" borderId="104" xfId="0" applyNumberFormat="1" applyFont="1" applyFill="1" applyBorder="1" applyAlignment="1" applyProtection="1">
      <alignment horizontal="right" vertical="center"/>
      <protection locked="0"/>
    </xf>
    <xf numFmtId="4" fontId="8" fillId="2" borderId="68" xfId="0" applyNumberFormat="1" applyFont="1" applyFill="1" applyBorder="1" applyAlignment="1" applyProtection="1">
      <alignment horizontal="right" vertical="center"/>
      <protection locked="0"/>
    </xf>
    <xf numFmtId="4" fontId="8" fillId="2" borderId="7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25" fillId="2" borderId="0" xfId="0" applyFont="1" applyFill="1" applyProtection="1"/>
    <xf numFmtId="0" fontId="25" fillId="2" borderId="0" xfId="0" applyFont="1" applyFill="1" applyBorder="1" applyProtection="1"/>
    <xf numFmtId="0" fontId="15" fillId="2" borderId="0" xfId="0" applyFont="1" applyFill="1" applyBorder="1" applyAlignment="1" applyProtection="1">
      <alignment vertical="center"/>
    </xf>
    <xf numFmtId="0" fontId="25" fillId="2" borderId="6" xfId="0" applyFont="1" applyFill="1" applyBorder="1" applyProtection="1"/>
    <xf numFmtId="0" fontId="25" fillId="2" borderId="7" xfId="0" applyFont="1" applyFill="1" applyBorder="1" applyProtection="1"/>
    <xf numFmtId="0" fontId="25" fillId="2" borderId="8" xfId="0" applyFont="1" applyFill="1" applyBorder="1" applyProtection="1"/>
    <xf numFmtId="0" fontId="25" fillId="2" borderId="9" xfId="0" applyFont="1" applyFill="1" applyBorder="1" applyProtection="1"/>
    <xf numFmtId="0" fontId="14" fillId="2" borderId="0" xfId="0" applyFont="1" applyFill="1" applyBorder="1" applyProtection="1"/>
    <xf numFmtId="0" fontId="25" fillId="2" borderId="10" xfId="0" applyFont="1" applyFill="1" applyBorder="1" applyProtection="1"/>
    <xf numFmtId="0" fontId="25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Protection="1"/>
    <xf numFmtId="0" fontId="26" fillId="2" borderId="0" xfId="0" applyFont="1" applyFill="1" applyBorder="1" applyAlignment="1" applyProtection="1">
      <alignment horizontal="center" vertical="center"/>
    </xf>
    <xf numFmtId="0" fontId="11" fillId="2" borderId="9" xfId="0" applyFont="1" applyFill="1" applyBorder="1" applyProtection="1"/>
    <xf numFmtId="0" fontId="14" fillId="4" borderId="0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0" xfId="0" applyFont="1" applyFill="1" applyProtection="1"/>
    <xf numFmtId="0" fontId="19" fillId="2" borderId="9" xfId="0" applyFont="1" applyFill="1" applyBorder="1" applyProtection="1"/>
    <xf numFmtId="0" fontId="17" fillId="5" borderId="0" xfId="0" applyFont="1" applyFill="1" applyBorder="1" applyAlignment="1" applyProtection="1">
      <alignment vertical="center"/>
    </xf>
    <xf numFmtId="0" fontId="19" fillId="2" borderId="10" xfId="0" applyFont="1" applyFill="1" applyBorder="1" applyProtection="1"/>
    <xf numFmtId="0" fontId="17" fillId="2" borderId="0" xfId="0" applyFont="1" applyFill="1" applyAlignment="1" applyProtection="1">
      <alignment vertical="center"/>
    </xf>
    <xf numFmtId="0" fontId="14" fillId="2" borderId="1" xfId="0" applyFont="1" applyFill="1" applyBorder="1" applyProtection="1"/>
    <xf numFmtId="0" fontId="33" fillId="2" borderId="1" xfId="0" applyNumberFormat="1" applyFont="1" applyFill="1" applyBorder="1" applyAlignment="1" applyProtection="1">
      <alignment horizontal="left"/>
    </xf>
    <xf numFmtId="0" fontId="25" fillId="2" borderId="1" xfId="0" applyFont="1" applyFill="1" applyBorder="1" applyProtection="1"/>
    <xf numFmtId="0" fontId="25" fillId="2" borderId="1" xfId="0" applyFont="1" applyFill="1" applyBorder="1" applyAlignment="1" applyProtection="1">
      <alignment horizontal="left"/>
    </xf>
    <xf numFmtId="0" fontId="49" fillId="2" borderId="0" xfId="0" applyFont="1" applyFill="1" applyBorder="1" applyAlignment="1" applyProtection="1">
      <alignment horizontal="center"/>
    </xf>
    <xf numFmtId="0" fontId="25" fillId="2" borderId="9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horizontal="center" wrapText="1"/>
    </xf>
    <xf numFmtId="0" fontId="33" fillId="2" borderId="1" xfId="0" applyFont="1" applyFill="1" applyBorder="1" applyAlignment="1" applyProtection="1">
      <alignment horizont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 applyProtection="1">
      <alignment horizontal="center"/>
    </xf>
    <xf numFmtId="0" fontId="25" fillId="2" borderId="10" xfId="0" applyFont="1" applyFill="1" applyBorder="1" applyAlignment="1" applyProtection="1">
      <alignment wrapText="1"/>
    </xf>
    <xf numFmtId="0" fontId="25" fillId="2" borderId="0" xfId="0" applyFont="1" applyFill="1" applyAlignment="1" applyProtection="1">
      <alignment wrapText="1"/>
    </xf>
    <xf numFmtId="0" fontId="22" fillId="6" borderId="1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 wrapText="1"/>
    </xf>
    <xf numFmtId="0" fontId="25" fillId="2" borderId="0" xfId="0" quotePrefix="1" applyFont="1" applyFill="1" applyBorder="1" applyAlignment="1" applyProtection="1">
      <alignment horizontal="left"/>
    </xf>
    <xf numFmtId="0" fontId="25" fillId="2" borderId="11" xfId="0" applyFont="1" applyFill="1" applyBorder="1" applyProtection="1"/>
    <xf numFmtId="0" fontId="25" fillId="2" borderId="12" xfId="0" applyFont="1" applyFill="1" applyBorder="1" applyProtection="1"/>
    <xf numFmtId="0" fontId="25" fillId="2" borderId="13" xfId="0" applyFont="1" applyFill="1" applyBorder="1" applyProtection="1"/>
    <xf numFmtId="0" fontId="22" fillId="2" borderId="0" xfId="0" applyFont="1" applyFill="1" applyBorder="1" applyProtection="1"/>
    <xf numFmtId="0" fontId="22" fillId="2" borderId="0" xfId="0" applyFont="1" applyFill="1" applyProtection="1"/>
    <xf numFmtId="3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Protection="1"/>
    <xf numFmtId="0" fontId="7" fillId="2" borderId="0" xfId="0" applyFont="1" applyFill="1" applyBorder="1" applyProtection="1"/>
    <xf numFmtId="0" fontId="7" fillId="2" borderId="10" xfId="0" applyFont="1" applyFill="1" applyBorder="1" applyProtection="1"/>
    <xf numFmtId="0" fontId="7" fillId="2" borderId="0" xfId="0" applyFont="1" applyFill="1" applyProtection="1"/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wrapText="1"/>
    </xf>
    <xf numFmtId="0" fontId="7" fillId="2" borderId="1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14" fillId="3" borderId="15" xfId="0" applyNumberFormat="1" applyFont="1" applyFill="1" applyBorder="1" applyAlignment="1" applyProtection="1">
      <alignment horizontal="center" wrapText="1"/>
    </xf>
    <xf numFmtId="4" fontId="14" fillId="2" borderId="77" xfId="0" applyNumberFormat="1" applyFont="1" applyFill="1" applyBorder="1" applyProtection="1"/>
    <xf numFmtId="4" fontId="14" fillId="2" borderId="78" xfId="0" applyNumberFormat="1" applyFont="1" applyFill="1" applyBorder="1" applyProtection="1"/>
    <xf numFmtId="4" fontId="14" fillId="2" borderId="79" xfId="0" applyNumberFormat="1" applyFont="1" applyFill="1" applyBorder="1" applyProtection="1"/>
    <xf numFmtId="4" fontId="28" fillId="2" borderId="130" xfId="0" applyNumberFormat="1" applyFont="1" applyFill="1" applyBorder="1" applyAlignment="1" applyProtection="1">
      <alignment horizontal="center"/>
    </xf>
    <xf numFmtId="3" fontId="28" fillId="2" borderId="130" xfId="0" applyNumberFormat="1" applyFont="1" applyFill="1" applyBorder="1" applyAlignment="1" applyProtection="1">
      <alignment horizontal="center"/>
    </xf>
    <xf numFmtId="4" fontId="28" fillId="3" borderId="172" xfId="0" applyNumberFormat="1" applyFont="1" applyFill="1" applyBorder="1" applyProtection="1"/>
    <xf numFmtId="4" fontId="28" fillId="3" borderId="129" xfId="0" applyNumberFormat="1" applyFont="1" applyFill="1" applyBorder="1" applyProtection="1"/>
    <xf numFmtId="4" fontId="28" fillId="3" borderId="130" xfId="0" applyNumberFormat="1" applyFont="1" applyFill="1" applyBorder="1" applyProtection="1"/>
    <xf numFmtId="4" fontId="28" fillId="2" borderId="171" xfId="0" applyNumberFormat="1" applyFont="1" applyFill="1" applyBorder="1" applyProtection="1"/>
    <xf numFmtId="4" fontId="28" fillId="2" borderId="170" xfId="0" applyNumberFormat="1" applyFont="1" applyFill="1" applyBorder="1" applyProtection="1"/>
    <xf numFmtId="165" fontId="7" fillId="2" borderId="77" xfId="0" applyNumberFormat="1" applyFont="1" applyFill="1" applyBorder="1" applyAlignment="1" applyProtection="1">
      <alignment horizontal="center"/>
      <protection locked="0"/>
    </xf>
    <xf numFmtId="3" fontId="7" fillId="2" borderId="77" xfId="0" applyNumberFormat="1" applyFont="1" applyFill="1" applyBorder="1" applyAlignment="1" applyProtection="1">
      <alignment horizontal="center"/>
      <protection locked="0"/>
    </xf>
    <xf numFmtId="3" fontId="7" fillId="2" borderId="81" xfId="0" applyNumberFormat="1" applyFont="1" applyFill="1" applyBorder="1" applyAlignment="1" applyProtection="1">
      <alignment horizontal="center"/>
      <protection locked="0"/>
    </xf>
    <xf numFmtId="0" fontId="7" fillId="2" borderId="83" xfId="0" applyFont="1" applyFill="1" applyBorder="1" applyAlignment="1" applyProtection="1">
      <alignment horizontal="center"/>
      <protection locked="0"/>
    </xf>
    <xf numFmtId="4" fontId="7" fillId="2" borderId="77" xfId="0" applyNumberFormat="1" applyFont="1" applyFill="1" applyBorder="1" applyProtection="1">
      <protection locked="0"/>
    </xf>
    <xf numFmtId="165" fontId="7" fillId="2" borderId="78" xfId="0" applyNumberFormat="1" applyFont="1" applyFill="1" applyBorder="1" applyAlignment="1" applyProtection="1">
      <alignment horizontal="center" wrapText="1"/>
      <protection locked="0"/>
    </xf>
    <xf numFmtId="3" fontId="7" fillId="2" borderId="78" xfId="0" applyNumberFormat="1" applyFont="1" applyFill="1" applyBorder="1" applyAlignment="1" applyProtection="1">
      <alignment horizontal="center" wrapText="1"/>
      <protection locked="0"/>
    </xf>
    <xf numFmtId="3" fontId="7" fillId="2" borderId="84" xfId="0" applyNumberFormat="1" applyFont="1" applyFill="1" applyBorder="1" applyAlignment="1" applyProtection="1">
      <alignment horizontal="center" wrapText="1"/>
      <protection locked="0"/>
    </xf>
    <xf numFmtId="0" fontId="7" fillId="2" borderId="86" xfId="0" applyFont="1" applyFill="1" applyBorder="1" applyAlignment="1" applyProtection="1">
      <alignment horizontal="center" wrapText="1"/>
      <protection locked="0"/>
    </xf>
    <xf numFmtId="4" fontId="7" fillId="2" borderId="78" xfId="0" applyNumberFormat="1" applyFont="1" applyFill="1" applyBorder="1" applyAlignment="1" applyProtection="1">
      <alignment wrapText="1"/>
      <protection locked="0"/>
    </xf>
    <xf numFmtId="165" fontId="7" fillId="2" borderId="78" xfId="0" applyNumberFormat="1" applyFont="1" applyFill="1" applyBorder="1" applyAlignment="1" applyProtection="1">
      <alignment horizontal="center"/>
      <protection locked="0"/>
    </xf>
    <xf numFmtId="3" fontId="7" fillId="2" borderId="78" xfId="0" applyNumberFormat="1" applyFont="1" applyFill="1" applyBorder="1" applyAlignment="1" applyProtection="1">
      <alignment horizontal="center"/>
      <protection locked="0"/>
    </xf>
    <xf numFmtId="3" fontId="7" fillId="2" borderId="84" xfId="0" applyNumberFormat="1" applyFont="1" applyFill="1" applyBorder="1" applyAlignment="1" applyProtection="1">
      <alignment horizontal="center"/>
      <protection locked="0"/>
    </xf>
    <xf numFmtId="0" fontId="7" fillId="2" borderId="86" xfId="0" applyFont="1" applyFill="1" applyBorder="1" applyAlignment="1" applyProtection="1">
      <alignment horizontal="center"/>
      <protection locked="0"/>
    </xf>
    <xf numFmtId="0" fontId="7" fillId="2" borderId="78" xfId="0" applyFont="1" applyFill="1" applyBorder="1" applyAlignment="1" applyProtection="1">
      <alignment horizontal="center"/>
      <protection locked="0"/>
    </xf>
    <xf numFmtId="4" fontId="7" fillId="2" borderId="78" xfId="0" applyNumberFormat="1" applyFont="1" applyFill="1" applyBorder="1" applyProtection="1">
      <protection locked="0"/>
    </xf>
    <xf numFmtId="4" fontId="7" fillId="2" borderId="78" xfId="0" applyNumberFormat="1" applyFont="1" applyFill="1" applyBorder="1" applyAlignment="1" applyProtection="1">
      <alignment horizontal="left"/>
      <protection locked="0"/>
    </xf>
    <xf numFmtId="165" fontId="7" fillId="2" borderId="79" xfId="0" applyNumberFormat="1" applyFont="1" applyFill="1" applyBorder="1" applyAlignment="1" applyProtection="1">
      <alignment horizontal="center"/>
      <protection locked="0"/>
    </xf>
    <xf numFmtId="3" fontId="7" fillId="2" borderId="87" xfId="0" applyNumberFormat="1" applyFont="1" applyFill="1" applyBorder="1" applyAlignment="1" applyProtection="1">
      <alignment horizontal="center"/>
      <protection locked="0"/>
    </xf>
    <xf numFmtId="0" fontId="7" fillId="2" borderId="89" xfId="0" applyFont="1" applyFill="1" applyBorder="1" applyAlignment="1" applyProtection="1">
      <alignment horizontal="center"/>
      <protection locked="0"/>
    </xf>
    <xf numFmtId="0" fontId="7" fillId="2" borderId="79" xfId="0" applyFont="1" applyFill="1" applyBorder="1" applyAlignment="1" applyProtection="1">
      <alignment horizontal="center"/>
      <protection locked="0"/>
    </xf>
    <xf numFmtId="4" fontId="28" fillId="2" borderId="130" xfId="0" applyNumberFormat="1" applyFont="1" applyFill="1" applyBorder="1" applyProtection="1">
      <protection locked="0"/>
    </xf>
    <xf numFmtId="0" fontId="7" fillId="2" borderId="66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4" fontId="7" fillId="3" borderId="76" xfId="0" applyNumberFormat="1" applyFont="1" applyFill="1" applyBorder="1" applyProtection="1"/>
    <xf numFmtId="0" fontId="7" fillId="3" borderId="59" xfId="0" applyFont="1" applyFill="1" applyBorder="1" applyProtection="1"/>
    <xf numFmtId="4" fontId="7" fillId="3" borderId="42" xfId="0" applyNumberFormat="1" applyFont="1" applyFill="1" applyBorder="1" applyAlignment="1" applyProtection="1">
      <alignment wrapText="1"/>
    </xf>
    <xf numFmtId="0" fontId="7" fillId="3" borderId="61" xfId="0" applyFont="1" applyFill="1" applyBorder="1" applyAlignment="1" applyProtection="1">
      <alignment wrapText="1"/>
    </xf>
    <xf numFmtId="4" fontId="7" fillId="3" borderId="42" xfId="0" applyNumberFormat="1" applyFont="1" applyFill="1" applyBorder="1" applyProtection="1"/>
    <xf numFmtId="0" fontId="7" fillId="3" borderId="61" xfId="0" applyFont="1" applyFill="1" applyBorder="1" applyProtection="1"/>
    <xf numFmtId="4" fontId="7" fillId="3" borderId="42" xfId="0" applyNumberFormat="1" applyFont="1" applyFill="1" applyBorder="1" applyAlignment="1" applyProtection="1">
      <alignment horizontal="left"/>
    </xf>
    <xf numFmtId="0" fontId="7" fillId="3" borderId="61" xfId="0" applyFont="1" applyFill="1" applyBorder="1" applyAlignment="1" applyProtection="1">
      <alignment horizontal="left"/>
    </xf>
    <xf numFmtId="4" fontId="7" fillId="3" borderId="80" xfId="0" applyNumberFormat="1" applyFont="1" applyFill="1" applyBorder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vertical="center"/>
    </xf>
    <xf numFmtId="0" fontId="25" fillId="2" borderId="0" xfId="0" quotePrefix="1" applyFont="1" applyFill="1" applyBorder="1" applyAlignment="1" applyProtection="1">
      <alignment vertical="center"/>
    </xf>
    <xf numFmtId="4" fontId="14" fillId="3" borderId="76" xfId="0" applyNumberFormat="1" applyFont="1" applyFill="1" applyBorder="1" applyAlignment="1" applyProtection="1">
      <alignment horizontal="center" vertical="center"/>
    </xf>
    <xf numFmtId="1" fontId="14" fillId="3" borderId="80" xfId="0" applyNumberFormat="1" applyFont="1" applyFill="1" applyBorder="1" applyAlignment="1" applyProtection="1">
      <alignment horizontal="center"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67" xfId="0" applyFont="1" applyFill="1" applyBorder="1" applyAlignment="1" applyProtection="1">
      <alignment vertical="center"/>
    </xf>
    <xf numFmtId="0" fontId="7" fillId="2" borderId="68" xfId="0" applyFont="1" applyFill="1" applyBorder="1" applyAlignment="1" applyProtection="1">
      <alignment vertical="center"/>
    </xf>
    <xf numFmtId="0" fontId="14" fillId="2" borderId="74" xfId="0" applyFont="1" applyFill="1" applyBorder="1" applyAlignment="1" applyProtection="1">
      <alignment vertical="center"/>
    </xf>
    <xf numFmtId="4" fontId="14" fillId="2" borderId="75" xfId="0" applyNumberFormat="1" applyFont="1" applyFill="1" applyBorder="1" applyAlignment="1" applyProtection="1">
      <alignment vertical="center"/>
    </xf>
    <xf numFmtId="4" fontId="7" fillId="2" borderId="99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/>
    <xf numFmtId="4" fontId="52" fillId="2" borderId="101" xfId="0" applyNumberFormat="1" applyFont="1" applyFill="1" applyBorder="1" applyAlignment="1">
      <alignment vertical="center"/>
    </xf>
    <xf numFmtId="4" fontId="52" fillId="2" borderId="42" xfId="0" applyNumberFormat="1" applyFont="1" applyFill="1" applyBorder="1" applyAlignment="1">
      <alignment vertical="center"/>
    </xf>
    <xf numFmtId="4" fontId="35" fillId="2" borderId="15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4" fillId="3" borderId="33" xfId="0" quotePrefix="1" applyFont="1" applyFill="1" applyBorder="1" applyAlignment="1">
      <alignment horizontal="left" vertical="center"/>
    </xf>
    <xf numFmtId="0" fontId="51" fillId="2" borderId="0" xfId="0" applyFont="1" applyFill="1"/>
    <xf numFmtId="0" fontId="14" fillId="3" borderId="7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4" fontId="26" fillId="2" borderId="0" xfId="0" applyNumberFormat="1" applyFont="1" applyFill="1" applyBorder="1" applyAlignment="1">
      <alignment vertical="center"/>
    </xf>
    <xf numFmtId="0" fontId="25" fillId="2" borderId="0" xfId="0" quotePrefix="1" applyFont="1" applyFill="1" applyBorder="1" applyAlignment="1">
      <alignment horizontal="left" vertical="center"/>
    </xf>
    <xf numFmtId="0" fontId="25" fillId="2" borderId="0" xfId="0" quotePrefix="1" applyFont="1" applyFill="1" applyAlignment="1">
      <alignment horizontal="left" vertical="center"/>
    </xf>
    <xf numFmtId="4" fontId="25" fillId="2" borderId="0" xfId="0" applyNumberFormat="1" applyFont="1" applyFill="1" applyBorder="1" applyAlignment="1">
      <alignment horizontal="left" vertical="center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7" fillId="2" borderId="79" xfId="0" applyNumberFormat="1" applyFont="1" applyFill="1" applyBorder="1" applyAlignment="1" applyProtection="1">
      <alignment horizontal="right"/>
      <protection locked="0"/>
    </xf>
    <xf numFmtId="0" fontId="14" fillId="2" borderId="63" xfId="0" applyFont="1" applyFill="1" applyBorder="1" applyAlignment="1" applyProtection="1">
      <alignment vertical="center"/>
    </xf>
    <xf numFmtId="0" fontId="14" fillId="2" borderId="65" xfId="0" applyFont="1" applyFill="1" applyBorder="1" applyAlignment="1" applyProtection="1">
      <alignment vertical="center"/>
    </xf>
    <xf numFmtId="4" fontId="14" fillId="2" borderId="77" xfId="0" applyNumberFormat="1" applyFont="1" applyFill="1" applyBorder="1" applyAlignment="1" applyProtection="1">
      <alignment horizontal="left" vertical="center"/>
      <protection locked="0"/>
    </xf>
    <xf numFmtId="0" fontId="14" fillId="2" borderId="77" xfId="0" applyFont="1" applyFill="1" applyBorder="1" applyAlignment="1" applyProtection="1">
      <alignment horizontal="left" vertical="center"/>
      <protection locked="0"/>
    </xf>
    <xf numFmtId="0" fontId="14" fillId="2" borderId="69" xfId="0" applyFont="1" applyFill="1" applyBorder="1" applyAlignment="1" applyProtection="1">
      <alignment vertical="center"/>
    </xf>
    <xf numFmtId="0" fontId="14" fillId="2" borderId="71" xfId="0" applyFont="1" applyFill="1" applyBorder="1" applyAlignment="1" applyProtection="1">
      <alignment vertical="center"/>
    </xf>
    <xf numFmtId="4" fontId="14" fillId="2" borderId="79" xfId="0" applyNumberFormat="1" applyFont="1" applyFill="1" applyBorder="1" applyAlignment="1" applyProtection="1">
      <alignment horizontal="left" vertical="center"/>
      <protection locked="0"/>
    </xf>
    <xf numFmtId="0" fontId="14" fillId="2" borderId="79" xfId="0" applyFont="1" applyFill="1" applyBorder="1" applyAlignment="1" applyProtection="1">
      <alignment horizontal="left" vertical="center"/>
      <protection locked="0"/>
    </xf>
    <xf numFmtId="4" fontId="14" fillId="2" borderId="77" xfId="0" applyNumberFormat="1" applyFont="1" applyFill="1" applyBorder="1" applyAlignment="1" applyProtection="1">
      <alignment vertical="center"/>
    </xf>
    <xf numFmtId="4" fontId="14" fillId="2" borderId="77" xfId="0" applyNumberFormat="1" applyFont="1" applyFill="1" applyBorder="1" applyAlignment="1" applyProtection="1">
      <alignment horizontal="left" vertical="center"/>
    </xf>
    <xf numFmtId="0" fontId="14" fillId="2" borderId="77" xfId="0" applyFont="1" applyFill="1" applyBorder="1" applyAlignment="1" applyProtection="1">
      <alignment horizontal="left" vertical="center"/>
    </xf>
    <xf numFmtId="0" fontId="14" fillId="2" borderId="66" xfId="0" applyFont="1" applyFill="1" applyBorder="1" applyAlignment="1" applyProtection="1">
      <alignment vertical="center"/>
    </xf>
    <xf numFmtId="0" fontId="14" fillId="2" borderId="68" xfId="0" applyFont="1" applyFill="1" applyBorder="1" applyAlignment="1" applyProtection="1">
      <alignment vertical="center"/>
    </xf>
    <xf numFmtId="4" fontId="14" fillId="2" borderId="78" xfId="0" applyNumberFormat="1" applyFont="1" applyFill="1" applyBorder="1" applyAlignment="1" applyProtection="1">
      <alignment vertical="center"/>
    </xf>
    <xf numFmtId="4" fontId="14" fillId="2" borderId="78" xfId="0" applyNumberFormat="1" applyFont="1" applyFill="1" applyBorder="1" applyAlignment="1" applyProtection="1">
      <alignment horizontal="left" vertical="center"/>
    </xf>
    <xf numFmtId="0" fontId="14" fillId="2" borderId="78" xfId="0" applyFont="1" applyFill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14" fillId="2" borderId="57" xfId="0" applyFont="1" applyFill="1" applyBorder="1" applyAlignment="1" applyProtection="1">
      <alignment vertical="center"/>
    </xf>
    <xf numFmtId="0" fontId="14" fillId="2" borderId="59" xfId="0" applyFont="1" applyFill="1" applyBorder="1" applyAlignment="1" applyProtection="1">
      <alignment vertical="center"/>
    </xf>
    <xf numFmtId="4" fontId="14" fillId="2" borderId="76" xfId="0" applyNumberFormat="1" applyFont="1" applyFill="1" applyBorder="1" applyAlignment="1" applyProtection="1">
      <alignment vertical="center"/>
      <protection locked="0"/>
    </xf>
    <xf numFmtId="4" fontId="14" fillId="2" borderId="76" xfId="0" applyNumberFormat="1" applyFont="1" applyFill="1" applyBorder="1" applyAlignment="1" applyProtection="1">
      <alignment horizontal="left" vertical="center"/>
      <protection locked="0"/>
    </xf>
    <xf numFmtId="0" fontId="14" fillId="2" borderId="76" xfId="0" applyFont="1" applyFill="1" applyBorder="1" applyAlignment="1" applyProtection="1">
      <alignment horizontal="left" vertical="center"/>
      <protection locked="0"/>
    </xf>
    <xf numFmtId="4" fontId="10" fillId="2" borderId="77" xfId="0" applyNumberFormat="1" applyFont="1" applyFill="1" applyBorder="1" applyAlignment="1" applyProtection="1">
      <alignment horizontal="right" vertical="center"/>
      <protection locked="0"/>
    </xf>
    <xf numFmtId="1" fontId="10" fillId="2" borderId="101" xfId="0" applyNumberFormat="1" applyFont="1" applyFill="1" applyBorder="1" applyAlignment="1" applyProtection="1">
      <alignment horizontal="center" vertical="center"/>
      <protection locked="0"/>
    </xf>
    <xf numFmtId="1" fontId="10" fillId="2" borderId="78" xfId="0" applyNumberFormat="1" applyFont="1" applyFill="1" applyBorder="1" applyAlignment="1" applyProtection="1">
      <alignment horizontal="center" vertical="center"/>
      <protection locked="0"/>
    </xf>
    <xf numFmtId="4" fontId="10" fillId="2" borderId="75" xfId="0" applyNumberFormat="1" applyFont="1" applyFill="1" applyBorder="1" applyAlignment="1" applyProtection="1">
      <alignment horizontal="left" vertical="center"/>
      <protection locked="0"/>
    </xf>
    <xf numFmtId="4" fontId="9" fillId="2" borderId="104" xfId="131" applyNumberFormat="1" applyFont="1" applyFill="1" applyBorder="1" applyAlignment="1" applyProtection="1">
      <alignment vertical="center"/>
      <protection locked="0"/>
    </xf>
    <xf numFmtId="4" fontId="9" fillId="2" borderId="68" xfId="131" applyNumberFormat="1" applyFont="1" applyFill="1" applyBorder="1" applyAlignment="1" applyProtection="1">
      <alignment vertical="center"/>
      <protection locked="0"/>
    </xf>
    <xf numFmtId="4" fontId="9" fillId="2" borderId="98" xfId="131" applyNumberFormat="1" applyFont="1" applyFill="1" applyBorder="1" applyAlignment="1" applyProtection="1">
      <alignment vertical="center"/>
      <protection locked="0"/>
    </xf>
    <xf numFmtId="4" fontId="9" fillId="2" borderId="71" xfId="131" applyNumberFormat="1" applyFont="1" applyFill="1" applyBorder="1" applyAlignment="1" applyProtection="1">
      <alignment vertical="center"/>
      <protection locked="0"/>
    </xf>
    <xf numFmtId="0" fontId="9" fillId="2" borderId="104" xfId="0" applyNumberFormat="1" applyFont="1" applyFill="1" applyBorder="1" applyAlignment="1" applyProtection="1">
      <alignment horizontal="left" vertical="center"/>
      <protection locked="0"/>
    </xf>
    <xf numFmtId="0" fontId="9" fillId="2" borderId="68" xfId="0" applyNumberFormat="1" applyFont="1" applyFill="1" applyBorder="1" applyAlignment="1" applyProtection="1">
      <alignment horizontal="left" vertical="center"/>
      <protection locked="0"/>
    </xf>
    <xf numFmtId="0" fontId="9" fillId="2" borderId="98" xfId="0" applyNumberFormat="1" applyFont="1" applyFill="1" applyBorder="1" applyAlignment="1" applyProtection="1">
      <alignment horizontal="left" vertical="center"/>
      <protection locked="0"/>
    </xf>
    <xf numFmtId="0" fontId="9" fillId="2" borderId="71" xfId="0" applyNumberFormat="1" applyFont="1" applyFill="1" applyBorder="1" applyAlignment="1" applyProtection="1">
      <alignment horizontal="left" vertical="center"/>
      <protection locked="0"/>
    </xf>
    <xf numFmtId="0" fontId="5" fillId="2" borderId="101" xfId="0" applyNumberFormat="1" applyFont="1" applyFill="1" applyBorder="1" applyAlignment="1" applyProtection="1">
      <alignment horizontal="center" vertical="center"/>
      <protection locked="0"/>
    </xf>
    <xf numFmtId="0" fontId="5" fillId="2" borderId="78" xfId="0" applyNumberFormat="1" applyFont="1" applyFill="1" applyBorder="1" applyAlignment="1" applyProtection="1">
      <alignment horizontal="center" vertical="center"/>
      <protection locked="0"/>
    </xf>
    <xf numFmtId="0" fontId="5" fillId="2" borderId="95" xfId="0" applyNumberFormat="1" applyFont="1" applyFill="1" applyBorder="1" applyAlignment="1" applyProtection="1">
      <alignment horizontal="center" vertical="center"/>
      <protection locked="0"/>
    </xf>
    <xf numFmtId="0" fontId="5" fillId="2" borderId="79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4" fontId="14" fillId="2" borderId="65" xfId="0" applyNumberFormat="1" applyFont="1" applyFill="1" applyBorder="1" applyAlignment="1" applyProtection="1">
      <alignment horizontal="center" vertical="center"/>
      <protection locked="0"/>
    </xf>
    <xf numFmtId="4" fontId="10" fillId="2" borderId="65" xfId="0" applyNumberFormat="1" applyFont="1" applyFill="1" applyBorder="1" applyAlignment="1" applyProtection="1">
      <alignment horizontal="center" vertical="center"/>
      <protection locked="0"/>
    </xf>
    <xf numFmtId="4" fontId="14" fillId="2" borderId="104" xfId="0" applyNumberFormat="1" applyFont="1" applyFill="1" applyBorder="1" applyAlignment="1" applyProtection="1">
      <alignment horizontal="center" vertical="center"/>
      <protection locked="0"/>
    </xf>
    <xf numFmtId="4" fontId="10" fillId="2" borderId="104" xfId="0" applyNumberFormat="1" applyFont="1" applyFill="1" applyBorder="1" applyAlignment="1" applyProtection="1">
      <alignment horizontal="center" vertical="center"/>
      <protection locked="0"/>
    </xf>
    <xf numFmtId="4" fontId="14" fillId="2" borderId="68" xfId="0" applyNumberFormat="1" applyFont="1" applyFill="1" applyBorder="1" applyAlignment="1" applyProtection="1">
      <alignment horizontal="center" vertical="center"/>
      <protection locked="0"/>
    </xf>
    <xf numFmtId="4" fontId="10" fillId="2" borderId="68" xfId="0" applyNumberFormat="1" applyFont="1" applyFill="1" applyBorder="1" applyAlignment="1" applyProtection="1">
      <alignment horizontal="center" vertical="center"/>
      <protection locked="0"/>
    </xf>
    <xf numFmtId="4" fontId="14" fillId="2" borderId="98" xfId="0" applyNumberFormat="1" applyFont="1" applyFill="1" applyBorder="1" applyAlignment="1" applyProtection="1">
      <alignment horizontal="center" vertical="center"/>
      <protection locked="0"/>
    </xf>
    <xf numFmtId="4" fontId="10" fillId="2" borderId="98" xfId="0" applyNumberFormat="1" applyFont="1" applyFill="1" applyBorder="1" applyAlignment="1" applyProtection="1">
      <alignment horizontal="center" vertical="center"/>
      <protection locked="0"/>
    </xf>
    <xf numFmtId="4" fontId="14" fillId="2" borderId="71" xfId="0" applyNumberFormat="1" applyFont="1" applyFill="1" applyBorder="1" applyAlignment="1" applyProtection="1">
      <alignment horizontal="center" vertical="center"/>
      <protection locked="0"/>
    </xf>
    <xf numFmtId="4" fontId="10" fillId="2" borderId="71" xfId="0" applyNumberFormat="1" applyFont="1" applyFill="1" applyBorder="1" applyAlignment="1" applyProtection="1">
      <alignment horizontal="center" vertical="center"/>
      <protection locked="0"/>
    </xf>
    <xf numFmtId="4" fontId="14" fillId="2" borderId="75" xfId="0" applyNumberFormat="1" applyFont="1" applyFill="1" applyBorder="1" applyAlignment="1">
      <alignment horizontal="center" vertical="center"/>
    </xf>
    <xf numFmtId="4" fontId="14" fillId="2" borderId="72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left" vertical="center"/>
    </xf>
    <xf numFmtId="4" fontId="10" fillId="2" borderId="83" xfId="0" applyNumberFormat="1" applyFont="1" applyFill="1" applyBorder="1" applyAlignment="1" applyProtection="1">
      <alignment horizontal="right" vertical="center"/>
      <protection locked="0"/>
    </xf>
    <xf numFmtId="4" fontId="5" fillId="2" borderId="102" xfId="0" applyNumberFormat="1" applyFont="1" applyFill="1" applyBorder="1" applyAlignment="1" applyProtection="1">
      <alignment horizontal="right" vertical="center"/>
      <protection locked="0"/>
    </xf>
    <xf numFmtId="4" fontId="5" fillId="2" borderId="77" xfId="0" applyNumberFormat="1" applyFont="1" applyFill="1" applyBorder="1" applyAlignment="1" applyProtection="1">
      <alignment horizontal="right" vertical="center"/>
      <protection locked="0"/>
    </xf>
    <xf numFmtId="4" fontId="5" fillId="2" borderId="84" xfId="0" applyNumberFormat="1" applyFont="1" applyFill="1" applyBorder="1" applyAlignment="1" applyProtection="1">
      <alignment horizontal="right" vertical="center"/>
      <protection locked="0"/>
    </xf>
    <xf numFmtId="4" fontId="5" fillId="2" borderId="78" xfId="0" applyNumberFormat="1" applyFont="1" applyFill="1" applyBorder="1" applyAlignment="1" applyProtection="1">
      <alignment horizontal="right" vertical="center"/>
      <protection locked="0"/>
    </xf>
    <xf numFmtId="4" fontId="5" fillId="2" borderId="87" xfId="0" applyNumberFormat="1" applyFont="1" applyFill="1" applyBorder="1" applyAlignment="1" applyProtection="1">
      <alignment horizontal="right" vertical="center"/>
      <protection locked="0"/>
    </xf>
    <xf numFmtId="4" fontId="5" fillId="2" borderId="79" xfId="0" applyNumberFormat="1" applyFont="1" applyFill="1" applyBorder="1" applyAlignment="1" applyProtection="1">
      <alignment horizontal="right" vertical="center"/>
      <protection locked="0"/>
    </xf>
    <xf numFmtId="0" fontId="14" fillId="3" borderId="76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0" fontId="10" fillId="2" borderId="77" xfId="0" applyFont="1" applyFill="1" applyBorder="1" applyAlignment="1">
      <alignment vertical="center"/>
    </xf>
    <xf numFmtId="4" fontId="10" fillId="2" borderId="77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10" fillId="2" borderId="78" xfId="0" applyFont="1" applyFill="1" applyBorder="1" applyAlignment="1">
      <alignment vertical="center"/>
    </xf>
    <xf numFmtId="0" fontId="10" fillId="2" borderId="78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vertical="center"/>
    </xf>
    <xf numFmtId="0" fontId="10" fillId="3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5" fillId="2" borderId="78" xfId="0" applyFont="1" applyFill="1" applyBorder="1" applyAlignment="1">
      <alignment vertical="center"/>
    </xf>
    <xf numFmtId="0" fontId="5" fillId="3" borderId="78" xfId="0" applyFont="1" applyFill="1" applyBorder="1" applyAlignment="1">
      <alignment vertical="center"/>
    </xf>
    <xf numFmtId="0" fontId="5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3" borderId="79" xfId="0" applyFont="1" applyFill="1" applyBorder="1" applyAlignment="1">
      <alignment vertical="center"/>
    </xf>
    <xf numFmtId="0" fontId="10" fillId="2" borderId="7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vertical="center"/>
    </xf>
    <xf numFmtId="0" fontId="54" fillId="7" borderId="0" xfId="0" applyFont="1" applyFill="1" applyBorder="1" applyAlignment="1">
      <alignment vertical="center"/>
    </xf>
    <xf numFmtId="0" fontId="4" fillId="2" borderId="6" xfId="0" applyFont="1" applyFill="1" applyBorder="1"/>
    <xf numFmtId="0" fontId="39" fillId="2" borderId="100" xfId="0" applyFont="1" applyFill="1" applyBorder="1" applyAlignment="1" applyProtection="1">
      <alignment horizontal="left" vertical="center"/>
      <protection locked="0"/>
    </xf>
    <xf numFmtId="4" fontId="39" fillId="2" borderId="100" xfId="0" applyNumberFormat="1" applyFont="1" applyFill="1" applyBorder="1" applyAlignment="1" applyProtection="1">
      <alignment horizontal="left" vertical="center"/>
      <protection locked="0"/>
    </xf>
    <xf numFmtId="4" fontId="17" fillId="2" borderId="100" xfId="0" applyNumberFormat="1" applyFont="1" applyFill="1" applyBorder="1" applyAlignment="1" applyProtection="1">
      <alignment horizontal="left" vertical="center"/>
      <protection locked="0"/>
    </xf>
    <xf numFmtId="0" fontId="39" fillId="2" borderId="67" xfId="0" applyFont="1" applyFill="1" applyBorder="1" applyAlignment="1" applyProtection="1">
      <alignment horizontal="left" vertical="center"/>
      <protection locked="0"/>
    </xf>
    <xf numFmtId="4" fontId="39" fillId="2" borderId="67" xfId="0" applyNumberFormat="1" applyFont="1" applyFill="1" applyBorder="1" applyAlignment="1" applyProtection="1">
      <alignment horizontal="left" vertical="center"/>
      <protection locked="0"/>
    </xf>
    <xf numFmtId="4" fontId="17" fillId="2" borderId="67" xfId="0" applyNumberFormat="1" applyFont="1" applyFill="1" applyBorder="1" applyAlignment="1" applyProtection="1">
      <alignment horizontal="left" vertical="center"/>
      <protection locked="0"/>
    </xf>
    <xf numFmtId="0" fontId="25" fillId="2" borderId="12" xfId="0" applyFont="1" applyFill="1" applyBorder="1" applyAlignment="1">
      <alignment horizontal="left"/>
    </xf>
    <xf numFmtId="4" fontId="10" fillId="2" borderId="65" xfId="0" applyNumberFormat="1" applyFont="1" applyFill="1" applyBorder="1" applyAlignment="1" applyProtection="1">
      <alignment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4" fontId="10" fillId="2" borderId="68" xfId="0" applyNumberFormat="1" applyFont="1" applyFill="1" applyBorder="1" applyAlignment="1" applyProtection="1">
      <alignment vertical="center"/>
      <protection locked="0"/>
    </xf>
    <xf numFmtId="4" fontId="10" fillId="2" borderId="98" xfId="0" applyNumberFormat="1" applyFont="1" applyFill="1" applyBorder="1" applyAlignment="1" applyProtection="1">
      <alignment vertical="center"/>
      <protection locked="0"/>
    </xf>
    <xf numFmtId="4" fontId="10" fillId="2" borderId="71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5" fillId="3" borderId="76" xfId="132" applyFont="1" applyFill="1" applyBorder="1" applyAlignment="1">
      <alignment horizontal="center" vertical="center" wrapText="1"/>
    </xf>
    <xf numFmtId="0" fontId="35" fillId="3" borderId="15" xfId="132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5" fillId="3" borderId="80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39" fillId="2" borderId="0" xfId="0" applyFont="1" applyFill="1" applyBorder="1" applyAlignment="1" applyProtection="1">
      <alignment horizontal="left" vertical="center"/>
      <protection locked="0"/>
    </xf>
    <xf numFmtId="4" fontId="39" fillId="2" borderId="0" xfId="0" applyNumberFormat="1" applyFont="1" applyFill="1" applyBorder="1" applyAlignment="1" applyProtection="1">
      <alignment horizontal="left" vertical="center"/>
      <protection locked="0"/>
    </xf>
    <xf numFmtId="4" fontId="17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0" fontId="39" fillId="2" borderId="0" xfId="0" quotePrefix="1" applyFont="1" applyFill="1" applyBorder="1" applyAlignment="1" applyProtection="1">
      <alignment horizontal="left" vertical="center"/>
      <protection locked="0"/>
    </xf>
    <xf numFmtId="3" fontId="36" fillId="2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>
      <alignment horizontal="left"/>
    </xf>
    <xf numFmtId="0" fontId="39" fillId="0" borderId="0" xfId="0" quotePrefix="1" applyFont="1" applyFill="1" applyBorder="1" applyAlignment="1" applyProtection="1">
      <alignment horizontal="left" vertical="center"/>
      <protection locked="0"/>
    </xf>
    <xf numFmtId="0" fontId="39" fillId="0" borderId="0" xfId="0" applyFont="1" applyFill="1" applyBorder="1" applyAlignment="1" applyProtection="1">
      <alignment horizontal="left" vertical="center"/>
      <protection locked="0"/>
    </xf>
    <xf numFmtId="4" fontId="39" fillId="0" borderId="0" xfId="0" applyNumberFormat="1" applyFont="1" applyFill="1" applyBorder="1" applyAlignment="1" applyProtection="1">
      <alignment horizontal="left" vertical="center"/>
      <protection locked="0"/>
    </xf>
    <xf numFmtId="4" fontId="17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10" fillId="2" borderId="0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protection locked="0"/>
    </xf>
    <xf numFmtId="0" fontId="22" fillId="0" borderId="0" xfId="0" applyFont="1"/>
    <xf numFmtId="0" fontId="5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77" xfId="0" applyFont="1" applyFill="1" applyBorder="1" applyAlignment="1" applyProtection="1">
      <alignment horizontal="center"/>
      <protection locked="0"/>
    </xf>
    <xf numFmtId="0" fontId="3" fillId="2" borderId="78" xfId="0" applyFont="1" applyFill="1" applyBorder="1" applyAlignment="1" applyProtection="1">
      <alignment horizontal="center" wrapText="1"/>
      <protection locked="0"/>
    </xf>
    <xf numFmtId="0" fontId="3" fillId="2" borderId="78" xfId="0" applyFont="1" applyFill="1" applyBorder="1" applyAlignment="1" applyProtection="1">
      <alignment horizontal="center"/>
      <protection locked="0"/>
    </xf>
    <xf numFmtId="0" fontId="3" fillId="2" borderId="68" xfId="0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0" fontId="4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vertical="center"/>
      <protection locked="0"/>
    </xf>
    <xf numFmtId="4" fontId="3" fillId="2" borderId="77" xfId="0" applyNumberFormat="1" applyFont="1" applyFill="1" applyBorder="1" applyAlignment="1" applyProtection="1">
      <alignment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100" xfId="0" applyFont="1" applyFill="1" applyBorder="1" applyAlignment="1" applyProtection="1">
      <alignment horizontal="left" vertical="center"/>
      <protection locked="0"/>
    </xf>
    <xf numFmtId="0" fontId="3" fillId="2" borderId="101" xfId="0" applyFont="1" applyFill="1" applyBorder="1" applyAlignment="1" applyProtection="1">
      <alignment horizontal="left" vertical="center"/>
      <protection locked="0"/>
    </xf>
    <xf numFmtId="0" fontId="3" fillId="2" borderId="101" xfId="0" applyFont="1" applyFill="1" applyBorder="1" applyAlignment="1" applyProtection="1">
      <alignment horizontal="center" vertical="center"/>
      <protection locked="0"/>
    </xf>
    <xf numFmtId="14" fontId="10" fillId="2" borderId="101" xfId="0" applyNumberFormat="1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vertical="center"/>
      <protection locked="0"/>
    </xf>
    <xf numFmtId="4" fontId="3" fillId="2" borderId="101" xfId="0" applyNumberFormat="1" applyFont="1" applyFill="1" applyBorder="1" applyAlignment="1" applyProtection="1">
      <alignment vertical="center"/>
      <protection locked="0"/>
    </xf>
    <xf numFmtId="4" fontId="3" fillId="2" borderId="78" xfId="0" applyNumberFormat="1" applyFont="1" applyFill="1" applyBorder="1" applyAlignment="1" applyProtection="1">
      <alignment vertical="center"/>
      <protection locked="0"/>
    </xf>
    <xf numFmtId="4" fontId="3" fillId="2" borderId="95" xfId="0" applyNumberFormat="1" applyFont="1" applyFill="1" applyBorder="1" applyAlignment="1" applyProtection="1">
      <alignment vertical="center"/>
      <protection locked="0"/>
    </xf>
    <xf numFmtId="0" fontId="3" fillId="2" borderId="69" xfId="0" applyFont="1" applyFill="1" applyBorder="1" applyAlignment="1" applyProtection="1">
      <alignment vertical="center"/>
      <protection locked="0"/>
    </xf>
    <xf numFmtId="4" fontId="3" fillId="2" borderId="79" xfId="0" applyNumberFormat="1" applyFont="1" applyFill="1" applyBorder="1" applyAlignment="1" applyProtection="1">
      <alignment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Fill="1" applyBorder="1" applyAlignment="1" applyProtection="1">
      <alignment horizontal="left" vertical="center"/>
      <protection locked="0"/>
    </xf>
    <xf numFmtId="4" fontId="32" fillId="0" borderId="79" xfId="0" applyNumberFormat="1" applyFont="1" applyFill="1" applyBorder="1" applyAlignment="1" applyProtection="1">
      <alignment horizontal="right" vertical="center"/>
      <protection locked="0"/>
    </xf>
    <xf numFmtId="4" fontId="14" fillId="0" borderId="114" xfId="0" applyNumberFormat="1" applyFont="1" applyFill="1" applyBorder="1" applyAlignment="1">
      <alignment horizontal="right" vertical="center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9" fontId="1" fillId="2" borderId="104" xfId="0" applyNumberFormat="1" applyFont="1" applyFill="1" applyBorder="1" applyAlignment="1" applyProtection="1">
      <alignment horizontal="center" vertical="center"/>
      <protection locked="0"/>
    </xf>
    <xf numFmtId="49" fontId="1" fillId="2" borderId="68" xfId="0" applyNumberFormat="1" applyFont="1" applyFill="1" applyBorder="1" applyAlignment="1" applyProtection="1">
      <alignment horizontal="center" vertical="center"/>
      <protection locked="0"/>
    </xf>
    <xf numFmtId="49" fontId="1" fillId="2" borderId="98" xfId="0" applyNumberFormat="1" applyFont="1" applyFill="1" applyBorder="1" applyAlignment="1" applyProtection="1">
      <alignment horizontal="center" vertical="center"/>
      <protection locked="0"/>
    </xf>
    <xf numFmtId="49" fontId="1" fillId="2" borderId="7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/>
    </xf>
    <xf numFmtId="0" fontId="21" fillId="0" borderId="10" xfId="0" applyFont="1" applyFill="1" applyBorder="1" applyAlignment="1">
      <alignment horizontal="left"/>
    </xf>
    <xf numFmtId="4" fontId="10" fillId="0" borderId="79" xfId="0" applyNumberFormat="1" applyFont="1" applyFill="1" applyBorder="1" applyAlignment="1" applyProtection="1">
      <alignment vertical="center"/>
      <protection locked="0"/>
    </xf>
    <xf numFmtId="0" fontId="3" fillId="0" borderId="66" xfId="0" applyFont="1" applyFill="1" applyBorder="1" applyAlignment="1" applyProtection="1">
      <alignment vertical="center"/>
      <protection locked="0"/>
    </xf>
    <xf numFmtId="0" fontId="3" fillId="0" borderId="68" xfId="0" applyFont="1" applyFill="1" applyBorder="1" applyAlignment="1" applyProtection="1">
      <alignment vertical="center"/>
      <protection locked="0"/>
    </xf>
    <xf numFmtId="4" fontId="3" fillId="0" borderId="101" xfId="0" applyNumberFormat="1" applyFont="1" applyFill="1" applyBorder="1" applyAlignment="1" applyProtection="1">
      <alignment vertical="center"/>
      <protection locked="0"/>
    </xf>
    <xf numFmtId="4" fontId="10" fillId="0" borderId="102" xfId="0" applyNumberFormat="1" applyFont="1" applyFill="1" applyBorder="1" applyAlignment="1" applyProtection="1">
      <alignment vertical="center"/>
      <protection locked="0"/>
    </xf>
    <xf numFmtId="4" fontId="10" fillId="0" borderId="101" xfId="0" applyNumberFormat="1" applyFont="1" applyFill="1" applyBorder="1" applyAlignment="1" applyProtection="1">
      <alignment vertical="center"/>
      <protection locked="0"/>
    </xf>
    <xf numFmtId="4" fontId="10" fillId="0" borderId="104" xfId="0" applyNumberFormat="1" applyFont="1" applyFill="1" applyBorder="1" applyAlignment="1" applyProtection="1">
      <alignment vertical="center"/>
      <protection locked="0"/>
    </xf>
    <xf numFmtId="49" fontId="1" fillId="0" borderId="104" xfId="0" applyNumberFormat="1" applyFont="1" applyFill="1" applyBorder="1" applyAlignment="1" applyProtection="1">
      <alignment horizontal="center" vertical="center"/>
      <protection locked="0"/>
    </xf>
    <xf numFmtId="4" fontId="10" fillId="0" borderId="77" xfId="0" applyNumberFormat="1" applyFont="1" applyFill="1" applyBorder="1" applyAlignment="1" applyProtection="1">
      <alignment vertical="center"/>
      <protection locked="0"/>
    </xf>
    <xf numFmtId="4" fontId="10" fillId="0" borderId="78" xfId="0" applyNumberFormat="1" applyFont="1" applyFill="1" applyBorder="1" applyAlignment="1" applyProtection="1">
      <alignment vertical="center"/>
      <protection locked="0"/>
    </xf>
    <xf numFmtId="0" fontId="1" fillId="2" borderId="66" xfId="0" applyFont="1" applyFill="1" applyBorder="1" applyAlignment="1" applyProtection="1">
      <alignment vertical="center"/>
      <protection locked="0"/>
    </xf>
    <xf numFmtId="4" fontId="1" fillId="2" borderId="78" xfId="0" applyNumberFormat="1" applyFont="1" applyFill="1" applyBorder="1" applyAlignment="1" applyProtection="1">
      <alignment vertical="center"/>
      <protection locked="0"/>
    </xf>
    <xf numFmtId="4" fontId="25" fillId="0" borderId="9" xfId="0" applyNumberFormat="1" applyFont="1" applyFill="1" applyBorder="1" applyAlignment="1" applyProtection="1">
      <alignment horizontal="left"/>
      <protection locked="0"/>
    </xf>
    <xf numFmtId="0" fontId="1" fillId="2" borderId="69" xfId="0" applyFont="1" applyFill="1" applyBorder="1" applyAlignment="1" applyProtection="1">
      <alignment vertical="center"/>
      <protection locked="0"/>
    </xf>
    <xf numFmtId="1" fontId="16" fillId="3" borderId="0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/>
    </xf>
    <xf numFmtId="0" fontId="14" fillId="4" borderId="0" xfId="0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 applyProtection="1">
      <alignment horizontal="center" vertical="center"/>
    </xf>
    <xf numFmtId="0" fontId="25" fillId="2" borderId="12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</xf>
    <xf numFmtId="0" fontId="25" fillId="2" borderId="4" xfId="0" applyFont="1" applyFill="1" applyBorder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right"/>
    </xf>
    <xf numFmtId="0" fontId="22" fillId="6" borderId="1" xfId="0" applyFont="1" applyFill="1" applyBorder="1" applyAlignment="1" applyProtection="1">
      <alignment horizontal="right"/>
    </xf>
    <xf numFmtId="0" fontId="7" fillId="2" borderId="66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0" fontId="14" fillId="3" borderId="16" xfId="0" applyNumberFormat="1" applyFont="1" applyFill="1" applyBorder="1" applyAlignment="1" applyProtection="1">
      <alignment horizontal="center" wrapText="1"/>
    </xf>
    <xf numFmtId="0" fontId="14" fillId="3" borderId="18" xfId="0" applyNumberFormat="1" applyFont="1" applyFill="1" applyBorder="1" applyAlignment="1" applyProtection="1">
      <alignment horizontal="center" wrapText="1"/>
    </xf>
    <xf numFmtId="0" fontId="7" fillId="2" borderId="63" xfId="0" applyFont="1" applyFill="1" applyBorder="1" applyAlignment="1" applyProtection="1">
      <alignment horizontal="left"/>
      <protection locked="0"/>
    </xf>
    <xf numFmtId="0" fontId="7" fillId="2" borderId="65" xfId="0" applyFont="1" applyFill="1" applyBorder="1" applyAlignment="1" applyProtection="1">
      <alignment horizontal="left"/>
      <protection locked="0"/>
    </xf>
    <xf numFmtId="0" fontId="7" fillId="2" borderId="168" xfId="0" applyFont="1" applyFill="1" applyBorder="1" applyAlignment="1" applyProtection="1">
      <alignment horizontal="left"/>
      <protection locked="0"/>
    </xf>
    <xf numFmtId="0" fontId="7" fillId="2" borderId="169" xfId="0" applyFont="1" applyFill="1" applyBorder="1" applyAlignment="1" applyProtection="1">
      <alignment horizontal="left"/>
      <protection locked="0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 vertical="center" wrapText="1"/>
    </xf>
    <xf numFmtId="4" fontId="26" fillId="3" borderId="57" xfId="0" applyNumberFormat="1" applyFont="1" applyFill="1" applyBorder="1" applyAlignment="1" applyProtection="1">
      <alignment horizontal="center" vertical="center"/>
    </xf>
    <xf numFmtId="4" fontId="26" fillId="3" borderId="58" xfId="0" applyNumberFormat="1" applyFont="1" applyFill="1" applyBorder="1" applyAlignment="1" applyProtection="1">
      <alignment horizontal="center" vertical="center"/>
    </xf>
    <xf numFmtId="4" fontId="26" fillId="3" borderId="59" xfId="0" applyNumberFormat="1" applyFont="1" applyFill="1" applyBorder="1" applyAlignment="1" applyProtection="1">
      <alignment horizontal="center" vertical="center"/>
    </xf>
    <xf numFmtId="4" fontId="26" fillId="3" borderId="62" xfId="0" applyNumberFormat="1" applyFont="1" applyFill="1" applyBorder="1" applyAlignment="1" applyProtection="1">
      <alignment horizontal="center" vertical="center"/>
    </xf>
    <xf numFmtId="4" fontId="26" fillId="3" borderId="20" xfId="0" applyNumberFormat="1" applyFont="1" applyFill="1" applyBorder="1" applyAlignment="1" applyProtection="1">
      <alignment horizontal="center" vertical="center"/>
    </xf>
    <xf numFmtId="4" fontId="26" fillId="3" borderId="19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4" fontId="26" fillId="3" borderId="80" xfId="0" applyNumberFormat="1" applyFont="1" applyFill="1" applyBorder="1" applyAlignment="1" applyProtection="1">
      <alignment horizontal="center" vertical="center"/>
    </xf>
    <xf numFmtId="0" fontId="17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horizontal="left" vertical="center"/>
    </xf>
    <xf numFmtId="0" fontId="7" fillId="2" borderId="64" xfId="0" applyFont="1" applyFill="1" applyBorder="1" applyAlignment="1" applyProtection="1">
      <alignment horizontal="left" vertical="center"/>
    </xf>
    <xf numFmtId="0" fontId="7" fillId="2" borderId="65" xfId="0" applyFont="1" applyFill="1" applyBorder="1" applyAlignment="1" applyProtection="1">
      <alignment horizontal="left" vertical="center"/>
    </xf>
    <xf numFmtId="0" fontId="7" fillId="2" borderId="66" xfId="0" applyFont="1" applyFill="1" applyBorder="1" applyAlignment="1" applyProtection="1">
      <alignment horizontal="left" vertical="center"/>
    </xf>
    <xf numFmtId="0" fontId="7" fillId="2" borderId="67" xfId="0" applyFont="1" applyFill="1" applyBorder="1" applyAlignment="1" applyProtection="1">
      <alignment horizontal="left" vertical="center"/>
    </xf>
    <xf numFmtId="0" fontId="7" fillId="2" borderId="68" xfId="0" applyFont="1" applyFill="1" applyBorder="1" applyAlignment="1" applyProtection="1">
      <alignment horizontal="left" vertical="center"/>
    </xf>
    <xf numFmtId="4" fontId="20" fillId="3" borderId="31" xfId="0" applyNumberFormat="1" applyFont="1" applyFill="1" applyBorder="1" applyAlignment="1">
      <alignment horizontal="center" vertical="center"/>
    </xf>
    <xf numFmtId="4" fontId="20" fillId="3" borderId="32" xfId="0" applyNumberFormat="1" applyFont="1" applyFill="1" applyBorder="1" applyAlignment="1">
      <alignment horizontal="center" vertical="center"/>
    </xf>
    <xf numFmtId="4" fontId="20" fillId="3" borderId="33" xfId="0" applyNumberFormat="1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wrapText="1"/>
    </xf>
    <xf numFmtId="0" fontId="34" fillId="3" borderId="80" xfId="132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0" fillId="2" borderId="156" xfId="0" applyFont="1" applyFill="1" applyBorder="1" applyAlignment="1" applyProtection="1">
      <alignment horizontal="left" vertical="center"/>
      <protection locked="0"/>
    </xf>
    <xf numFmtId="0" fontId="10" fillId="2" borderId="157" xfId="0" applyFont="1" applyFill="1" applyBorder="1" applyAlignment="1" applyProtection="1">
      <alignment horizontal="left" vertical="center"/>
      <protection locked="0"/>
    </xf>
    <xf numFmtId="0" fontId="10" fillId="2" borderId="66" xfId="0" applyFont="1" applyFill="1" applyBorder="1" applyAlignment="1" applyProtection="1">
      <alignment horizontal="left" vertical="center"/>
      <protection locked="0"/>
    </xf>
    <xf numFmtId="0" fontId="10" fillId="2" borderId="68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69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0" fontId="3" fillId="2" borderId="156" xfId="0" applyFont="1" applyFill="1" applyBorder="1" applyAlignment="1" applyProtection="1">
      <alignment horizontal="left" vertical="center"/>
      <protection locked="0"/>
    </xf>
    <xf numFmtId="0" fontId="3" fillId="2" borderId="66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>
      <alignment horizont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0" fontId="14" fillId="2" borderId="7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35" fillId="3" borderId="16" xfId="132" applyFont="1" applyFill="1" applyBorder="1" applyAlignment="1">
      <alignment horizontal="center" vertical="center" wrapText="1"/>
    </xf>
    <xf numFmtId="0" fontId="35" fillId="3" borderId="18" xfId="132" applyFont="1" applyFill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0" fontId="35" fillId="3" borderId="57" xfId="132" applyFont="1" applyFill="1" applyBorder="1" applyAlignment="1">
      <alignment horizontal="center" wrapText="1"/>
    </xf>
    <xf numFmtId="0" fontId="35" fillId="3" borderId="58" xfId="132" applyFont="1" applyFill="1" applyBorder="1" applyAlignment="1">
      <alignment horizontal="center" wrapText="1"/>
    </xf>
    <xf numFmtId="0" fontId="35" fillId="3" borderId="59" xfId="132" applyFont="1" applyFill="1" applyBorder="1" applyAlignment="1">
      <alignment horizontal="center" wrapText="1"/>
    </xf>
    <xf numFmtId="0" fontId="14" fillId="3" borderId="62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35" fillId="3" borderId="16" xfId="132" applyFont="1" applyFill="1" applyBorder="1" applyAlignment="1">
      <alignment horizontal="center" wrapText="1"/>
    </xf>
    <xf numFmtId="0" fontId="35" fillId="3" borderId="17" xfId="132" applyFont="1" applyFill="1" applyBorder="1" applyAlignment="1">
      <alignment horizontal="center" wrapText="1"/>
    </xf>
    <xf numFmtId="0" fontId="35" fillId="3" borderId="18" xfId="132" applyFont="1" applyFill="1" applyBorder="1" applyAlignment="1">
      <alignment horizontal="center" wrapText="1"/>
    </xf>
    <xf numFmtId="0" fontId="14" fillId="2" borderId="73" xfId="0" applyFont="1" applyFill="1" applyBorder="1" applyAlignment="1">
      <alignment horizontal="left"/>
    </xf>
    <xf numFmtId="0" fontId="14" fillId="2" borderId="75" xfId="0" applyFont="1" applyFill="1" applyBorder="1" applyAlignment="1">
      <alignment horizontal="left"/>
    </xf>
    <xf numFmtId="0" fontId="14" fillId="3" borderId="60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74" xfId="0" applyFont="1" applyFill="1" applyBorder="1" applyAlignment="1">
      <alignment horizontal="left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69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14" fillId="2" borderId="73" xfId="0" applyNumberFormat="1" applyFont="1" applyFill="1" applyBorder="1" applyAlignment="1">
      <alignment horizontal="left"/>
    </xf>
    <xf numFmtId="4" fontId="14" fillId="2" borderId="75" xfId="0" applyNumberFormat="1" applyFont="1" applyFill="1" applyBorder="1" applyAlignment="1">
      <alignment horizontal="left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0" fontId="14" fillId="2" borderId="16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44" fillId="6" borderId="120" xfId="0" applyFont="1" applyFill="1" applyBorder="1" applyAlignment="1">
      <alignment horizontal="left"/>
    </xf>
    <xf numFmtId="0" fontId="44" fillId="6" borderId="121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</cellXfs>
  <cellStyles count="73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1329267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F24" sqref="F24"/>
    </sheetView>
  </sheetViews>
  <sheetFormatPr baseColWidth="10" defaultColWidth="10.81640625" defaultRowHeight="15"/>
  <cols>
    <col min="1" max="1" width="3.1796875" style="4" customWidth="1"/>
    <col min="2" max="2" width="3.453125" style="2" customWidth="1"/>
    <col min="3" max="3" width="12.1796875" style="4" customWidth="1"/>
    <col min="4" max="13" width="10.81640625" style="4"/>
    <col min="14" max="14" width="3.1796875" style="2" customWidth="1"/>
    <col min="15" max="17" width="10.81640625" style="2"/>
    <col min="18" max="16384" width="10.81640625" style="4"/>
  </cols>
  <sheetData>
    <row r="1" spans="2:37" s="2" customFormat="1" ht="22.95" customHeight="1">
      <c r="D1" s="3"/>
    </row>
    <row r="2" spans="2:37" s="2" customFormat="1" ht="22.95" customHeight="1">
      <c r="D2" s="21" t="s">
        <v>31</v>
      </c>
    </row>
    <row r="3" spans="2:37" s="2" customFormat="1" ht="22.95" customHeight="1">
      <c r="D3" s="63" t="s">
        <v>32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65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65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2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66" t="s">
        <v>493</v>
      </c>
      <c r="E13" s="1067"/>
      <c r="F13" s="1067"/>
      <c r="G13" s="1067"/>
      <c r="H13" s="1067"/>
      <c r="I13" s="1067"/>
      <c r="J13" s="1067"/>
      <c r="K13" s="1067"/>
      <c r="L13" s="1067"/>
      <c r="M13" s="1068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7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69"/>
      <c r="E16" s="1069"/>
      <c r="F16" s="1069"/>
      <c r="G16" s="1069"/>
      <c r="H16" s="1069"/>
      <c r="I16" s="1069"/>
      <c r="J16" s="1069"/>
      <c r="K16" s="1069"/>
      <c r="L16" s="1069"/>
      <c r="M16" s="1069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2" customHeight="1">
      <c r="B19" s="8"/>
      <c r="C19" s="2" t="s">
        <v>37</v>
      </c>
      <c r="D19" s="2" t="s">
        <v>38</v>
      </c>
      <c r="N19" s="9"/>
    </row>
    <row r="20" spans="2:14" s="2" customFormat="1" ht="25.2" customHeight="1">
      <c r="B20" s="8"/>
      <c r="C20" s="2" t="s">
        <v>39</v>
      </c>
      <c r="D20" s="2" t="s">
        <v>40</v>
      </c>
      <c r="N20" s="9"/>
    </row>
    <row r="21" spans="2:14" s="2" customFormat="1" ht="25.2" customHeight="1">
      <c r="B21" s="8"/>
      <c r="C21" s="857" t="s">
        <v>718</v>
      </c>
      <c r="D21" s="857" t="s">
        <v>719</v>
      </c>
      <c r="N21" s="9"/>
    </row>
    <row r="22" spans="2:14" s="2" customFormat="1" ht="25.2" customHeight="1">
      <c r="B22" s="8"/>
      <c r="C22" s="2" t="s">
        <v>41</v>
      </c>
      <c r="D22" s="2" t="s">
        <v>42</v>
      </c>
      <c r="N22" s="9"/>
    </row>
    <row r="23" spans="2:14" s="2" customFormat="1" ht="25.2" customHeight="1">
      <c r="B23" s="8"/>
      <c r="C23" s="2" t="s">
        <v>47</v>
      </c>
      <c r="D23" s="2" t="s">
        <v>48</v>
      </c>
      <c r="N23" s="9"/>
    </row>
    <row r="24" spans="2:14" s="2" customFormat="1" ht="25.2" customHeight="1">
      <c r="B24" s="8"/>
      <c r="C24" s="2" t="s">
        <v>43</v>
      </c>
      <c r="D24" s="277" t="s">
        <v>614</v>
      </c>
      <c r="N24" s="9"/>
    </row>
    <row r="25" spans="2:14" s="2" customFormat="1" ht="25.2" customHeight="1">
      <c r="B25" s="8"/>
      <c r="C25" s="1012" t="s">
        <v>44</v>
      </c>
      <c r="D25" s="1012" t="s">
        <v>45</v>
      </c>
      <c r="E25" s="1012"/>
      <c r="F25" s="1012"/>
      <c r="G25" s="1013" t="s">
        <v>814</v>
      </c>
      <c r="N25" s="9"/>
    </row>
    <row r="26" spans="2:14" s="2" customFormat="1" ht="25.2" customHeight="1">
      <c r="B26" s="8"/>
      <c r="C26" s="2" t="s">
        <v>46</v>
      </c>
      <c r="D26" s="2" t="s">
        <v>49</v>
      </c>
      <c r="N26" s="9"/>
    </row>
    <row r="27" spans="2:14" s="2" customFormat="1" ht="25.2" customHeight="1">
      <c r="B27" s="8"/>
      <c r="C27" s="2" t="s">
        <v>50</v>
      </c>
      <c r="D27" s="2" t="s">
        <v>51</v>
      </c>
      <c r="N27" s="9"/>
    </row>
    <row r="28" spans="2:14" s="2" customFormat="1" ht="25.2" customHeight="1">
      <c r="B28" s="8"/>
      <c r="C28" s="2" t="s">
        <v>52</v>
      </c>
      <c r="D28" s="2" t="s">
        <v>53</v>
      </c>
      <c r="N28" s="9"/>
    </row>
    <row r="29" spans="2:14" s="2" customFormat="1" ht="25.2" customHeight="1">
      <c r="B29" s="8"/>
      <c r="C29" s="2" t="s">
        <v>54</v>
      </c>
      <c r="D29" s="2" t="s">
        <v>55</v>
      </c>
      <c r="N29" s="9"/>
    </row>
    <row r="30" spans="2:14" s="2" customFormat="1" ht="25.2" customHeight="1">
      <c r="B30" s="8"/>
      <c r="C30" s="2" t="s">
        <v>56</v>
      </c>
      <c r="D30" s="397" t="s">
        <v>640</v>
      </c>
      <c r="N30" s="9"/>
    </row>
    <row r="31" spans="2:14" s="2" customFormat="1" ht="25.2" customHeight="1">
      <c r="B31" s="8"/>
      <c r="C31" s="2" t="s">
        <v>58</v>
      </c>
      <c r="D31" s="2" t="s">
        <v>57</v>
      </c>
      <c r="N31" s="9"/>
    </row>
    <row r="32" spans="2:14" s="2" customFormat="1" ht="25.2" customHeight="1">
      <c r="B32" s="8"/>
      <c r="C32" s="2" t="s">
        <v>60</v>
      </c>
      <c r="D32" s="2" t="s">
        <v>59</v>
      </c>
      <c r="N32" s="9"/>
    </row>
    <row r="33" spans="2:14" s="2" customFormat="1" ht="25.2" customHeight="1">
      <c r="B33" s="8"/>
      <c r="C33" s="397" t="s">
        <v>61</v>
      </c>
      <c r="D33" s="2" t="s">
        <v>62</v>
      </c>
      <c r="N33" s="9"/>
    </row>
    <row r="34" spans="2:14" s="2" customFormat="1" ht="25.2" customHeight="1">
      <c r="B34" s="8"/>
      <c r="C34" s="397" t="s">
        <v>636</v>
      </c>
      <c r="D34" s="2" t="s">
        <v>64</v>
      </c>
      <c r="N34" s="9"/>
    </row>
    <row r="35" spans="2:14" s="2" customFormat="1" ht="25.2" customHeight="1">
      <c r="B35" s="8"/>
      <c r="C35" s="397" t="s">
        <v>637</v>
      </c>
      <c r="D35" s="2" t="s">
        <v>65</v>
      </c>
      <c r="N35" s="9"/>
    </row>
    <row r="36" spans="2:14" s="2" customFormat="1" ht="25.2" customHeight="1">
      <c r="B36" s="8"/>
      <c r="C36" s="397" t="s">
        <v>638</v>
      </c>
      <c r="D36" s="2" t="s">
        <v>66</v>
      </c>
      <c r="N36" s="9"/>
    </row>
    <row r="37" spans="2:14" s="2" customFormat="1" ht="25.2" customHeight="1">
      <c r="B37" s="8"/>
      <c r="C37" s="397" t="s">
        <v>639</v>
      </c>
      <c r="D37" s="2" t="s">
        <v>69</v>
      </c>
      <c r="N37" s="9"/>
    </row>
    <row r="38" spans="2:14" s="2" customFormat="1" ht="25.2" customHeight="1">
      <c r="B38" s="8"/>
      <c r="N38" s="9"/>
    </row>
    <row r="39" spans="2:14" s="2" customFormat="1" ht="25.2" customHeight="1">
      <c r="B39" s="8"/>
      <c r="N39" s="9"/>
    </row>
    <row r="40" spans="2:14" s="2" customFormat="1" ht="25.2" customHeight="1">
      <c r="B40" s="8"/>
      <c r="C40" s="277" t="s">
        <v>68</v>
      </c>
      <c r="D40" s="2" t="s">
        <v>71</v>
      </c>
      <c r="N40" s="9"/>
    </row>
    <row r="41" spans="2:14" s="2" customFormat="1" ht="25.2" customHeight="1">
      <c r="B41" s="8"/>
      <c r="C41" s="277" t="s">
        <v>70</v>
      </c>
      <c r="D41" s="2" t="s">
        <v>73</v>
      </c>
      <c r="N41" s="9"/>
    </row>
    <row r="42" spans="2:14" s="2" customFormat="1" ht="25.2" customHeight="1">
      <c r="B42" s="8"/>
      <c r="C42" s="277" t="s">
        <v>72</v>
      </c>
      <c r="D42" s="2" t="s">
        <v>75</v>
      </c>
      <c r="N42" s="9"/>
    </row>
    <row r="43" spans="2:14" s="2" customFormat="1" ht="25.2" customHeight="1">
      <c r="B43" s="8"/>
      <c r="N43" s="9"/>
    </row>
    <row r="44" spans="2:14" s="2" customFormat="1" ht="25.2" customHeight="1">
      <c r="B44" s="8"/>
      <c r="C44" s="275" t="s">
        <v>467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2" customHeight="1">
      <c r="B45" s="8"/>
      <c r="N45" s="9"/>
    </row>
    <row r="46" spans="2:14" s="2" customFormat="1" ht="25.2" customHeight="1">
      <c r="B46" s="8"/>
      <c r="C46" s="277" t="s">
        <v>468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77</v>
      </c>
      <c r="G49" s="43"/>
      <c r="M49" s="41" t="s">
        <v>82</v>
      </c>
    </row>
    <row r="50" spans="3:13" s="42" customFormat="1" ht="13.2">
      <c r="C50" s="38" t="s">
        <v>78</v>
      </c>
      <c r="G50" s="43"/>
    </row>
    <row r="51" spans="3:13" s="42" customFormat="1" ht="13.2">
      <c r="C51" s="38" t="s">
        <v>79</v>
      </c>
      <c r="G51" s="43"/>
    </row>
    <row r="52" spans="3:13" s="42" customFormat="1" ht="13.2">
      <c r="C52" s="38" t="s">
        <v>80</v>
      </c>
      <c r="G52" s="43"/>
    </row>
    <row r="53" spans="3:13" s="42" customFormat="1" ht="13.2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3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36" zoomScale="57" zoomScaleNormal="57" zoomScalePageLayoutView="70" workbookViewId="0">
      <selection activeCell="H70" sqref="H70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42.81640625" style="90" customWidth="1"/>
    <col min="5" max="6" width="12.81640625" style="91" customWidth="1"/>
    <col min="7" max="8" width="15.81640625" style="91" customWidth="1"/>
    <col min="9" max="18" width="12.81640625" style="91" customWidth="1"/>
    <col min="19" max="19" width="3.1796875" style="90" customWidth="1"/>
    <col min="20" max="16384" width="10.81640625" style="90"/>
  </cols>
  <sheetData>
    <row r="2" spans="2:34" ht="22.95" customHeight="1">
      <c r="D2" s="65" t="s">
        <v>321</v>
      </c>
    </row>
    <row r="3" spans="2:34" ht="22.95" customHeight="1">
      <c r="D3" s="65" t="s">
        <v>322</v>
      </c>
    </row>
    <row r="4" spans="2:34" ht="22.95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65">
        <f>ejercicio</f>
        <v>2018</v>
      </c>
      <c r="S6" s="99"/>
      <c r="U6" s="402"/>
      <c r="V6" s="403" t="s">
        <v>643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65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1087"/>
      <c r="O9" s="1087"/>
      <c r="P9" s="1087"/>
      <c r="Q9" s="1087"/>
      <c r="R9" s="1087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2" customHeight="1">
      <c r="B13" s="110"/>
      <c r="C13" s="380"/>
      <c r="D13" s="380"/>
      <c r="E13" s="380"/>
      <c r="F13" s="380"/>
      <c r="G13" s="380"/>
      <c r="H13" s="381" t="s">
        <v>327</v>
      </c>
      <c r="I13" s="1109" t="s">
        <v>729</v>
      </c>
      <c r="J13" s="1110"/>
      <c r="K13" s="1110"/>
      <c r="L13" s="1110"/>
      <c r="M13" s="1111"/>
      <c r="N13" s="382"/>
      <c r="O13" s="383"/>
      <c r="P13" s="384" t="s">
        <v>330</v>
      </c>
      <c r="Q13" s="385">
        <f>ejercicio-1</f>
        <v>2017</v>
      </c>
      <c r="R13" s="868" t="s">
        <v>730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2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2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725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5" customHeight="1">
      <c r="B16" s="110"/>
      <c r="C16" s="464"/>
      <c r="D16" s="1028" t="s">
        <v>847</v>
      </c>
      <c r="E16" s="465"/>
      <c r="F16" s="465"/>
      <c r="G16" s="466">
        <v>2501732</v>
      </c>
      <c r="H16" s="466">
        <v>0</v>
      </c>
      <c r="I16" s="466">
        <v>2501732</v>
      </c>
      <c r="J16" s="466"/>
      <c r="K16" s="466"/>
      <c r="L16" s="466"/>
      <c r="M16" s="466"/>
      <c r="N16" s="466"/>
      <c r="O16" s="466"/>
      <c r="P16" s="466"/>
      <c r="Q16" s="466"/>
      <c r="R16" s="466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5" customHeight="1">
      <c r="B17" s="110"/>
      <c r="C17" s="467"/>
      <c r="D17" s="1029" t="s">
        <v>848</v>
      </c>
      <c r="E17" s="469"/>
      <c r="F17" s="469"/>
      <c r="G17" s="470">
        <v>100000</v>
      </c>
      <c r="H17" s="470">
        <v>0</v>
      </c>
      <c r="I17" s="470">
        <v>100000</v>
      </c>
      <c r="J17" s="470"/>
      <c r="K17" s="470"/>
      <c r="L17" s="470"/>
      <c r="M17" s="470"/>
      <c r="N17" s="470"/>
      <c r="O17" s="470"/>
      <c r="P17" s="470"/>
      <c r="Q17" s="470"/>
      <c r="R17" s="470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5" customHeight="1">
      <c r="B18" s="110"/>
      <c r="C18" s="467"/>
      <c r="D18" s="1029" t="s">
        <v>849</v>
      </c>
      <c r="E18" s="469"/>
      <c r="F18" s="469"/>
      <c r="G18" s="470">
        <f>25675125.45</f>
        <v>25675125.449999999</v>
      </c>
      <c r="H18" s="470">
        <v>0</v>
      </c>
      <c r="I18" s="470">
        <v>220654.62</v>
      </c>
      <c r="J18" s="470">
        <v>10838882.449999999</v>
      </c>
      <c r="K18" s="470">
        <f>G18-I18-J18</f>
        <v>14615588.379999999</v>
      </c>
      <c r="L18" s="470"/>
      <c r="M18" s="470"/>
      <c r="N18" s="470"/>
      <c r="O18" s="470"/>
      <c r="P18" s="470"/>
      <c r="Q18" s="470"/>
      <c r="R18" s="470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5" customHeight="1">
      <c r="B19" s="110"/>
      <c r="C19" s="467"/>
      <c r="D19" s="468"/>
      <c r="E19" s="469"/>
      <c r="F19" s="469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5" customHeight="1">
      <c r="B20" s="110"/>
      <c r="C20" s="467"/>
      <c r="D20" s="468"/>
      <c r="E20" s="469"/>
      <c r="F20" s="469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5" customHeight="1">
      <c r="B21" s="110"/>
      <c r="C21" s="467"/>
      <c r="D21" s="468"/>
      <c r="E21" s="469"/>
      <c r="F21" s="469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5" customHeight="1">
      <c r="B22" s="110"/>
      <c r="C22" s="467"/>
      <c r="D22" s="468"/>
      <c r="E22" s="469"/>
      <c r="F22" s="469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5" customHeight="1">
      <c r="B23" s="110"/>
      <c r="C23" s="467"/>
      <c r="D23" s="468"/>
      <c r="E23" s="469"/>
      <c r="F23" s="469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5" customHeight="1">
      <c r="B24" s="110"/>
      <c r="C24" s="467"/>
      <c r="D24" s="468"/>
      <c r="E24" s="469"/>
      <c r="F24" s="469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5" customHeight="1">
      <c r="B25" s="110"/>
      <c r="C25" s="467"/>
      <c r="D25" s="468"/>
      <c r="E25" s="469"/>
      <c r="F25" s="469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5" customHeight="1">
      <c r="B26" s="110"/>
      <c r="C26" s="467"/>
      <c r="D26" s="468"/>
      <c r="E26" s="469"/>
      <c r="F26" s="469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5" customHeight="1">
      <c r="B27" s="110"/>
      <c r="C27" s="467"/>
      <c r="D27" s="468"/>
      <c r="E27" s="469"/>
      <c r="F27" s="469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5" customHeight="1">
      <c r="B28" s="110"/>
      <c r="C28" s="467"/>
      <c r="D28" s="468"/>
      <c r="E28" s="469"/>
      <c r="F28" s="469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5" customHeight="1">
      <c r="B29" s="110"/>
      <c r="C29" s="467"/>
      <c r="D29" s="468"/>
      <c r="E29" s="469"/>
      <c r="F29" s="469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5" customHeight="1">
      <c r="B30" s="110"/>
      <c r="C30" s="467"/>
      <c r="D30" s="468"/>
      <c r="E30" s="469"/>
      <c r="F30" s="469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5" customHeight="1">
      <c r="B31" s="110"/>
      <c r="C31" s="467"/>
      <c r="D31" s="468"/>
      <c r="E31" s="469"/>
      <c r="F31" s="469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5" customHeight="1">
      <c r="B32" s="110"/>
      <c r="C32" s="467"/>
      <c r="D32" s="468"/>
      <c r="E32" s="469"/>
      <c r="F32" s="469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5" customHeight="1">
      <c r="B33" s="110"/>
      <c r="C33" s="467"/>
      <c r="D33" s="468"/>
      <c r="E33" s="469"/>
      <c r="F33" s="469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5" customHeight="1">
      <c r="B34" s="110"/>
      <c r="C34" s="467"/>
      <c r="D34" s="468"/>
      <c r="E34" s="469"/>
      <c r="F34" s="469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5" customHeight="1">
      <c r="B35" s="110"/>
      <c r="C35" s="467"/>
      <c r="D35" s="468"/>
      <c r="E35" s="469"/>
      <c r="F35" s="469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5" customHeight="1">
      <c r="B36" s="110"/>
      <c r="C36" s="467"/>
      <c r="D36" s="468"/>
      <c r="E36" s="469"/>
      <c r="F36" s="469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5" customHeight="1">
      <c r="B37" s="110"/>
      <c r="C37" s="467"/>
      <c r="D37" s="468"/>
      <c r="E37" s="469"/>
      <c r="F37" s="469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5" customHeight="1">
      <c r="B38" s="110"/>
      <c r="C38" s="467"/>
      <c r="D38" s="468"/>
      <c r="E38" s="469"/>
      <c r="F38" s="469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5" customHeight="1">
      <c r="B39" s="110"/>
      <c r="C39" s="467"/>
      <c r="D39" s="468"/>
      <c r="E39" s="469"/>
      <c r="F39" s="469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5" customHeight="1">
      <c r="B40" s="110"/>
      <c r="C40" s="467"/>
      <c r="D40" s="468"/>
      <c r="E40" s="469"/>
      <c r="F40" s="469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5" customHeight="1">
      <c r="B41" s="110"/>
      <c r="C41" s="467"/>
      <c r="D41" s="468"/>
      <c r="E41" s="469"/>
      <c r="F41" s="469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5" customHeight="1">
      <c r="B42" s="110"/>
      <c r="C42" s="467"/>
      <c r="D42" s="468"/>
      <c r="E42" s="469"/>
      <c r="F42" s="469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5" customHeight="1">
      <c r="B43" s="110"/>
      <c r="C43" s="467"/>
      <c r="D43" s="468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5" customHeight="1">
      <c r="B44" s="110"/>
      <c r="C44" s="467"/>
      <c r="D44" s="468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5" customHeight="1">
      <c r="B45" s="110"/>
      <c r="C45" s="467"/>
      <c r="D45" s="468"/>
      <c r="E45" s="469"/>
      <c r="F45" s="469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5" customHeight="1" thickBot="1">
      <c r="B46" s="110"/>
      <c r="C46" s="1112" t="s">
        <v>331</v>
      </c>
      <c r="D46" s="1113"/>
      <c r="E46" s="119">
        <f>MIN(E16:E45)</f>
        <v>0</v>
      </c>
      <c r="F46" s="119">
        <f>MAX(F16:F45)</f>
        <v>0</v>
      </c>
      <c r="G46" s="120">
        <f t="shared" ref="G46:R46" si="0">SUM(G16:G45)</f>
        <v>28276857.449999999</v>
      </c>
      <c r="H46" s="120">
        <f t="shared" si="0"/>
        <v>0</v>
      </c>
      <c r="I46" s="120">
        <f t="shared" si="0"/>
        <v>2822386.62</v>
      </c>
      <c r="J46" s="120">
        <f t="shared" si="0"/>
        <v>10838882.449999999</v>
      </c>
      <c r="K46" s="120">
        <f t="shared" si="0"/>
        <v>14615588.379999999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5" customHeight="1">
      <c r="B47" s="110"/>
      <c r="C47" s="861"/>
      <c r="D47" s="861"/>
      <c r="E47" s="862"/>
      <c r="F47" s="862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5" customHeight="1">
      <c r="B48" s="110"/>
      <c r="C48" s="863" t="s">
        <v>720</v>
      </c>
      <c r="D48" s="861"/>
      <c r="E48" s="862"/>
      <c r="F48" s="862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5" customHeight="1">
      <c r="B49" s="110"/>
      <c r="C49" s="864" t="s">
        <v>721</v>
      </c>
      <c r="D49" s="861"/>
      <c r="E49" s="862"/>
      <c r="F49" s="865">
        <f>ejercicio-1</f>
        <v>2017</v>
      </c>
      <c r="G49" s="866" t="s">
        <v>722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5" customHeight="1">
      <c r="B50" s="110"/>
      <c r="C50" s="867" t="s">
        <v>723</v>
      </c>
      <c r="D50" s="861"/>
      <c r="E50" s="862"/>
      <c r="F50" s="862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5" customHeight="1">
      <c r="B51" s="110"/>
      <c r="C51" s="864" t="s">
        <v>726</v>
      </c>
      <c r="D51" s="861"/>
      <c r="E51" s="862"/>
      <c r="F51" s="862"/>
      <c r="G51" s="865">
        <f>ejercicio-1</f>
        <v>2017</v>
      </c>
      <c r="H51" s="866" t="s">
        <v>727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5" customHeight="1">
      <c r="B52" s="110"/>
      <c r="C52" s="864" t="s">
        <v>728</v>
      </c>
      <c r="D52" s="861"/>
      <c r="E52" s="862"/>
      <c r="F52" s="862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5" customHeight="1">
      <c r="B53" s="110"/>
      <c r="C53" s="864" t="s">
        <v>732</v>
      </c>
      <c r="D53" s="861"/>
      <c r="E53" s="862"/>
      <c r="F53" s="862"/>
      <c r="G53" s="865">
        <f>ejercicio-1</f>
        <v>2017</v>
      </c>
      <c r="H53" s="866" t="s">
        <v>731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5" customHeight="1">
      <c r="B54" s="110"/>
      <c r="C54" s="861"/>
      <c r="D54" s="861"/>
      <c r="E54" s="862"/>
      <c r="F54" s="862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5" customHeight="1" thickBot="1">
      <c r="B55" s="114"/>
      <c r="C55" s="1086"/>
      <c r="D55" s="1086"/>
      <c r="E55" s="1086"/>
      <c r="F55" s="1086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3.2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3.2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3.2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3.2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3.2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5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5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5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5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5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A12" zoomScale="63" zoomScaleNormal="63" zoomScalePageLayoutView="70" workbookViewId="0">
      <selection activeCell="N27" sqref="N27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3" width="13.453125" style="91" customWidth="1"/>
    <col min="14" max="14" width="40.81640625" style="91" customWidth="1"/>
    <col min="15" max="15" width="3.1796875" style="90" customWidth="1"/>
    <col min="16" max="16384" width="10.81640625" style="90"/>
  </cols>
  <sheetData>
    <row r="2" spans="2:30" ht="22.95" customHeight="1">
      <c r="D2" s="65" t="s">
        <v>321</v>
      </c>
    </row>
    <row r="3" spans="2:30" ht="22.95" customHeight="1">
      <c r="D3" s="65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65">
        <f>ejercicio</f>
        <v>2018</v>
      </c>
      <c r="O6" s="99"/>
      <c r="Q6" s="402"/>
      <c r="R6" s="403" t="s">
        <v>643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65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1087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5" customHeight="1">
      <c r="B13" s="110"/>
      <c r="C13" s="1114"/>
      <c r="D13" s="1115"/>
      <c r="E13" s="193" t="s">
        <v>355</v>
      </c>
      <c r="F13" s="1118" t="s">
        <v>345</v>
      </c>
      <c r="G13" s="1119"/>
      <c r="H13" s="1119"/>
      <c r="I13" s="1119"/>
      <c r="J13" s="1119"/>
      <c r="K13" s="1119"/>
      <c r="L13" s="1120"/>
      <c r="M13" s="193" t="s">
        <v>356</v>
      </c>
      <c r="N13" s="1116" t="s">
        <v>357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2" customHeight="1">
      <c r="B14" s="96"/>
      <c r="C14" s="202" t="s">
        <v>352</v>
      </c>
      <c r="D14" s="200">
        <f>ejercicio-1</f>
        <v>2017</v>
      </c>
      <c r="E14" s="201">
        <f>ejercicio-1</f>
        <v>2017</v>
      </c>
      <c r="F14" s="197" t="s">
        <v>347</v>
      </c>
      <c r="G14" s="198" t="s">
        <v>346</v>
      </c>
      <c r="H14" s="198" t="s">
        <v>348</v>
      </c>
      <c r="I14" s="198" t="s">
        <v>349</v>
      </c>
      <c r="J14" s="198" t="s">
        <v>350</v>
      </c>
      <c r="K14" s="198" t="s">
        <v>351</v>
      </c>
      <c r="L14" s="199" t="s">
        <v>336</v>
      </c>
      <c r="M14" s="201">
        <f>ejercicio-1</f>
        <v>2017</v>
      </c>
      <c r="N14" s="1117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5" customHeight="1">
      <c r="B15" s="110"/>
      <c r="C15" s="151" t="s">
        <v>338</v>
      </c>
      <c r="D15" s="152"/>
      <c r="E15" s="471">
        <v>1080198.6399999999</v>
      </c>
      <c r="F15" s="472">
        <v>30971</v>
      </c>
      <c r="G15" s="473"/>
      <c r="H15" s="473"/>
      <c r="I15" s="473">
        <v>-79324.289999999994</v>
      </c>
      <c r="J15" s="473"/>
      <c r="K15" s="473"/>
      <c r="L15" s="474"/>
      <c r="M15" s="167">
        <f>SUM(E15:L15)</f>
        <v>1031845.3499999999</v>
      </c>
      <c r="N15" s="504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5" customHeight="1">
      <c r="B16" s="110"/>
      <c r="C16" s="153" t="s">
        <v>341</v>
      </c>
      <c r="D16" s="154"/>
      <c r="E16" s="475">
        <v>24925249.41</v>
      </c>
      <c r="F16" s="476"/>
      <c r="G16" s="477"/>
      <c r="H16" s="477"/>
      <c r="I16" s="477"/>
      <c r="J16" s="477"/>
      <c r="K16" s="477"/>
      <c r="L16" s="478"/>
      <c r="M16" s="171">
        <f t="shared" ref="M16:M19" si="0">SUM(E16:L16)</f>
        <v>24925249.41</v>
      </c>
      <c r="N16" s="880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5" customHeight="1">
      <c r="B17" s="110"/>
      <c r="C17" s="153" t="s">
        <v>339</v>
      </c>
      <c r="D17" s="154"/>
      <c r="E17" s="475">
        <v>16028596.960000001</v>
      </c>
      <c r="F17" s="476"/>
      <c r="G17" s="477"/>
      <c r="H17" s="477"/>
      <c r="I17" s="477">
        <v>-197492.07</v>
      </c>
      <c r="J17" s="477"/>
      <c r="K17" s="477"/>
      <c r="L17" s="478"/>
      <c r="M17" s="171">
        <f t="shared" si="0"/>
        <v>15831104.890000001</v>
      </c>
      <c r="N17" s="880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5" customHeight="1">
      <c r="B18" s="110"/>
      <c r="C18" s="153" t="s">
        <v>342</v>
      </c>
      <c r="D18" s="154"/>
      <c r="E18" s="475"/>
      <c r="F18" s="476"/>
      <c r="G18" s="477"/>
      <c r="H18" s="477"/>
      <c r="I18" s="477"/>
      <c r="J18" s="477"/>
      <c r="K18" s="477"/>
      <c r="L18" s="478"/>
      <c r="M18" s="171">
        <f t="shared" si="0"/>
        <v>0</v>
      </c>
      <c r="N18" s="880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5" customHeight="1">
      <c r="B19" s="110"/>
      <c r="C19" s="155" t="s">
        <v>340</v>
      </c>
      <c r="D19" s="156"/>
      <c r="E19" s="479">
        <v>2360498.6</v>
      </c>
      <c r="F19" s="480"/>
      <c r="G19" s="481"/>
      <c r="H19" s="481"/>
      <c r="I19" s="481">
        <v>-191388.41</v>
      </c>
      <c r="J19" s="481"/>
      <c r="K19" s="481"/>
      <c r="L19" s="482"/>
      <c r="M19" s="172">
        <f t="shared" si="0"/>
        <v>2169110.19</v>
      </c>
      <c r="N19" s="881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5" customHeight="1" thickBot="1">
      <c r="B20" s="110"/>
      <c r="C20" s="157" t="s">
        <v>343</v>
      </c>
      <c r="D20" s="158"/>
      <c r="E20" s="170">
        <f>SUM(E15:E19)</f>
        <v>44394543.610000007</v>
      </c>
      <c r="F20" s="170">
        <f t="shared" ref="F20:M20" si="1">SUM(F15:F19)</f>
        <v>30971</v>
      </c>
      <c r="G20" s="170">
        <f t="shared" si="1"/>
        <v>0</v>
      </c>
      <c r="H20" s="170">
        <f t="shared" si="1"/>
        <v>0</v>
      </c>
      <c r="I20" s="170">
        <f t="shared" si="1"/>
        <v>-468204.77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43957309.840000004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5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5" customHeight="1" thickBot="1">
      <c r="B22" s="110"/>
      <c r="C22" s="161" t="s">
        <v>344</v>
      </c>
      <c r="D22" s="162"/>
      <c r="E22" s="550">
        <v>3189517.23</v>
      </c>
      <c r="F22" s="551"/>
      <c r="G22" s="552"/>
      <c r="H22" s="552"/>
      <c r="I22" s="552"/>
      <c r="J22" s="552"/>
      <c r="K22" s="552"/>
      <c r="L22" s="553"/>
      <c r="M22" s="170">
        <f>SUM(E22:L22)</f>
        <v>3189517.23</v>
      </c>
      <c r="N22" s="910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5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5" customHeight="1">
      <c r="B24" s="110"/>
      <c r="C24" s="1114"/>
      <c r="D24" s="1115"/>
      <c r="E24" s="193" t="s">
        <v>355</v>
      </c>
      <c r="F24" s="1118" t="s">
        <v>345</v>
      </c>
      <c r="G24" s="1119"/>
      <c r="H24" s="1119"/>
      <c r="I24" s="1119"/>
      <c r="J24" s="1119"/>
      <c r="K24" s="1119"/>
      <c r="L24" s="1120"/>
      <c r="M24" s="193" t="s">
        <v>356</v>
      </c>
      <c r="N24" s="1116" t="s">
        <v>357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2" customHeight="1">
      <c r="B25" s="110"/>
      <c r="C25" s="202" t="s">
        <v>353</v>
      </c>
      <c r="D25" s="200">
        <f>ejercicio</f>
        <v>2018</v>
      </c>
      <c r="E25" s="201">
        <f>ejercicio</f>
        <v>2018</v>
      </c>
      <c r="F25" s="197" t="s">
        <v>347</v>
      </c>
      <c r="G25" s="198" t="s">
        <v>346</v>
      </c>
      <c r="H25" s="198" t="s">
        <v>348</v>
      </c>
      <c r="I25" s="198" t="s">
        <v>349</v>
      </c>
      <c r="J25" s="198" t="s">
        <v>350</v>
      </c>
      <c r="K25" s="198" t="s">
        <v>351</v>
      </c>
      <c r="L25" s="199" t="s">
        <v>336</v>
      </c>
      <c r="M25" s="201">
        <f>ejercicio</f>
        <v>2018</v>
      </c>
      <c r="N25" s="1117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5" customHeight="1">
      <c r="B26" s="110"/>
      <c r="C26" s="151" t="s">
        <v>338</v>
      </c>
      <c r="D26" s="152"/>
      <c r="E26" s="167">
        <f>+M15</f>
        <v>1031845.3499999999</v>
      </c>
      <c r="F26" s="472"/>
      <c r="G26" s="473"/>
      <c r="H26" s="473"/>
      <c r="I26" s="473">
        <v>-75773.47</v>
      </c>
      <c r="J26" s="473"/>
      <c r="K26" s="473"/>
      <c r="L26" s="474"/>
      <c r="M26" s="167">
        <f>SUM(E26:L26)</f>
        <v>956071.87999999989</v>
      </c>
      <c r="N26" s="504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5" customHeight="1">
      <c r="B27" s="110"/>
      <c r="C27" s="153" t="s">
        <v>341</v>
      </c>
      <c r="D27" s="154"/>
      <c r="E27" s="171">
        <f>+M16</f>
        <v>24925249.41</v>
      </c>
      <c r="F27" s="476"/>
      <c r="G27" s="477"/>
      <c r="H27" s="477"/>
      <c r="I27" s="477"/>
      <c r="J27" s="477"/>
      <c r="K27" s="477"/>
      <c r="L27" s="478"/>
      <c r="M27" s="171">
        <f t="shared" ref="M27:M30" si="2">SUM(E27:L27)</f>
        <v>24925249.41</v>
      </c>
      <c r="N27" s="880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5" customHeight="1">
      <c r="B28" s="110"/>
      <c r="C28" s="153" t="s">
        <v>339</v>
      </c>
      <c r="D28" s="154"/>
      <c r="E28" s="171">
        <f>+M17</f>
        <v>15831104.890000001</v>
      </c>
      <c r="F28" s="476">
        <f>3601732-779345.38</f>
        <v>2822386.62</v>
      </c>
      <c r="G28" s="477"/>
      <c r="H28" s="477"/>
      <c r="I28" s="477">
        <v>-195058.72</v>
      </c>
      <c r="J28" s="477"/>
      <c r="K28" s="477"/>
      <c r="L28" s="478"/>
      <c r="M28" s="171">
        <f t="shared" si="2"/>
        <v>18458432.790000003</v>
      </c>
      <c r="N28" s="880"/>
      <c r="O28" s="99"/>
      <c r="Q28" s="1063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5" customHeight="1">
      <c r="B29" s="110"/>
      <c r="C29" s="153" t="s">
        <v>342</v>
      </c>
      <c r="D29" s="154"/>
      <c r="E29" s="171">
        <f>+M18</f>
        <v>0</v>
      </c>
      <c r="F29" s="476"/>
      <c r="G29" s="477"/>
      <c r="H29" s="477"/>
      <c r="I29" s="477"/>
      <c r="J29" s="477"/>
      <c r="K29" s="477"/>
      <c r="L29" s="478"/>
      <c r="M29" s="171">
        <f t="shared" si="2"/>
        <v>0</v>
      </c>
      <c r="N29" s="880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5" customHeight="1">
      <c r="B30" s="110"/>
      <c r="C30" s="155" t="s">
        <v>340</v>
      </c>
      <c r="D30" s="156"/>
      <c r="E30" s="172">
        <f>+M19</f>
        <v>2169110.19</v>
      </c>
      <c r="F30" s="480"/>
      <c r="G30" s="481"/>
      <c r="H30" s="481"/>
      <c r="I30" s="481">
        <v>-175870.7</v>
      </c>
      <c r="J30" s="481"/>
      <c r="K30" s="481"/>
      <c r="L30" s="482"/>
      <c r="M30" s="172">
        <f t="shared" si="2"/>
        <v>1993239.49</v>
      </c>
      <c r="N30" s="881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5" customHeight="1" thickBot="1">
      <c r="B31" s="110"/>
      <c r="C31" s="157" t="s">
        <v>343</v>
      </c>
      <c r="D31" s="158"/>
      <c r="E31" s="170">
        <f>SUM(E26:E30)</f>
        <v>43957309.840000004</v>
      </c>
      <c r="F31" s="170">
        <f t="shared" ref="F31" si="3">SUM(F26:F30)</f>
        <v>2822386.62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-446702.89</v>
      </c>
      <c r="J31" s="170">
        <f t="shared" ref="J31" si="7">SUM(J26:J30)</f>
        <v>0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46332993.57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5" customHeight="1" thickBot="1">
      <c r="B33" s="110"/>
      <c r="C33" s="161" t="s">
        <v>344</v>
      </c>
      <c r="D33" s="162"/>
      <c r="E33" s="170">
        <f>+M22</f>
        <v>3189517.23</v>
      </c>
      <c r="F33" s="551"/>
      <c r="G33" s="552"/>
      <c r="H33" s="552"/>
      <c r="I33" s="552"/>
      <c r="J33" s="552"/>
      <c r="K33" s="552"/>
      <c r="L33" s="553"/>
      <c r="M33" s="170">
        <f>SUM(E33:L33)</f>
        <v>3189517.23</v>
      </c>
      <c r="N33" s="910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5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5" customHeight="1">
      <c r="B35" s="110"/>
      <c r="C35" s="166" t="s">
        <v>354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7.399999999999999">
      <c r="B36" s="110"/>
      <c r="C36" s="164" t="s">
        <v>744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7.399999999999999">
      <c r="B37" s="110"/>
      <c r="C37" s="164" t="s">
        <v>745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7.399999999999999">
      <c r="B38" s="110"/>
      <c r="C38" s="164" t="s">
        <v>746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7.399999999999999">
      <c r="B39" s="110"/>
      <c r="C39" s="164" t="s">
        <v>747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7.399999999999999">
      <c r="B40" s="110"/>
      <c r="C40" s="164" t="s">
        <v>753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7.399999999999999">
      <c r="B41" s="110"/>
      <c r="C41" s="164" t="s">
        <v>748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7.399999999999999">
      <c r="B42" s="110"/>
      <c r="C42" s="164" t="s">
        <v>749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7.399999999999999">
      <c r="B43" s="110"/>
      <c r="C43" s="164" t="s">
        <v>750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7.399999999999999">
      <c r="B44" s="110"/>
      <c r="C44" s="164" t="s">
        <v>751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7.399999999999999">
      <c r="B45" s="110"/>
      <c r="C45" s="164" t="s">
        <v>752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5" customHeight="1" thickBot="1">
      <c r="B46" s="114"/>
      <c r="C46" s="1086"/>
      <c r="D46" s="1086"/>
      <c r="E46" s="1086"/>
      <c r="F46" s="1086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5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3.2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3.2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3.2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3.2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3.2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5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5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5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5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5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70" zoomScaleNormal="70" zoomScalePageLayoutView="70" workbookViewId="0">
      <selection activeCell="Q79" sqref="Q78:Q79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23.1796875" style="90" customWidth="1"/>
    <col min="5" max="12" width="13.453125" style="91" customWidth="1"/>
    <col min="13" max="13" width="25.81640625" style="91" customWidth="1"/>
    <col min="14" max="14" width="3.1796875" style="90" customWidth="1"/>
    <col min="15" max="16384" width="10.81640625" style="90"/>
  </cols>
  <sheetData>
    <row r="2" spans="2:29" ht="22.95" customHeight="1">
      <c r="D2" s="65" t="s">
        <v>321</v>
      </c>
    </row>
    <row r="3" spans="2:29" ht="22.95" customHeight="1">
      <c r="D3" s="65" t="s">
        <v>322</v>
      </c>
    </row>
    <row r="4" spans="2:29" ht="22.95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65">
        <f>ejercicio</f>
        <v>2018</v>
      </c>
      <c r="N6" s="99"/>
      <c r="P6" s="402"/>
      <c r="Q6" s="403" t="s">
        <v>643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65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27"/>
      <c r="D12" s="1127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370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5" customHeight="1">
      <c r="B15" s="110"/>
      <c r="C15" s="191"/>
      <c r="D15" s="192"/>
      <c r="E15" s="193" t="s">
        <v>361</v>
      </c>
      <c r="F15" s="193" t="s">
        <v>337</v>
      </c>
      <c r="G15" s="1118" t="s">
        <v>345</v>
      </c>
      <c r="H15" s="1119"/>
      <c r="I15" s="1119"/>
      <c r="J15" s="193" t="s">
        <v>356</v>
      </c>
      <c r="K15" s="193" t="s">
        <v>366</v>
      </c>
      <c r="L15" s="193" t="s">
        <v>367</v>
      </c>
      <c r="M15" s="1116" t="s">
        <v>755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2" customHeight="1">
      <c r="B16" s="96"/>
      <c r="C16" s="194" t="s">
        <v>360</v>
      </c>
      <c r="D16" s="195"/>
      <c r="E16" s="196" t="s">
        <v>362</v>
      </c>
      <c r="F16" s="196">
        <f>ejercicio</f>
        <v>2018</v>
      </c>
      <c r="G16" s="197" t="s">
        <v>363</v>
      </c>
      <c r="H16" s="198" t="s">
        <v>364</v>
      </c>
      <c r="I16" s="199" t="s">
        <v>365</v>
      </c>
      <c r="J16" s="196">
        <f>ejercicio</f>
        <v>2018</v>
      </c>
      <c r="K16" s="196" t="s">
        <v>754</v>
      </c>
      <c r="L16" s="196">
        <f>ejercicio</f>
        <v>2018</v>
      </c>
      <c r="M16" s="1117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121" t="s">
        <v>368</v>
      </c>
      <c r="D17" s="1121"/>
      <c r="E17" s="1121"/>
      <c r="F17" s="1121"/>
      <c r="G17" s="1121"/>
      <c r="H17" s="1121"/>
      <c r="I17" s="1121"/>
      <c r="J17" s="1121"/>
      <c r="K17" s="1121"/>
      <c r="L17" s="1121"/>
      <c r="M17" s="1121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5" customHeight="1">
      <c r="B18" s="110"/>
      <c r="C18" s="1123"/>
      <c r="D18" s="1124"/>
      <c r="E18" s="919"/>
      <c r="F18" s="483"/>
      <c r="G18" s="484"/>
      <c r="H18" s="484"/>
      <c r="I18" s="484"/>
      <c r="J18" s="180">
        <f t="shared" ref="J18:J24" si="0">SUM(F18:I18)</f>
        <v>0</v>
      </c>
      <c r="K18" s="491"/>
      <c r="L18" s="492"/>
      <c r="M18" s="915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5" customHeight="1">
      <c r="B19" s="110"/>
      <c r="C19" s="1125"/>
      <c r="D19" s="1126"/>
      <c r="E19" s="920"/>
      <c r="F19" s="476"/>
      <c r="G19" s="477"/>
      <c r="H19" s="477"/>
      <c r="I19" s="477"/>
      <c r="J19" s="171">
        <f t="shared" si="0"/>
        <v>0</v>
      </c>
      <c r="K19" s="493"/>
      <c r="L19" s="494"/>
      <c r="M19" s="916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5" customHeight="1">
      <c r="B20" s="110"/>
      <c r="C20" s="1125"/>
      <c r="D20" s="1126"/>
      <c r="E20" s="920"/>
      <c r="F20" s="476"/>
      <c r="G20" s="477"/>
      <c r="H20" s="477"/>
      <c r="I20" s="477"/>
      <c r="J20" s="171">
        <f t="shared" si="0"/>
        <v>0</v>
      </c>
      <c r="K20" s="493"/>
      <c r="L20" s="494"/>
      <c r="M20" s="916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5" customHeight="1">
      <c r="B21" s="110"/>
      <c r="C21" s="1125"/>
      <c r="D21" s="1126"/>
      <c r="E21" s="920"/>
      <c r="F21" s="476"/>
      <c r="G21" s="477"/>
      <c r="H21" s="477"/>
      <c r="I21" s="477"/>
      <c r="J21" s="171">
        <f t="shared" si="0"/>
        <v>0</v>
      </c>
      <c r="K21" s="493"/>
      <c r="L21" s="494"/>
      <c r="M21" s="916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5" customHeight="1">
      <c r="B22" s="110"/>
      <c r="C22" s="1125"/>
      <c r="D22" s="1126"/>
      <c r="E22" s="921"/>
      <c r="F22" s="485"/>
      <c r="G22" s="486"/>
      <c r="H22" s="486"/>
      <c r="I22" s="486"/>
      <c r="J22" s="171">
        <f t="shared" si="0"/>
        <v>0</v>
      </c>
      <c r="K22" s="495"/>
      <c r="L22" s="496"/>
      <c r="M22" s="917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5" customHeight="1">
      <c r="B23" s="110"/>
      <c r="C23" s="1125"/>
      <c r="D23" s="1126"/>
      <c r="E23" s="921"/>
      <c r="F23" s="485"/>
      <c r="G23" s="486"/>
      <c r="H23" s="486"/>
      <c r="I23" s="486"/>
      <c r="J23" s="171">
        <f t="shared" si="0"/>
        <v>0</v>
      </c>
      <c r="K23" s="495"/>
      <c r="L23" s="496"/>
      <c r="M23" s="917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5" customHeight="1">
      <c r="B24" s="110"/>
      <c r="C24" s="487"/>
      <c r="D24" s="488"/>
      <c r="E24" s="922"/>
      <c r="F24" s="480"/>
      <c r="G24" s="481"/>
      <c r="H24" s="481"/>
      <c r="I24" s="481"/>
      <c r="J24" s="172">
        <f t="shared" si="0"/>
        <v>0</v>
      </c>
      <c r="K24" s="497"/>
      <c r="L24" s="498"/>
      <c r="M24" s="918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5" customHeight="1" thickBot="1">
      <c r="B25" s="110"/>
      <c r="C25" s="157" t="s">
        <v>343</v>
      </c>
      <c r="D25" s="158"/>
      <c r="E25" s="170"/>
      <c r="F25" s="170">
        <f>SUM(F18:F24)</f>
        <v>0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0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122" t="s">
        <v>369</v>
      </c>
      <c r="D26" s="1122"/>
      <c r="E26" s="1122"/>
      <c r="F26" s="1122"/>
      <c r="G26" s="1122"/>
      <c r="H26" s="1122"/>
      <c r="I26" s="1122"/>
      <c r="J26" s="1122"/>
      <c r="K26" s="1122"/>
      <c r="L26" s="1122"/>
      <c r="M26" s="1122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5" customHeight="1">
      <c r="B27" s="110"/>
      <c r="C27" s="1123"/>
      <c r="D27" s="1124"/>
      <c r="E27" s="919"/>
      <c r="F27" s="483"/>
      <c r="G27" s="484"/>
      <c r="H27" s="484"/>
      <c r="I27" s="484"/>
      <c r="J27" s="180">
        <f t="shared" ref="J27:J33" si="1">SUM(F27:I27)</f>
        <v>0</v>
      </c>
      <c r="K27" s="491"/>
      <c r="L27" s="492"/>
      <c r="M27" s="915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5" customHeight="1">
      <c r="B28" s="110"/>
      <c r="C28" s="1125"/>
      <c r="D28" s="1126"/>
      <c r="E28" s="920"/>
      <c r="F28" s="476"/>
      <c r="G28" s="477"/>
      <c r="H28" s="477"/>
      <c r="I28" s="477"/>
      <c r="J28" s="171">
        <f t="shared" si="1"/>
        <v>0</v>
      </c>
      <c r="K28" s="493"/>
      <c r="L28" s="494"/>
      <c r="M28" s="916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5" customHeight="1">
      <c r="B29" s="110"/>
      <c r="C29" s="1125"/>
      <c r="D29" s="1126"/>
      <c r="E29" s="920"/>
      <c r="F29" s="476"/>
      <c r="G29" s="477"/>
      <c r="H29" s="477"/>
      <c r="I29" s="477"/>
      <c r="J29" s="171">
        <f t="shared" si="1"/>
        <v>0</v>
      </c>
      <c r="K29" s="493"/>
      <c r="L29" s="494"/>
      <c r="M29" s="916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5" customHeight="1">
      <c r="B30" s="110"/>
      <c r="C30" s="1125"/>
      <c r="D30" s="1126"/>
      <c r="E30" s="920"/>
      <c r="F30" s="476"/>
      <c r="G30" s="477"/>
      <c r="H30" s="477"/>
      <c r="I30" s="477"/>
      <c r="J30" s="171">
        <f t="shared" si="1"/>
        <v>0</v>
      </c>
      <c r="K30" s="493"/>
      <c r="L30" s="494"/>
      <c r="M30" s="916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5" customHeight="1">
      <c r="B31" s="110"/>
      <c r="C31" s="1125"/>
      <c r="D31" s="1126"/>
      <c r="E31" s="921"/>
      <c r="F31" s="485"/>
      <c r="G31" s="486"/>
      <c r="H31" s="486"/>
      <c r="I31" s="486"/>
      <c r="J31" s="171">
        <f t="shared" si="1"/>
        <v>0</v>
      </c>
      <c r="K31" s="495"/>
      <c r="L31" s="496"/>
      <c r="M31" s="917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5" customHeight="1">
      <c r="B32" s="110"/>
      <c r="C32" s="1125"/>
      <c r="D32" s="1126"/>
      <c r="E32" s="921"/>
      <c r="F32" s="485"/>
      <c r="G32" s="486"/>
      <c r="H32" s="486"/>
      <c r="I32" s="486"/>
      <c r="J32" s="171">
        <f t="shared" si="1"/>
        <v>0</v>
      </c>
      <c r="K32" s="495"/>
      <c r="L32" s="496"/>
      <c r="M32" s="917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5" customHeight="1">
      <c r="B33" s="110"/>
      <c r="C33" s="1128"/>
      <c r="D33" s="1129"/>
      <c r="E33" s="922"/>
      <c r="F33" s="480"/>
      <c r="G33" s="481"/>
      <c r="H33" s="481"/>
      <c r="I33" s="481"/>
      <c r="J33" s="172">
        <f t="shared" si="1"/>
        <v>0</v>
      </c>
      <c r="K33" s="497"/>
      <c r="L33" s="498"/>
      <c r="M33" s="918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5" customHeight="1" thickBot="1">
      <c r="B34" s="110"/>
      <c r="C34" s="157" t="s">
        <v>343</v>
      </c>
      <c r="D34" s="158"/>
      <c r="E34" s="170"/>
      <c r="F34" s="170">
        <f>SUM(F27:F33)</f>
        <v>0</v>
      </c>
      <c r="G34" s="170">
        <f>SUM(G27:G33)</f>
        <v>0</v>
      </c>
      <c r="H34" s="170">
        <f>SUM(H27:H33)</f>
        <v>0</v>
      </c>
      <c r="I34" s="170">
        <f>SUM(I27:I33)</f>
        <v>0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5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5" customHeight="1">
      <c r="B37" s="110"/>
      <c r="C37" s="68" t="s">
        <v>371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5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5" customHeight="1">
      <c r="B39" s="110"/>
      <c r="C39" s="191"/>
      <c r="D39" s="192"/>
      <c r="E39" s="193" t="s">
        <v>361</v>
      </c>
      <c r="F39" s="193" t="s">
        <v>337</v>
      </c>
      <c r="G39" s="1118" t="s">
        <v>345</v>
      </c>
      <c r="H39" s="1119"/>
      <c r="I39" s="1119"/>
      <c r="J39" s="193" t="s">
        <v>356</v>
      </c>
      <c r="K39" s="193" t="s">
        <v>366</v>
      </c>
      <c r="L39" s="193" t="s">
        <v>367</v>
      </c>
      <c r="M39" s="1116" t="s">
        <v>758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2" customHeight="1">
      <c r="B40" s="110"/>
      <c r="C40" s="194" t="s">
        <v>360</v>
      </c>
      <c r="D40" s="195"/>
      <c r="E40" s="196" t="s">
        <v>362</v>
      </c>
      <c r="F40" s="196">
        <f>ejercicio</f>
        <v>2018</v>
      </c>
      <c r="G40" s="197" t="s">
        <v>363</v>
      </c>
      <c r="H40" s="198" t="s">
        <v>364</v>
      </c>
      <c r="I40" s="199" t="s">
        <v>365</v>
      </c>
      <c r="J40" s="196">
        <f>ejercicio</f>
        <v>2018</v>
      </c>
      <c r="K40" s="196" t="s">
        <v>757</v>
      </c>
      <c r="L40" s="196">
        <f>ejercicio</f>
        <v>2018</v>
      </c>
      <c r="M40" s="1117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121" t="s">
        <v>372</v>
      </c>
      <c r="D41" s="1121"/>
      <c r="E41" s="1121"/>
      <c r="F41" s="1121"/>
      <c r="G41" s="1121"/>
      <c r="H41" s="1121"/>
      <c r="I41" s="1121"/>
      <c r="J41" s="1121"/>
      <c r="K41" s="1121"/>
      <c r="L41" s="1121"/>
      <c r="M41" s="1121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5" customHeight="1">
      <c r="B42" s="110"/>
      <c r="C42" s="1123"/>
      <c r="D42" s="1124"/>
      <c r="E42" s="919"/>
      <c r="F42" s="483"/>
      <c r="G42" s="484"/>
      <c r="H42" s="484"/>
      <c r="I42" s="484"/>
      <c r="J42" s="180">
        <f t="shared" ref="J42:J48" si="2">SUM(F42:I42)</f>
        <v>0</v>
      </c>
      <c r="K42" s="491"/>
      <c r="L42" s="911"/>
      <c r="M42" s="915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5" customHeight="1">
      <c r="B43" s="110"/>
      <c r="C43" s="1125"/>
      <c r="D43" s="1126"/>
      <c r="E43" s="920"/>
      <c r="F43" s="476"/>
      <c r="G43" s="477"/>
      <c r="H43" s="477"/>
      <c r="I43" s="477"/>
      <c r="J43" s="171">
        <f t="shared" si="2"/>
        <v>0</v>
      </c>
      <c r="K43" s="493"/>
      <c r="L43" s="912"/>
      <c r="M43" s="916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5" customHeight="1">
      <c r="B44" s="110"/>
      <c r="C44" s="1125"/>
      <c r="D44" s="1126"/>
      <c r="E44" s="920"/>
      <c r="F44" s="476"/>
      <c r="G44" s="477"/>
      <c r="H44" s="477"/>
      <c r="I44" s="477"/>
      <c r="J44" s="171">
        <f t="shared" si="2"/>
        <v>0</v>
      </c>
      <c r="K44" s="493"/>
      <c r="L44" s="912"/>
      <c r="M44" s="916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5" customHeight="1">
      <c r="B45" s="110"/>
      <c r="C45" s="1125"/>
      <c r="D45" s="1126"/>
      <c r="E45" s="920"/>
      <c r="F45" s="476"/>
      <c r="G45" s="477"/>
      <c r="H45" s="477"/>
      <c r="I45" s="477"/>
      <c r="J45" s="171">
        <f t="shared" si="2"/>
        <v>0</v>
      </c>
      <c r="K45" s="493"/>
      <c r="L45" s="912"/>
      <c r="M45" s="916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5" customHeight="1">
      <c r="B46" s="110"/>
      <c r="C46" s="1125"/>
      <c r="D46" s="1126"/>
      <c r="E46" s="921"/>
      <c r="F46" s="485"/>
      <c r="G46" s="486"/>
      <c r="H46" s="486"/>
      <c r="I46" s="486"/>
      <c r="J46" s="171">
        <f t="shared" si="2"/>
        <v>0</v>
      </c>
      <c r="K46" s="495"/>
      <c r="L46" s="913"/>
      <c r="M46" s="917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5" customHeight="1">
      <c r="B47" s="110"/>
      <c r="C47" s="1125"/>
      <c r="D47" s="1126"/>
      <c r="E47" s="921"/>
      <c r="F47" s="485"/>
      <c r="G47" s="486"/>
      <c r="H47" s="486"/>
      <c r="I47" s="486"/>
      <c r="J47" s="171">
        <f t="shared" si="2"/>
        <v>0</v>
      </c>
      <c r="K47" s="495"/>
      <c r="L47" s="913"/>
      <c r="M47" s="917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5" customHeight="1">
      <c r="B48" s="110"/>
      <c r="C48" s="1128"/>
      <c r="D48" s="1129"/>
      <c r="E48" s="922"/>
      <c r="F48" s="480"/>
      <c r="G48" s="481"/>
      <c r="H48" s="481"/>
      <c r="I48" s="481"/>
      <c r="J48" s="172">
        <f t="shared" si="2"/>
        <v>0</v>
      </c>
      <c r="K48" s="497"/>
      <c r="L48" s="914"/>
      <c r="M48" s="918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5" customHeight="1" thickBot="1">
      <c r="B49" s="110"/>
      <c r="C49" s="157" t="s">
        <v>343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9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5" customHeight="1" thickBot="1">
      <c r="B50" s="110"/>
      <c r="C50" s="1122" t="s">
        <v>373</v>
      </c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5" customHeight="1">
      <c r="B51" s="110"/>
      <c r="C51" s="1130" t="s">
        <v>842</v>
      </c>
      <c r="D51" s="1124"/>
      <c r="E51" s="919">
        <v>548</v>
      </c>
      <c r="F51" s="483">
        <v>2169931</v>
      </c>
      <c r="G51" s="484">
        <f>3000000-F51</f>
        <v>830069</v>
      </c>
      <c r="H51" s="484"/>
      <c r="I51" s="484"/>
      <c r="J51" s="180">
        <f t="shared" ref="J51:J57" si="3">SUM(F51:I51)</f>
        <v>3000000</v>
      </c>
      <c r="K51" s="491"/>
      <c r="L51" s="492"/>
      <c r="M51" s="915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5" customHeight="1">
      <c r="B52" s="110"/>
      <c r="C52" s="1131" t="s">
        <v>843</v>
      </c>
      <c r="D52" s="1126"/>
      <c r="E52" s="1025" t="s">
        <v>844</v>
      </c>
      <c r="F52" s="476">
        <v>13400.6</v>
      </c>
      <c r="G52" s="477"/>
      <c r="H52" s="477"/>
      <c r="I52" s="477"/>
      <c r="J52" s="171">
        <f t="shared" si="3"/>
        <v>13400.6</v>
      </c>
      <c r="K52" s="493"/>
      <c r="L52" s="494"/>
      <c r="M52" s="916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5" customHeight="1">
      <c r="B53" s="110"/>
      <c r="C53" s="1125"/>
      <c r="D53" s="1126"/>
      <c r="E53" s="920"/>
      <c r="F53" s="476"/>
      <c r="G53" s="477"/>
      <c r="H53" s="477"/>
      <c r="I53" s="477"/>
      <c r="J53" s="171">
        <f t="shared" si="3"/>
        <v>0</v>
      </c>
      <c r="K53" s="493"/>
      <c r="L53" s="494"/>
      <c r="M53" s="916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5" customHeight="1">
      <c r="B54" s="110"/>
      <c r="C54" s="1125"/>
      <c r="D54" s="1126"/>
      <c r="E54" s="920"/>
      <c r="F54" s="476"/>
      <c r="G54" s="477"/>
      <c r="H54" s="477"/>
      <c r="I54" s="477"/>
      <c r="J54" s="171">
        <f t="shared" si="3"/>
        <v>0</v>
      </c>
      <c r="K54" s="493"/>
      <c r="L54" s="494"/>
      <c r="M54" s="916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5" customHeight="1">
      <c r="B55" s="110"/>
      <c r="C55" s="1125"/>
      <c r="D55" s="1126"/>
      <c r="E55" s="921"/>
      <c r="F55" s="485"/>
      <c r="G55" s="486"/>
      <c r="H55" s="486"/>
      <c r="I55" s="486"/>
      <c r="J55" s="171">
        <f t="shared" si="3"/>
        <v>0</v>
      </c>
      <c r="K55" s="495"/>
      <c r="L55" s="496"/>
      <c r="M55" s="917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5" customHeight="1">
      <c r="B56" s="110"/>
      <c r="C56" s="1125"/>
      <c r="D56" s="1126"/>
      <c r="E56" s="921"/>
      <c r="F56" s="485"/>
      <c r="G56" s="486"/>
      <c r="H56" s="486"/>
      <c r="I56" s="486"/>
      <c r="J56" s="171">
        <f t="shared" si="3"/>
        <v>0</v>
      </c>
      <c r="K56" s="495"/>
      <c r="L56" s="496"/>
      <c r="M56" s="917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5" customHeight="1">
      <c r="B57" s="110"/>
      <c r="C57" s="1128"/>
      <c r="D57" s="1129"/>
      <c r="E57" s="922"/>
      <c r="F57" s="480"/>
      <c r="G57" s="481"/>
      <c r="H57" s="481"/>
      <c r="I57" s="481"/>
      <c r="J57" s="172">
        <f t="shared" si="3"/>
        <v>0</v>
      </c>
      <c r="K57" s="497"/>
      <c r="L57" s="498"/>
      <c r="M57" s="918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5" customHeight="1" thickBot="1">
      <c r="B58" s="110"/>
      <c r="C58" s="157" t="s">
        <v>343</v>
      </c>
      <c r="D58" s="158"/>
      <c r="E58" s="170"/>
      <c r="F58" s="170">
        <f>SUM(F51:F57)</f>
        <v>2183331.6</v>
      </c>
      <c r="G58" s="170">
        <f>SUM(G51:G57)</f>
        <v>830069</v>
      </c>
      <c r="H58" s="170">
        <f>SUM(H51:H57)</f>
        <v>0</v>
      </c>
      <c r="I58" s="170">
        <f>SUM(I51:I57)</f>
        <v>0</v>
      </c>
      <c r="J58" s="170">
        <f>SUM(J51:J57)</f>
        <v>3013400.6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5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5" customHeight="1">
      <c r="B60" s="110"/>
      <c r="C60" s="166" t="s">
        <v>354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7.399999999999999">
      <c r="B61" s="110"/>
      <c r="C61" s="164" t="s">
        <v>374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7.399999999999999">
      <c r="B62" s="110"/>
      <c r="C62" s="164" t="s">
        <v>375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7.399999999999999">
      <c r="B63" s="110"/>
      <c r="C63" s="164" t="s">
        <v>376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7.399999999999999">
      <c r="B64" s="110"/>
      <c r="C64" s="164" t="s">
        <v>377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7.399999999999999">
      <c r="B65" s="110"/>
      <c r="C65" s="164" t="s">
        <v>378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7.399999999999999">
      <c r="B66" s="110"/>
      <c r="C66" s="164" t="s">
        <v>756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7.399999999999999">
      <c r="B67" s="110"/>
      <c r="C67" s="164" t="s">
        <v>658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7.399999999999999">
      <c r="B68" s="110"/>
      <c r="C68" s="164" t="s">
        <v>379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7.399999999999999">
      <c r="B69" s="110"/>
      <c r="C69" s="164" t="s">
        <v>380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7.399999999999999">
      <c r="B70" s="110"/>
      <c r="C70" s="164" t="s">
        <v>381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5" customHeight="1" thickBot="1">
      <c r="B71" s="114"/>
      <c r="C71" s="1086"/>
      <c r="D71" s="1086"/>
      <c r="E71" s="1086"/>
      <c r="F71" s="1086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5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3.2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3.2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3.2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3.2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3.2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5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5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5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5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5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2"/>
  <sheetViews>
    <sheetView topLeftCell="A37" zoomScale="73" zoomScaleNormal="73" zoomScalePageLayoutView="80" workbookViewId="0">
      <selection activeCell="C52" sqref="C52:E52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38.453125" style="90" customWidth="1"/>
    <col min="5" max="5" width="27.81640625" style="91" customWidth="1"/>
    <col min="6" max="9" width="15.1796875" style="91" customWidth="1"/>
    <col min="10" max="12" width="9.81640625" style="91" customWidth="1"/>
    <col min="13" max="13" width="7.54296875" style="90" customWidth="1"/>
    <col min="14" max="16384" width="10.81640625" style="90"/>
  </cols>
  <sheetData>
    <row r="2" spans="2:28" ht="22.95" customHeight="1">
      <c r="D2" s="212" t="s">
        <v>321</v>
      </c>
    </row>
    <row r="3" spans="2:28" ht="22.95" customHeight="1">
      <c r="D3" s="212" t="s">
        <v>322</v>
      </c>
    </row>
    <row r="4" spans="2:28" ht="22.95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65">
        <f>ejercicio</f>
        <v>2018</v>
      </c>
      <c r="M6" s="99"/>
      <c r="O6" s="402"/>
      <c r="P6" s="403" t="s">
        <v>643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65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087"/>
      <c r="K9" s="1087"/>
      <c r="L9" s="1087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782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27"/>
      <c r="D12" s="1127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382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383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4" customFormat="1" ht="36" customHeight="1">
      <c r="B15" s="985"/>
      <c r="C15" s="1145" t="s">
        <v>780</v>
      </c>
      <c r="D15" s="1146"/>
      <c r="E15" s="986"/>
      <c r="F15" s="1149" t="s">
        <v>786</v>
      </c>
      <c r="G15" s="1150"/>
      <c r="H15" s="1149" t="s">
        <v>785</v>
      </c>
      <c r="I15" s="1150"/>
      <c r="J15" s="987"/>
      <c r="K15" s="987"/>
      <c r="L15" s="987"/>
      <c r="M15" s="988"/>
      <c r="O15" s="989"/>
      <c r="P15" s="990"/>
      <c r="Q15" s="990"/>
      <c r="R15" s="990"/>
      <c r="S15" s="990"/>
      <c r="T15" s="990"/>
      <c r="U15" s="990"/>
      <c r="V15" s="990"/>
      <c r="W15" s="990"/>
      <c r="X15" s="990"/>
      <c r="Y15" s="990"/>
      <c r="Z15" s="990"/>
      <c r="AA15" s="990"/>
      <c r="AB15" s="991"/>
    </row>
    <row r="16" spans="2:28" s="992" customFormat="1" ht="22.95" customHeight="1">
      <c r="B16" s="993"/>
      <c r="C16" s="1147" t="s">
        <v>781</v>
      </c>
      <c r="D16" s="1148"/>
      <c r="E16" s="994" t="s">
        <v>384</v>
      </c>
      <c r="F16" s="987">
        <f>ejercicio-1</f>
        <v>2017</v>
      </c>
      <c r="G16" s="987">
        <f>ejercicio</f>
        <v>2018</v>
      </c>
      <c r="H16" s="987">
        <f>ejercicio-1</f>
        <v>2017</v>
      </c>
      <c r="I16" s="987">
        <f>ejercicio</f>
        <v>2018</v>
      </c>
      <c r="J16" s="987" t="s">
        <v>386</v>
      </c>
      <c r="K16" s="987" t="s">
        <v>388</v>
      </c>
      <c r="L16" s="987" t="s">
        <v>387</v>
      </c>
      <c r="M16" s="995"/>
      <c r="O16" s="989"/>
      <c r="P16" s="990"/>
      <c r="Q16" s="990"/>
      <c r="R16" s="990"/>
      <c r="S16" s="990"/>
      <c r="T16" s="990"/>
      <c r="U16" s="990"/>
      <c r="V16" s="990"/>
      <c r="W16" s="990"/>
      <c r="X16" s="990"/>
      <c r="Y16" s="990"/>
      <c r="Z16" s="990"/>
      <c r="AA16" s="990"/>
      <c r="AB16" s="991"/>
    </row>
    <row r="17" spans="1:28" s="185" customFormat="1" ht="7.95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5" customHeight="1">
      <c r="A18" s="185"/>
      <c r="B18" s="183"/>
      <c r="C18" s="1142" t="s">
        <v>659</v>
      </c>
      <c r="D18" s="1143"/>
      <c r="E18" s="1144"/>
      <c r="F18" s="501">
        <v>9479085.2200000007</v>
      </c>
      <c r="G18" s="500">
        <v>14783834.630000001</v>
      </c>
      <c r="H18" s="844"/>
      <c r="I18" s="844"/>
      <c r="J18" s="844"/>
      <c r="K18" s="844"/>
      <c r="L18" s="844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2"/>
      <c r="F19" s="502"/>
      <c r="G19" s="502"/>
      <c r="H19" s="502"/>
      <c r="I19" s="502"/>
      <c r="J19" s="923"/>
      <c r="K19" s="923"/>
      <c r="L19" s="923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5" customHeight="1">
      <c r="A20" s="185"/>
      <c r="B20" s="183"/>
      <c r="C20" s="1026" t="s">
        <v>858</v>
      </c>
      <c r="D20" s="559"/>
      <c r="E20" s="1027" t="s">
        <v>846</v>
      </c>
      <c r="F20" s="472"/>
      <c r="G20" s="503">
        <v>2501732</v>
      </c>
      <c r="H20" s="979">
        <v>0</v>
      </c>
      <c r="I20" s="979">
        <v>2501732</v>
      </c>
      <c r="J20" s="1044" t="s">
        <v>875</v>
      </c>
      <c r="K20" s="1044" t="s">
        <v>876</v>
      </c>
      <c r="L20" s="1044" t="s">
        <v>877</v>
      </c>
      <c r="M20" s="111"/>
      <c r="O20" s="402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5" customHeight="1">
      <c r="B21" s="110"/>
      <c r="C21" s="1034" t="s">
        <v>848</v>
      </c>
      <c r="D21" s="561"/>
      <c r="E21" s="1035" t="s">
        <v>846</v>
      </c>
      <c r="F21" s="483">
        <v>100000</v>
      </c>
      <c r="G21" s="505">
        <v>100000</v>
      </c>
      <c r="H21" s="980">
        <v>100000</v>
      </c>
      <c r="I21" s="980">
        <v>100000</v>
      </c>
      <c r="J21" s="1045" t="s">
        <v>875</v>
      </c>
      <c r="K21" s="1045" t="s">
        <v>876</v>
      </c>
      <c r="L21" s="1045" t="s">
        <v>877</v>
      </c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049" customFormat="1" ht="22.95" customHeight="1">
      <c r="B22" s="1002"/>
      <c r="C22" s="1052" t="s">
        <v>849</v>
      </c>
      <c r="D22" s="1053"/>
      <c r="E22" s="1054" t="s">
        <v>846</v>
      </c>
      <c r="F22" s="1055"/>
      <c r="G22" s="1056">
        <v>220654.62</v>
      </c>
      <c r="H22" s="1057">
        <v>0</v>
      </c>
      <c r="I22" s="1057">
        <v>220654.62</v>
      </c>
      <c r="J22" s="1058" t="s">
        <v>875</v>
      </c>
      <c r="K22" s="1058" t="s">
        <v>876</v>
      </c>
      <c r="L22" s="1058" t="s">
        <v>877</v>
      </c>
      <c r="M22" s="1050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5" customHeight="1">
      <c r="B23" s="110"/>
      <c r="C23" s="1034" t="s">
        <v>868</v>
      </c>
      <c r="D23" s="561"/>
      <c r="E23" s="1035" t="s">
        <v>846</v>
      </c>
      <c r="F23" s="483">
        <v>300770.28999999998</v>
      </c>
      <c r="G23" s="505"/>
      <c r="H23" s="980">
        <v>344926.62</v>
      </c>
      <c r="I23" s="980"/>
      <c r="J23" s="1045"/>
      <c r="K23" s="1045"/>
      <c r="L23" s="1045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5" customHeight="1">
      <c r="B24" s="110"/>
      <c r="C24" s="1034" t="s">
        <v>869</v>
      </c>
      <c r="D24" s="561"/>
      <c r="E24" s="1036" t="s">
        <v>846</v>
      </c>
      <c r="F24" s="476">
        <v>470301.2</v>
      </c>
      <c r="G24" s="506"/>
      <c r="H24" s="981">
        <v>470301.2</v>
      </c>
      <c r="I24" s="981"/>
      <c r="J24" s="1046"/>
      <c r="K24" s="1046"/>
      <c r="L24" s="1046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5" customHeight="1">
      <c r="B25" s="110"/>
      <c r="C25" s="1034" t="s">
        <v>870</v>
      </c>
      <c r="D25" s="561"/>
      <c r="E25" s="1036" t="s">
        <v>846</v>
      </c>
      <c r="F25" s="476">
        <v>164078</v>
      </c>
      <c r="G25" s="506"/>
      <c r="H25" s="981">
        <v>230000</v>
      </c>
      <c r="I25" s="981"/>
      <c r="J25" s="1046"/>
      <c r="K25" s="1046"/>
      <c r="L25" s="1046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5" customHeight="1">
      <c r="B26" s="110"/>
      <c r="C26" s="1034" t="s">
        <v>871</v>
      </c>
      <c r="D26" s="1023"/>
      <c r="E26" s="1036" t="s">
        <v>846</v>
      </c>
      <c r="F26" s="476">
        <v>195000</v>
      </c>
      <c r="G26" s="506"/>
      <c r="H26" s="981">
        <v>223072.48</v>
      </c>
      <c r="I26" s="981"/>
      <c r="J26" s="1046"/>
      <c r="K26" s="1046"/>
      <c r="L26" s="1046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5" customHeight="1">
      <c r="B27" s="110"/>
      <c r="C27" s="1034" t="s">
        <v>872</v>
      </c>
      <c r="D27" s="561"/>
      <c r="E27" s="1037" t="s">
        <v>846</v>
      </c>
      <c r="F27" s="485">
        <v>6006587.8399999999</v>
      </c>
      <c r="G27" s="507"/>
      <c r="H27" s="982">
        <v>6006587.8399999999</v>
      </c>
      <c r="I27" s="982"/>
      <c r="J27" s="1047"/>
      <c r="K27" s="1047"/>
      <c r="L27" s="1047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5" customHeight="1">
      <c r="B28" s="110"/>
      <c r="C28" s="560"/>
      <c r="D28" s="561"/>
      <c r="E28" s="556"/>
      <c r="F28" s="485">
        <v>31770.81</v>
      </c>
      <c r="G28" s="507"/>
      <c r="H28" s="982">
        <v>31770.81</v>
      </c>
      <c r="I28" s="982"/>
      <c r="J28" s="1047"/>
      <c r="K28" s="1047"/>
      <c r="L28" s="1047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5" customHeight="1">
      <c r="B29" s="110"/>
      <c r="C29" s="1038" t="s">
        <v>873</v>
      </c>
      <c r="D29" s="563"/>
      <c r="E29" s="1039" t="s">
        <v>846</v>
      </c>
      <c r="F29" s="480"/>
      <c r="G29" s="508"/>
      <c r="H29" s="983">
        <v>59969</v>
      </c>
      <c r="I29" s="983"/>
      <c r="J29" s="1048"/>
      <c r="K29" s="1048"/>
      <c r="L29" s="1048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5" customHeight="1" thickBot="1">
      <c r="B30" s="110"/>
      <c r="C30" s="157" t="s">
        <v>389</v>
      </c>
      <c r="D30" s="158"/>
      <c r="E30" s="170"/>
      <c r="F30" s="170">
        <f>SUM(F20:F29)</f>
        <v>7268508.1399999997</v>
      </c>
      <c r="G30" s="170">
        <f>SUM(G20:G29)</f>
        <v>2822386.62</v>
      </c>
      <c r="H30" s="170">
        <f>SUM(H20:H29)</f>
        <v>7466627.9499999993</v>
      </c>
      <c r="I30" s="170">
        <f>SUM(I20:I29)</f>
        <v>2822386.62</v>
      </c>
      <c r="J30" s="934"/>
      <c r="K30" s="935"/>
      <c r="L30" s="934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5" customHeight="1">
      <c r="B31" s="96"/>
      <c r="C31" s="1132"/>
      <c r="D31" s="1132"/>
      <c r="E31" s="1132"/>
      <c r="F31" s="1132"/>
      <c r="G31" s="1132"/>
      <c r="H31" s="1132"/>
      <c r="I31" s="1132"/>
      <c r="J31" s="1132"/>
      <c r="K31" s="1132"/>
      <c r="L31" s="1132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5" customHeight="1">
      <c r="B32" s="110"/>
      <c r="C32" s="1133" t="s">
        <v>390</v>
      </c>
      <c r="D32" s="1134"/>
      <c r="E32" s="1135"/>
      <c r="F32" s="513">
        <f>-0.25*F30</f>
        <v>-1817127.0349999999</v>
      </c>
      <c r="G32" s="1059">
        <f>-0.25*G30</f>
        <v>-705596.65500000003</v>
      </c>
      <c r="H32" s="844"/>
      <c r="I32" s="844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5" customHeight="1">
      <c r="B33" s="110"/>
      <c r="C33" s="1136" t="s">
        <v>391</v>
      </c>
      <c r="D33" s="1137"/>
      <c r="E33" s="1138"/>
      <c r="F33" s="514">
        <v>-195508.93</v>
      </c>
      <c r="G33" s="506">
        <v>-506897</v>
      </c>
      <c r="H33" s="844"/>
      <c r="I33" s="844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5" customHeight="1">
      <c r="B34" s="110"/>
      <c r="C34" s="153" t="s">
        <v>392</v>
      </c>
      <c r="D34" s="154"/>
      <c r="E34" s="171"/>
      <c r="F34" s="514">
        <v>48877.23</v>
      </c>
      <c r="G34" s="1051">
        <v>126724.25</v>
      </c>
      <c r="H34" s="844"/>
      <c r="I34" s="844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5" customHeight="1" thickBot="1">
      <c r="B35" s="110"/>
      <c r="C35" s="157" t="s">
        <v>393</v>
      </c>
      <c r="D35" s="158"/>
      <c r="E35" s="170"/>
      <c r="F35" s="170">
        <f>F18+F30+SUM(F32:F34)</f>
        <v>14783834.625</v>
      </c>
      <c r="G35" s="170">
        <f>G18+G30+SUM(G32:G34)</f>
        <v>16520451.845000001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5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5" customHeight="1">
      <c r="B37" s="110"/>
      <c r="C37" s="22" t="s">
        <v>662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45" t="s">
        <v>780</v>
      </c>
      <c r="D38" s="1146"/>
      <c r="E38" s="986"/>
      <c r="F38" s="1149" t="s">
        <v>789</v>
      </c>
      <c r="G38" s="1150"/>
      <c r="H38" s="1149" t="s">
        <v>790</v>
      </c>
      <c r="I38" s="1150"/>
      <c r="J38" s="987"/>
      <c r="K38" s="987"/>
      <c r="L38" s="987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5" customHeight="1">
      <c r="B39" s="110"/>
      <c r="C39" s="1147" t="s">
        <v>781</v>
      </c>
      <c r="D39" s="1148"/>
      <c r="E39" s="994" t="s">
        <v>384</v>
      </c>
      <c r="F39" s="987">
        <f>ejercicio-1</f>
        <v>2017</v>
      </c>
      <c r="G39" s="987">
        <f>ejercicio</f>
        <v>2018</v>
      </c>
      <c r="H39" s="987">
        <f>ejercicio-1</f>
        <v>2017</v>
      </c>
      <c r="I39" s="987">
        <f>ejercicio</f>
        <v>2018</v>
      </c>
      <c r="J39" s="987" t="s">
        <v>386</v>
      </c>
      <c r="K39" s="987" t="s">
        <v>388</v>
      </c>
      <c r="L39" s="987" t="s">
        <v>387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5" customHeight="1">
      <c r="B40" s="110"/>
      <c r="C40" s="1026" t="s">
        <v>863</v>
      </c>
      <c r="D40" s="559"/>
      <c r="E40" s="1027" t="s">
        <v>846</v>
      </c>
      <c r="F40" s="472">
        <v>90000</v>
      </c>
      <c r="G40" s="1059"/>
      <c r="H40" s="979">
        <v>90000</v>
      </c>
      <c r="I40" s="979"/>
      <c r="J40" s="1044"/>
      <c r="K40" s="1044"/>
      <c r="L40" s="1044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5" customHeight="1">
      <c r="B41" s="110"/>
      <c r="C41" s="1034" t="s">
        <v>859</v>
      </c>
      <c r="D41" s="561"/>
      <c r="E41" s="1035" t="s">
        <v>846</v>
      </c>
      <c r="F41" s="483">
        <v>70980.539999999994</v>
      </c>
      <c r="G41" s="1056"/>
      <c r="H41" s="980">
        <v>88000</v>
      </c>
      <c r="I41" s="980"/>
      <c r="J41" s="1045"/>
      <c r="K41" s="1045"/>
      <c r="L41" s="1045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5" customHeight="1">
      <c r="B42" s="110"/>
      <c r="C42" s="1034" t="s">
        <v>860</v>
      </c>
      <c r="D42" s="561"/>
      <c r="E42" s="1035" t="s">
        <v>846</v>
      </c>
      <c r="F42" s="483">
        <f>21846.58+4009.77</f>
        <v>25856.350000000002</v>
      </c>
      <c r="G42" s="1056"/>
      <c r="H42" s="980">
        <v>50000</v>
      </c>
      <c r="I42" s="980"/>
      <c r="J42" s="1044"/>
      <c r="K42" s="1044"/>
      <c r="L42" s="1044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5" customHeight="1">
      <c r="B43" s="110"/>
      <c r="C43" s="1034" t="s">
        <v>861</v>
      </c>
      <c r="D43" s="561"/>
      <c r="E43" s="1035" t="s">
        <v>846</v>
      </c>
      <c r="F43" s="483">
        <v>164684.5</v>
      </c>
      <c r="G43" s="1056"/>
      <c r="H43" s="980">
        <v>307000</v>
      </c>
      <c r="I43" s="980"/>
      <c r="J43" s="1045"/>
      <c r="K43" s="1045"/>
      <c r="L43" s="1045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5" customHeight="1">
      <c r="B44" s="110"/>
      <c r="C44" s="1034" t="s">
        <v>862</v>
      </c>
      <c r="D44" s="561"/>
      <c r="E44" s="1036" t="s">
        <v>846</v>
      </c>
      <c r="F44" s="476">
        <v>140484.70000000001</v>
      </c>
      <c r="G44" s="1060"/>
      <c r="H44" s="981">
        <v>262000</v>
      </c>
      <c r="I44" s="981"/>
      <c r="J44" s="1044"/>
      <c r="K44" s="1044"/>
      <c r="L44" s="1044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5" customHeight="1">
      <c r="B45" s="110"/>
      <c r="C45" s="1034" t="s">
        <v>864</v>
      </c>
      <c r="D45" s="561"/>
      <c r="E45" s="1036" t="s">
        <v>846</v>
      </c>
      <c r="F45" s="476">
        <f>98032.24+149052.56</f>
        <v>247084.79999999999</v>
      </c>
      <c r="G45" s="1060"/>
      <c r="H45" s="981">
        <v>514000</v>
      </c>
      <c r="I45" s="981"/>
      <c r="J45" s="1045"/>
      <c r="K45" s="1045"/>
      <c r="L45" s="1045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5" customHeight="1">
      <c r="B46" s="110"/>
      <c r="C46" s="1061" t="s">
        <v>879</v>
      </c>
      <c r="D46" s="561"/>
      <c r="E46" s="1062" t="s">
        <v>846</v>
      </c>
      <c r="F46" s="476"/>
      <c r="G46" s="1060">
        <v>1271000</v>
      </c>
      <c r="H46" s="981"/>
      <c r="I46" s="981">
        <v>1271000</v>
      </c>
      <c r="J46" s="1045" t="s">
        <v>875</v>
      </c>
      <c r="K46" s="1045" t="s">
        <v>876</v>
      </c>
      <c r="L46" s="1045" t="s">
        <v>878</v>
      </c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5" customHeight="1">
      <c r="B47" s="110"/>
      <c r="C47" s="1034" t="s">
        <v>865</v>
      </c>
      <c r="D47" s="561"/>
      <c r="E47" s="1036" t="s">
        <v>846</v>
      </c>
      <c r="F47" s="476">
        <v>0</v>
      </c>
      <c r="G47" s="506">
        <v>633600</v>
      </c>
      <c r="H47" s="981">
        <v>0</v>
      </c>
      <c r="I47" s="981">
        <v>633600</v>
      </c>
      <c r="J47" s="1044" t="s">
        <v>875</v>
      </c>
      <c r="K47" s="1044" t="s">
        <v>876</v>
      </c>
      <c r="L47" s="1044" t="s">
        <v>878</v>
      </c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2.95" customHeight="1">
      <c r="B48" s="110"/>
      <c r="C48" s="1034" t="s">
        <v>866</v>
      </c>
      <c r="D48" s="561"/>
      <c r="E48" s="1037" t="s">
        <v>846</v>
      </c>
      <c r="F48" s="485">
        <v>164756.04999999999</v>
      </c>
      <c r="G48" s="507">
        <v>310000</v>
      </c>
      <c r="H48" s="982">
        <v>310000</v>
      </c>
      <c r="I48" s="982">
        <v>310000</v>
      </c>
      <c r="J48" s="1045" t="s">
        <v>875</v>
      </c>
      <c r="K48" s="1045" t="s">
        <v>876</v>
      </c>
      <c r="L48" s="1045" t="s">
        <v>878</v>
      </c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8.95" customHeight="1">
      <c r="B49" s="110"/>
      <c r="C49" s="1034" t="s">
        <v>867</v>
      </c>
      <c r="D49" s="561"/>
      <c r="E49" s="1037" t="s">
        <v>846</v>
      </c>
      <c r="F49" s="485">
        <v>161918.26999999999</v>
      </c>
      <c r="G49" s="507">
        <v>350000</v>
      </c>
      <c r="H49" s="982">
        <v>200000</v>
      </c>
      <c r="I49" s="982">
        <v>350000</v>
      </c>
      <c r="J49" s="1044" t="s">
        <v>875</v>
      </c>
      <c r="K49" s="1044" t="s">
        <v>876</v>
      </c>
      <c r="L49" s="1044" t="s">
        <v>878</v>
      </c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8.95" customHeight="1">
      <c r="B50" s="110"/>
      <c r="C50" s="1038" t="s">
        <v>873</v>
      </c>
      <c r="D50" s="563"/>
      <c r="E50" s="1039" t="s">
        <v>846</v>
      </c>
      <c r="F50" s="480">
        <v>59871.75</v>
      </c>
      <c r="G50" s="508"/>
      <c r="H50" s="983">
        <v>59969</v>
      </c>
      <c r="I50" s="982"/>
      <c r="J50" s="1047"/>
      <c r="K50" s="1047"/>
      <c r="L50" s="1047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5" customHeight="1">
      <c r="B51" s="110"/>
      <c r="C51" s="1064" t="s">
        <v>880</v>
      </c>
      <c r="D51" s="563"/>
      <c r="E51" s="1039" t="s">
        <v>846</v>
      </c>
      <c r="F51" s="480"/>
      <c r="G51" s="508">
        <v>500000</v>
      </c>
      <c r="H51" s="983"/>
      <c r="I51" s="983">
        <v>500000</v>
      </c>
      <c r="J51" s="1048" t="s">
        <v>875</v>
      </c>
      <c r="K51" s="1048" t="s">
        <v>876</v>
      </c>
      <c r="L51" s="1048" t="s">
        <v>878</v>
      </c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ht="22.95" customHeight="1" thickBot="1">
      <c r="B52" s="110"/>
      <c r="C52" s="1139" t="s">
        <v>389</v>
      </c>
      <c r="D52" s="1140"/>
      <c r="E52" s="1141"/>
      <c r="F52" s="170">
        <f>SUM(F40:F51)</f>
        <v>1125636.96</v>
      </c>
      <c r="G52" s="170">
        <f>SUM(G40:G51)</f>
        <v>3064600</v>
      </c>
      <c r="H52" s="170">
        <f t="shared" ref="H52:I52" si="0">SUM(H40:H51)</f>
        <v>1880969</v>
      </c>
      <c r="I52" s="170">
        <f t="shared" si="0"/>
        <v>3064600</v>
      </c>
      <c r="J52" s="211"/>
      <c r="K52" s="148"/>
      <c r="L52" s="148"/>
      <c r="M52" s="99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ht="22.95" customHeight="1">
      <c r="B53" s="110"/>
      <c r="C53" s="212"/>
      <c r="D53" s="212"/>
      <c r="E53" s="213"/>
      <c r="F53" s="214"/>
      <c r="G53" s="214"/>
      <c r="H53" s="214"/>
      <c r="I53" s="214"/>
      <c r="J53" s="213"/>
      <c r="K53" s="213"/>
      <c r="L53" s="215"/>
      <c r="M53" s="99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s="108" customFormat="1" ht="30" customHeight="1">
      <c r="B54" s="104"/>
      <c r="C54" s="68" t="s">
        <v>663</v>
      </c>
      <c r="D54" s="22"/>
      <c r="E54" s="89"/>
      <c r="F54" s="89"/>
      <c r="G54" s="89"/>
      <c r="H54" s="89"/>
      <c r="I54" s="89"/>
      <c r="J54" s="89"/>
      <c r="K54" s="89"/>
      <c r="L54" s="89"/>
      <c r="M54" s="107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s="108" customFormat="1" ht="30" customHeight="1">
      <c r="B55" s="104"/>
      <c r="C55" s="1145" t="s">
        <v>780</v>
      </c>
      <c r="D55" s="1146"/>
      <c r="E55" s="986"/>
      <c r="F55" s="1149" t="s">
        <v>791</v>
      </c>
      <c r="G55" s="1150"/>
      <c r="H55" s="1149" t="s">
        <v>792</v>
      </c>
      <c r="I55" s="1150"/>
      <c r="J55" s="987"/>
      <c r="K55" s="987"/>
      <c r="L55" s="987"/>
      <c r="M55" s="107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5" customHeight="1">
      <c r="B56" s="110"/>
      <c r="C56" s="1147" t="s">
        <v>781</v>
      </c>
      <c r="D56" s="1148"/>
      <c r="E56" s="994" t="s">
        <v>384</v>
      </c>
      <c r="F56" s="987">
        <f>ejercicio-1</f>
        <v>2017</v>
      </c>
      <c r="G56" s="987">
        <f>ejercicio</f>
        <v>2018</v>
      </c>
      <c r="H56" s="987">
        <f>ejercicio-1</f>
        <v>2017</v>
      </c>
      <c r="I56" s="987">
        <f>ejercicio</f>
        <v>2018</v>
      </c>
      <c r="J56" s="987" t="s">
        <v>386</v>
      </c>
      <c r="K56" s="987" t="s">
        <v>388</v>
      </c>
      <c r="L56" s="987" t="s">
        <v>387</v>
      </c>
      <c r="M56" s="99"/>
      <c r="O56" s="402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5" customHeight="1">
      <c r="B57" s="110"/>
      <c r="C57" s="1026" t="s">
        <v>845</v>
      </c>
      <c r="D57" s="559"/>
      <c r="E57" s="1027" t="s">
        <v>846</v>
      </c>
      <c r="F57" s="472">
        <v>1066667</v>
      </c>
      <c r="G57" s="503">
        <v>900000</v>
      </c>
      <c r="H57" s="979">
        <v>1066667</v>
      </c>
      <c r="I57" s="979">
        <v>900000</v>
      </c>
      <c r="J57" s="1044" t="s">
        <v>875</v>
      </c>
      <c r="K57" s="1044" t="s">
        <v>876</v>
      </c>
      <c r="L57" s="1044" t="s">
        <v>878</v>
      </c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5" customHeight="1">
      <c r="B58" s="110"/>
      <c r="C58" s="560"/>
      <c r="D58" s="561"/>
      <c r="E58" s="554"/>
      <c r="F58" s="483"/>
      <c r="G58" s="505"/>
      <c r="H58" s="980"/>
      <c r="I58" s="980"/>
      <c r="J58" s="926"/>
      <c r="K58" s="926"/>
      <c r="L58" s="927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5" customHeight="1">
      <c r="B59" s="110"/>
      <c r="C59" s="560"/>
      <c r="D59" s="561"/>
      <c r="E59" s="554"/>
      <c r="F59" s="483"/>
      <c r="G59" s="505"/>
      <c r="H59" s="980"/>
      <c r="I59" s="980"/>
      <c r="J59" s="926"/>
      <c r="K59" s="926"/>
      <c r="L59" s="927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5" customHeight="1">
      <c r="B60" s="110"/>
      <c r="C60" s="560"/>
      <c r="D60" s="561"/>
      <c r="E60" s="554"/>
      <c r="F60" s="483"/>
      <c r="G60" s="505"/>
      <c r="H60" s="980"/>
      <c r="I60" s="980"/>
      <c r="J60" s="926"/>
      <c r="K60" s="926"/>
      <c r="L60" s="927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5" customHeight="1">
      <c r="B61" s="110"/>
      <c r="C61" s="560"/>
      <c r="D61" s="561"/>
      <c r="E61" s="555"/>
      <c r="F61" s="476"/>
      <c r="G61" s="506"/>
      <c r="H61" s="981"/>
      <c r="I61" s="981"/>
      <c r="J61" s="928"/>
      <c r="K61" s="928"/>
      <c r="L61" s="929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5" customHeight="1">
      <c r="B62" s="110"/>
      <c r="C62" s="560"/>
      <c r="D62" s="561"/>
      <c r="E62" s="555"/>
      <c r="F62" s="476"/>
      <c r="G62" s="506"/>
      <c r="H62" s="981"/>
      <c r="I62" s="981"/>
      <c r="J62" s="928"/>
      <c r="K62" s="928"/>
      <c r="L62" s="929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5" customHeight="1">
      <c r="B63" s="110"/>
      <c r="C63" s="560"/>
      <c r="D63" s="561"/>
      <c r="E63" s="555"/>
      <c r="F63" s="476"/>
      <c r="G63" s="506"/>
      <c r="H63" s="981"/>
      <c r="I63" s="981"/>
      <c r="J63" s="928"/>
      <c r="K63" s="928"/>
      <c r="L63" s="929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5" customHeight="1">
      <c r="B64" s="110"/>
      <c r="C64" s="560"/>
      <c r="D64" s="561"/>
      <c r="E64" s="556"/>
      <c r="F64" s="485"/>
      <c r="G64" s="507"/>
      <c r="H64" s="982"/>
      <c r="I64" s="982"/>
      <c r="J64" s="930"/>
      <c r="K64" s="930"/>
      <c r="L64" s="931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5" customHeight="1">
      <c r="B65" s="110"/>
      <c r="C65" s="560"/>
      <c r="D65" s="561"/>
      <c r="E65" s="556"/>
      <c r="F65" s="485"/>
      <c r="G65" s="507"/>
      <c r="H65" s="982"/>
      <c r="I65" s="982"/>
      <c r="J65" s="930"/>
      <c r="K65" s="930"/>
      <c r="L65" s="931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5" customHeight="1">
      <c r="B66" s="110"/>
      <c r="C66" s="562"/>
      <c r="D66" s="563"/>
      <c r="E66" s="557"/>
      <c r="F66" s="480"/>
      <c r="G66" s="508"/>
      <c r="H66" s="983"/>
      <c r="I66" s="983"/>
      <c r="J66" s="932"/>
      <c r="K66" s="932"/>
      <c r="L66" s="933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ht="22.95" customHeight="1" thickBot="1">
      <c r="B67" s="110"/>
      <c r="C67" s="1139" t="s">
        <v>389</v>
      </c>
      <c r="D67" s="1140"/>
      <c r="E67" s="1141"/>
      <c r="F67" s="170">
        <f>SUM(F57:F66)</f>
        <v>1066667</v>
      </c>
      <c r="G67" s="170">
        <f>SUM(G57:G66)</f>
        <v>900000</v>
      </c>
      <c r="H67" s="170">
        <f t="shared" ref="H67:I67" si="1">SUM(H57:H66)</f>
        <v>1066667</v>
      </c>
      <c r="I67" s="170">
        <f t="shared" si="1"/>
        <v>900000</v>
      </c>
      <c r="J67" s="211"/>
      <c r="K67" s="148"/>
      <c r="L67" s="148"/>
      <c r="M67" s="99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5" customHeight="1">
      <c r="B68" s="110"/>
      <c r="C68" s="212"/>
      <c r="D68" s="212"/>
      <c r="E68" s="213"/>
      <c r="F68" s="214"/>
      <c r="G68" s="214"/>
      <c r="H68" s="214"/>
      <c r="I68" s="214"/>
      <c r="J68" s="213"/>
      <c r="K68" s="213"/>
      <c r="L68" s="215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s="108" customFormat="1" ht="30" customHeight="1">
      <c r="B69" s="104"/>
      <c r="C69" s="68" t="s">
        <v>805</v>
      </c>
      <c r="D69" s="22"/>
      <c r="E69" s="89"/>
      <c r="F69" s="89"/>
      <c r="G69" s="89"/>
      <c r="H69" s="89"/>
      <c r="I69" s="89"/>
      <c r="J69" s="89"/>
      <c r="K69" s="89"/>
      <c r="L69" s="89"/>
      <c r="M69" s="107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5" customHeight="1">
      <c r="B70" s="110"/>
      <c r="C70" s="1118" t="s">
        <v>780</v>
      </c>
      <c r="D70" s="1120"/>
      <c r="E70" s="987" t="s">
        <v>384</v>
      </c>
      <c r="F70" s="987">
        <f>ejercicio-1</f>
        <v>2017</v>
      </c>
      <c r="G70" s="987">
        <f>ejercicio</f>
        <v>2018</v>
      </c>
      <c r="H70" s="987" t="s">
        <v>386</v>
      </c>
      <c r="I70" s="987" t="s">
        <v>388</v>
      </c>
      <c r="J70" s="987" t="s">
        <v>387</v>
      </c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5" customHeight="1">
      <c r="B71" s="110"/>
      <c r="C71" s="558"/>
      <c r="D71" s="559"/>
      <c r="E71" s="564"/>
      <c r="F71" s="472"/>
      <c r="G71" s="503"/>
      <c r="H71" s="924"/>
      <c r="I71" s="924"/>
      <c r="J71" s="925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5" customHeight="1">
      <c r="B72" s="110"/>
      <c r="C72" s="560"/>
      <c r="D72" s="561"/>
      <c r="E72" s="554"/>
      <c r="F72" s="483"/>
      <c r="G72" s="505"/>
      <c r="H72" s="926"/>
      <c r="I72" s="926"/>
      <c r="J72" s="927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5" customHeight="1">
      <c r="B73" s="110"/>
      <c r="C73" s="560"/>
      <c r="D73" s="561"/>
      <c r="E73" s="554"/>
      <c r="F73" s="483"/>
      <c r="G73" s="505"/>
      <c r="H73" s="926"/>
      <c r="I73" s="926"/>
      <c r="J73" s="927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5" customHeight="1">
      <c r="B74" s="110"/>
      <c r="C74" s="560"/>
      <c r="D74" s="561"/>
      <c r="E74" s="554"/>
      <c r="F74" s="483"/>
      <c r="G74" s="505"/>
      <c r="H74" s="926"/>
      <c r="I74" s="926"/>
      <c r="J74" s="927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5" customHeight="1">
      <c r="B75" s="110"/>
      <c r="C75" s="560"/>
      <c r="D75" s="561"/>
      <c r="E75" s="555"/>
      <c r="F75" s="476"/>
      <c r="G75" s="506"/>
      <c r="H75" s="928"/>
      <c r="I75" s="928"/>
      <c r="J75" s="929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5" customHeight="1">
      <c r="B76" s="110"/>
      <c r="C76" s="560"/>
      <c r="D76" s="561"/>
      <c r="E76" s="555"/>
      <c r="F76" s="476"/>
      <c r="G76" s="506"/>
      <c r="H76" s="928"/>
      <c r="I76" s="928"/>
      <c r="J76" s="929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5" customHeight="1">
      <c r="B77" s="110"/>
      <c r="C77" s="560"/>
      <c r="D77" s="561"/>
      <c r="E77" s="555"/>
      <c r="F77" s="476"/>
      <c r="G77" s="506"/>
      <c r="H77" s="928"/>
      <c r="I77" s="928"/>
      <c r="J77" s="929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5" customHeight="1">
      <c r="B78" s="110"/>
      <c r="C78" s="560"/>
      <c r="D78" s="561"/>
      <c r="E78" s="556"/>
      <c r="F78" s="485"/>
      <c r="G78" s="507"/>
      <c r="H78" s="930"/>
      <c r="I78" s="930"/>
      <c r="J78" s="931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5" customHeight="1">
      <c r="B79" s="110"/>
      <c r="C79" s="560"/>
      <c r="D79" s="561"/>
      <c r="E79" s="556"/>
      <c r="F79" s="485"/>
      <c r="G79" s="507"/>
      <c r="H79" s="930"/>
      <c r="I79" s="930"/>
      <c r="J79" s="931"/>
      <c r="K79" s="90"/>
      <c r="L79" s="90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5" customHeight="1">
      <c r="B80" s="110"/>
      <c r="C80" s="562"/>
      <c r="D80" s="563"/>
      <c r="E80" s="557"/>
      <c r="F80" s="480"/>
      <c r="G80" s="508"/>
      <c r="H80" s="932"/>
      <c r="I80" s="932"/>
      <c r="J80" s="933"/>
      <c r="K80" s="90"/>
      <c r="L80" s="90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5" customHeight="1" thickBot="1">
      <c r="B81" s="110"/>
      <c r="C81" s="1139" t="s">
        <v>806</v>
      </c>
      <c r="D81" s="1140"/>
      <c r="E81" s="1141"/>
      <c r="F81" s="170">
        <f>SUM(F71:F80)</f>
        <v>0</v>
      </c>
      <c r="G81" s="170">
        <f>SUM(G71:G80)</f>
        <v>0</v>
      </c>
      <c r="H81" s="89"/>
      <c r="I81" s="89"/>
      <c r="J81" s="165"/>
      <c r="K81" s="148"/>
      <c r="L81" s="148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22.95" customHeight="1">
      <c r="B82" s="110"/>
      <c r="C82" s="212"/>
      <c r="D82" s="212"/>
      <c r="E82" s="213"/>
      <c r="F82" s="214"/>
      <c r="G82" s="214"/>
      <c r="H82" s="89"/>
      <c r="I82" s="89"/>
      <c r="J82" s="165"/>
      <c r="K82" s="213"/>
      <c r="L82" s="215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22.95" customHeight="1">
      <c r="B83" s="110"/>
      <c r="C83" s="166" t="s">
        <v>783</v>
      </c>
      <c r="D83" s="164"/>
      <c r="E83" s="165"/>
      <c r="F83" s="165"/>
      <c r="G83" s="165"/>
      <c r="H83" s="89"/>
      <c r="I83" s="89"/>
      <c r="J83" s="165"/>
      <c r="K83" s="165"/>
      <c r="L83" s="89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7.399999999999999">
      <c r="B84" s="110"/>
      <c r="C84" s="972"/>
      <c r="D84" s="972"/>
      <c r="E84" s="973"/>
      <c r="F84" s="973"/>
      <c r="G84" s="973"/>
      <c r="H84" s="973"/>
      <c r="I84" s="973"/>
      <c r="J84" s="973"/>
      <c r="K84" s="973"/>
      <c r="L84" s="974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7.399999999999999">
      <c r="B85" s="110"/>
      <c r="C85" s="975"/>
      <c r="D85" s="975"/>
      <c r="E85" s="976"/>
      <c r="F85" s="976"/>
      <c r="G85" s="976"/>
      <c r="H85" s="976"/>
      <c r="I85" s="976"/>
      <c r="J85" s="976"/>
      <c r="K85" s="976"/>
      <c r="L85" s="977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7.399999999999999">
      <c r="B86" s="110"/>
      <c r="C86" s="975"/>
      <c r="D86" s="975"/>
      <c r="E86" s="976"/>
      <c r="F86" s="976"/>
      <c r="G86" s="976"/>
      <c r="H86" s="976"/>
      <c r="I86" s="976"/>
      <c r="J86" s="976"/>
      <c r="K86" s="976"/>
      <c r="L86" s="977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7.399999999999999">
      <c r="B87" s="110"/>
      <c r="C87" s="975"/>
      <c r="D87" s="975"/>
      <c r="E87" s="976"/>
      <c r="F87" s="976"/>
      <c r="G87" s="976"/>
      <c r="H87" s="976"/>
      <c r="I87" s="976"/>
      <c r="J87" s="976"/>
      <c r="K87" s="976"/>
      <c r="L87" s="977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7.399999999999999">
      <c r="B88" s="110"/>
      <c r="C88" s="975"/>
      <c r="D88" s="975"/>
      <c r="E88" s="976"/>
      <c r="F88" s="976"/>
      <c r="G88" s="976"/>
      <c r="H88" s="976"/>
      <c r="I88" s="976"/>
      <c r="J88" s="976"/>
      <c r="K88" s="976"/>
      <c r="L88" s="977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7.399999999999999">
      <c r="B89" s="110"/>
      <c r="C89" s="975"/>
      <c r="D89" s="975"/>
      <c r="E89" s="976"/>
      <c r="F89" s="976"/>
      <c r="G89" s="976"/>
      <c r="H89" s="976"/>
      <c r="I89" s="976"/>
      <c r="J89" s="976"/>
      <c r="K89" s="976"/>
      <c r="L89" s="977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7.399999999999999">
      <c r="B90" s="110"/>
      <c r="C90" s="975"/>
      <c r="D90" s="975"/>
      <c r="E90" s="976"/>
      <c r="F90" s="976"/>
      <c r="G90" s="976"/>
      <c r="H90" s="976"/>
      <c r="I90" s="976"/>
      <c r="J90" s="976"/>
      <c r="K90" s="976"/>
      <c r="L90" s="977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7.399999999999999">
      <c r="B91" s="110"/>
      <c r="C91" s="975"/>
      <c r="D91" s="975"/>
      <c r="E91" s="976"/>
      <c r="F91" s="976"/>
      <c r="G91" s="976"/>
      <c r="H91" s="976"/>
      <c r="I91" s="976"/>
      <c r="J91" s="976"/>
      <c r="K91" s="976"/>
      <c r="L91" s="977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7.399999999999999">
      <c r="B92" s="110"/>
      <c r="C92" s="975"/>
      <c r="D92" s="975"/>
      <c r="E92" s="976"/>
      <c r="F92" s="976"/>
      <c r="G92" s="976"/>
      <c r="H92" s="976"/>
      <c r="I92" s="976"/>
      <c r="J92" s="976"/>
      <c r="K92" s="976"/>
      <c r="L92" s="977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7.399999999999999">
      <c r="B93" s="110"/>
      <c r="C93" s="975"/>
      <c r="D93" s="975"/>
      <c r="E93" s="976"/>
      <c r="F93" s="976"/>
      <c r="G93" s="976"/>
      <c r="H93" s="976"/>
      <c r="I93" s="976"/>
      <c r="J93" s="976"/>
      <c r="K93" s="976"/>
      <c r="L93" s="977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7.399999999999999">
      <c r="B94" s="110"/>
      <c r="C94" s="999" t="s">
        <v>784</v>
      </c>
      <c r="D94" s="996"/>
      <c r="E94" s="997"/>
      <c r="F94" s="997"/>
      <c r="G94" s="997"/>
      <c r="H94" s="997"/>
      <c r="I94" s="997"/>
      <c r="J94" s="997"/>
      <c r="K94" s="997"/>
      <c r="L94" s="998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7.399999999999999">
      <c r="B95" s="110"/>
      <c r="C95" s="1000" t="s">
        <v>798</v>
      </c>
      <c r="D95" s="996"/>
      <c r="E95" s="997"/>
      <c r="F95" s="997"/>
      <c r="G95" s="997"/>
      <c r="H95" s="997"/>
      <c r="I95" s="997"/>
      <c r="J95" s="997"/>
      <c r="K95" s="997"/>
      <c r="L95" s="998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7.399999999999999">
      <c r="B96" s="110"/>
      <c r="C96" s="1000" t="s">
        <v>796</v>
      </c>
      <c r="D96" s="996"/>
      <c r="E96" s="997"/>
      <c r="F96" s="1001">
        <f>ejercicio-1</f>
        <v>2017</v>
      </c>
      <c r="G96" s="997" t="s">
        <v>797</v>
      </c>
      <c r="H96" s="997"/>
      <c r="I96" s="997"/>
      <c r="J96" s="1001">
        <f>ejercicio</f>
        <v>2018</v>
      </c>
      <c r="K96" s="997"/>
      <c r="L96" s="998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7.399999999999999">
      <c r="B97" s="110"/>
      <c r="C97" s="1000" t="s">
        <v>800</v>
      </c>
      <c r="D97" s="996"/>
      <c r="E97" s="997"/>
      <c r="F97" s="997"/>
      <c r="G97" s="997"/>
      <c r="H97" s="997"/>
      <c r="I97" s="997"/>
      <c r="J97" s="997"/>
      <c r="K97" s="997"/>
      <c r="L97" s="998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7.399999999999999">
      <c r="B98" s="110"/>
      <c r="C98" s="996" t="s">
        <v>799</v>
      </c>
      <c r="D98" s="996"/>
      <c r="E98" s="997"/>
      <c r="F98" s="997"/>
      <c r="G98" s="997"/>
      <c r="H98" s="997"/>
      <c r="I98" s="997"/>
      <c r="J98" s="997"/>
      <c r="K98" s="997"/>
      <c r="L98" s="998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7.399999999999999">
      <c r="B99" s="110"/>
      <c r="C99" s="1000" t="s">
        <v>801</v>
      </c>
      <c r="D99" s="996"/>
      <c r="E99" s="997"/>
      <c r="F99" s="997"/>
      <c r="G99" s="997"/>
      <c r="H99" s="997"/>
      <c r="I99" s="997"/>
      <c r="J99" s="997"/>
      <c r="K99" s="997"/>
      <c r="L99" s="998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7.399999999999999">
      <c r="B100" s="110"/>
      <c r="C100" s="996" t="s">
        <v>787</v>
      </c>
      <c r="D100" s="996"/>
      <c r="E100" s="997"/>
      <c r="F100" s="997"/>
      <c r="G100" s="997"/>
      <c r="H100" s="997"/>
      <c r="I100" s="997"/>
      <c r="J100" s="997"/>
      <c r="K100" s="997"/>
      <c r="L100" s="998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7.399999999999999">
      <c r="B101" s="110"/>
      <c r="C101" s="996" t="s">
        <v>807</v>
      </c>
      <c r="D101" s="996"/>
      <c r="E101" s="997"/>
      <c r="F101" s="997"/>
      <c r="G101" s="997"/>
      <c r="H101" s="997"/>
      <c r="I101" s="997"/>
      <c r="J101" s="997"/>
      <c r="K101" s="997"/>
      <c r="L101" s="998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7.399999999999999">
      <c r="B102" s="110"/>
      <c r="C102" s="996" t="s">
        <v>788</v>
      </c>
      <c r="D102" s="996"/>
      <c r="E102" s="997"/>
      <c r="F102" s="997"/>
      <c r="G102" s="997"/>
      <c r="H102" s="997"/>
      <c r="I102" s="997"/>
      <c r="J102" s="997"/>
      <c r="K102" s="997"/>
      <c r="L102" s="998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7.399999999999999">
      <c r="B103" s="110"/>
      <c r="C103" s="1000" t="s">
        <v>802</v>
      </c>
      <c r="D103" s="996"/>
      <c r="E103" s="997"/>
      <c r="F103" s="997"/>
      <c r="G103" s="997"/>
      <c r="H103" s="997"/>
      <c r="I103" s="997"/>
      <c r="J103" s="997"/>
      <c r="K103" s="997"/>
      <c r="L103" s="998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7.399999999999999">
      <c r="B104" s="110"/>
      <c r="C104" s="1000" t="s">
        <v>809</v>
      </c>
      <c r="D104" s="996"/>
      <c r="E104" s="997"/>
      <c r="F104" s="997"/>
      <c r="G104" s="997"/>
      <c r="H104" s="997"/>
      <c r="I104" s="997"/>
      <c r="J104" s="997"/>
      <c r="K104" s="997"/>
      <c r="L104" s="998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ht="17.399999999999999">
      <c r="B105" s="110"/>
      <c r="C105" s="996" t="s">
        <v>793</v>
      </c>
      <c r="D105" s="996"/>
      <c r="E105" s="997"/>
      <c r="F105" s="997"/>
      <c r="G105" s="997"/>
      <c r="H105" s="997"/>
      <c r="I105" s="997"/>
      <c r="J105" s="997"/>
      <c r="K105" s="997"/>
      <c r="L105" s="998"/>
      <c r="M105" s="99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7.399999999999999">
      <c r="B106" s="110"/>
      <c r="C106" s="1000" t="s">
        <v>803</v>
      </c>
      <c r="D106" s="996"/>
      <c r="E106" s="997"/>
      <c r="F106" s="997"/>
      <c r="G106" s="997"/>
      <c r="H106" s="997"/>
      <c r="I106" s="997"/>
      <c r="J106" s="997"/>
      <c r="K106" s="997"/>
      <c r="L106" s="998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s="1008" customFormat="1" ht="17.399999999999999">
      <c r="B107" s="1002"/>
      <c r="C107" s="1003" t="s">
        <v>808</v>
      </c>
      <c r="D107" s="1004"/>
      <c r="E107" s="1005"/>
      <c r="F107" s="1005"/>
      <c r="G107" s="1005"/>
      <c r="H107" s="1005"/>
      <c r="I107" s="1005"/>
      <c r="J107" s="1005"/>
      <c r="K107" s="1005"/>
      <c r="L107" s="1006"/>
      <c r="M107" s="1007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7.399999999999999">
      <c r="B108" s="110"/>
      <c r="C108" s="996" t="s">
        <v>794</v>
      </c>
      <c r="D108" s="996"/>
      <c r="E108" s="997"/>
      <c r="F108" s="997"/>
      <c r="G108" s="997"/>
      <c r="H108" s="997"/>
      <c r="I108" s="997"/>
      <c r="J108" s="997"/>
      <c r="K108" s="997"/>
      <c r="L108" s="998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17.399999999999999">
      <c r="B109" s="110"/>
      <c r="C109" s="1000" t="s">
        <v>804</v>
      </c>
      <c r="D109" s="996"/>
      <c r="E109" s="997"/>
      <c r="F109" s="997"/>
      <c r="G109" s="997"/>
      <c r="H109" s="997"/>
      <c r="I109" s="997"/>
      <c r="J109" s="997"/>
      <c r="K109" s="997"/>
      <c r="L109" s="998"/>
      <c r="M109" s="99"/>
      <c r="O109" s="402"/>
      <c r="P109" s="404"/>
      <c r="Q109" s="404"/>
      <c r="R109" s="404"/>
      <c r="S109" s="404"/>
      <c r="T109" s="404"/>
      <c r="U109" s="404"/>
      <c r="V109" s="404"/>
      <c r="W109" s="404"/>
      <c r="X109" s="404"/>
      <c r="Y109" s="404"/>
      <c r="Z109" s="404"/>
      <c r="AA109" s="404"/>
      <c r="AB109" s="405"/>
    </row>
    <row r="110" spans="2:28" ht="17.399999999999999">
      <c r="B110" s="110"/>
      <c r="C110" s="996" t="s">
        <v>795</v>
      </c>
      <c r="D110" s="996"/>
      <c r="E110" s="997"/>
      <c r="F110" s="997"/>
      <c r="G110" s="997"/>
      <c r="H110" s="997"/>
      <c r="I110" s="997"/>
      <c r="J110" s="997"/>
      <c r="K110" s="997"/>
      <c r="L110" s="998"/>
      <c r="M110" s="99"/>
      <c r="O110" s="402"/>
      <c r="P110" s="404"/>
      <c r="Q110" s="404"/>
      <c r="R110" s="404"/>
      <c r="S110" s="404"/>
      <c r="T110" s="404"/>
      <c r="U110" s="404"/>
      <c r="V110" s="404"/>
      <c r="W110" s="404"/>
      <c r="X110" s="404"/>
      <c r="Y110" s="404"/>
      <c r="Z110" s="404"/>
      <c r="AA110" s="404"/>
      <c r="AB110" s="405"/>
    </row>
    <row r="111" spans="2:28" ht="22.95" customHeight="1" thickBot="1">
      <c r="B111" s="114"/>
      <c r="C111" s="1086"/>
      <c r="D111" s="1086"/>
      <c r="E111" s="1086"/>
      <c r="F111" s="1086"/>
      <c r="G111" s="57"/>
      <c r="H111" s="978"/>
      <c r="I111" s="978"/>
      <c r="J111" s="57"/>
      <c r="K111" s="57"/>
      <c r="L111" s="115"/>
      <c r="M111" s="116"/>
      <c r="O111" s="418"/>
      <c r="P111" s="419"/>
      <c r="Q111" s="419"/>
      <c r="R111" s="419"/>
      <c r="S111" s="419"/>
      <c r="T111" s="419"/>
      <c r="U111" s="419"/>
      <c r="V111" s="419"/>
      <c r="W111" s="419"/>
      <c r="X111" s="419"/>
      <c r="Y111" s="419"/>
      <c r="Z111" s="419"/>
      <c r="AA111" s="419"/>
      <c r="AB111" s="420"/>
    </row>
    <row r="112" spans="2:28" ht="22.95" customHeight="1">
      <c r="C112" s="97"/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3.2">
      <c r="C113" s="117" t="s">
        <v>77</v>
      </c>
      <c r="D113" s="97"/>
      <c r="E113" s="98"/>
      <c r="F113" s="98"/>
      <c r="G113" s="98"/>
      <c r="H113" s="98"/>
      <c r="I113" s="98"/>
      <c r="J113" s="98"/>
      <c r="K113" s="98"/>
      <c r="L113" s="88" t="s">
        <v>54</v>
      </c>
    </row>
    <row r="114" spans="3:12" ht="13.2">
      <c r="C114" s="118" t="s">
        <v>78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3.2">
      <c r="C115" s="118" t="s">
        <v>79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13.2">
      <c r="C116" s="118" t="s">
        <v>80</v>
      </c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13.2">
      <c r="C117" s="118" t="s">
        <v>81</v>
      </c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5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5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5" customHeight="1">
      <c r="C120" s="97"/>
      <c r="D120" s="97"/>
      <c r="E120" s="98"/>
      <c r="F120" s="98"/>
      <c r="G120" s="98"/>
      <c r="H120" s="98"/>
      <c r="I120" s="98"/>
      <c r="J120" s="98"/>
      <c r="K120" s="98"/>
      <c r="L120" s="98"/>
    </row>
    <row r="121" spans="3:12" ht="22.95" customHeight="1">
      <c r="C121" s="97"/>
      <c r="D121" s="97"/>
      <c r="E121" s="98"/>
      <c r="F121" s="98"/>
      <c r="G121" s="98"/>
      <c r="H121" s="98"/>
      <c r="I121" s="98"/>
      <c r="J121" s="98"/>
      <c r="K121" s="98"/>
      <c r="L121" s="98"/>
    </row>
    <row r="122" spans="3:12" ht="22.95" customHeight="1">
      <c r="F122" s="98"/>
      <c r="G122" s="98"/>
      <c r="H122" s="98"/>
      <c r="I122" s="98"/>
      <c r="J122" s="98"/>
      <c r="K122" s="98"/>
      <c r="L122" s="98"/>
    </row>
  </sheetData>
  <sheetProtection insertRows="0"/>
  <mergeCells count="24">
    <mergeCell ref="C56:D56"/>
    <mergeCell ref="C70:D70"/>
    <mergeCell ref="F38:G38"/>
    <mergeCell ref="H38:I38"/>
    <mergeCell ref="C39:D39"/>
    <mergeCell ref="C55:D55"/>
    <mergeCell ref="F55:G55"/>
    <mergeCell ref="H55:I55"/>
    <mergeCell ref="L6:L7"/>
    <mergeCell ref="D9:L9"/>
    <mergeCell ref="C12:D12"/>
    <mergeCell ref="C31:L31"/>
    <mergeCell ref="C111:F111"/>
    <mergeCell ref="C32:E32"/>
    <mergeCell ref="C33:E33"/>
    <mergeCell ref="C52:E52"/>
    <mergeCell ref="C67:E67"/>
    <mergeCell ref="C81:E81"/>
    <mergeCell ref="C18:E18"/>
    <mergeCell ref="C15:D15"/>
    <mergeCell ref="C16:D16"/>
    <mergeCell ref="F15:G15"/>
    <mergeCell ref="H15:I15"/>
    <mergeCell ref="C38:D3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63" zoomScale="55" zoomScaleNormal="55" zoomScalePageLayoutView="55" workbookViewId="0">
      <selection activeCell="J101" sqref="J101"/>
    </sheetView>
  </sheetViews>
  <sheetFormatPr baseColWidth="10" defaultColWidth="10.81640625" defaultRowHeight="22.95" customHeight="1"/>
  <cols>
    <col min="1" max="2" width="3.1796875" style="90" customWidth="1"/>
    <col min="3" max="3" width="19.1796875" style="90" customWidth="1"/>
    <col min="4" max="4" width="26.54296875" style="90" customWidth="1"/>
    <col min="5" max="6" width="13.453125" style="91" customWidth="1"/>
    <col min="7" max="7" width="20" style="91" customWidth="1"/>
    <col min="8" max="8" width="13.453125" style="91" customWidth="1"/>
    <col min="9" max="9" width="11.1796875" style="91" customWidth="1"/>
    <col min="10" max="10" width="16" style="91" customWidth="1"/>
    <col min="11" max="19" width="15.81640625" style="91" customWidth="1"/>
    <col min="20" max="20" width="3.1796875" style="90" customWidth="1"/>
    <col min="21" max="16384" width="10.81640625" style="90"/>
  </cols>
  <sheetData>
    <row r="2" spans="2:35" ht="22.95" customHeight="1">
      <c r="D2" s="212" t="s">
        <v>321</v>
      </c>
    </row>
    <row r="3" spans="2:35" ht="22.95" customHeight="1">
      <c r="D3" s="212" t="s">
        <v>322</v>
      </c>
    </row>
    <row r="4" spans="2:35" ht="22.95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65">
        <f>ejercicio</f>
        <v>2018</v>
      </c>
      <c r="T6" s="99"/>
      <c r="V6" s="402"/>
      <c r="W6" s="403" t="s">
        <v>643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65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1087"/>
      <c r="O9" s="1087"/>
      <c r="P9" s="1087"/>
      <c r="Q9" s="1087"/>
      <c r="R9" s="1087"/>
      <c r="S9" s="1087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669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27"/>
      <c r="D12" s="1127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5" customHeight="1">
      <c r="B13" s="110"/>
      <c r="C13" s="68" t="s">
        <v>743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416</v>
      </c>
      <c r="D15" s="240" t="s">
        <v>418</v>
      </c>
      <c r="E15" s="193" t="s">
        <v>629</v>
      </c>
      <c r="F15" s="193" t="s">
        <v>629</v>
      </c>
      <c r="G15" s="193" t="s">
        <v>420</v>
      </c>
      <c r="H15" s="193" t="s">
        <v>425</v>
      </c>
      <c r="I15" s="193" t="s">
        <v>427</v>
      </c>
      <c r="J15" s="193" t="s">
        <v>687</v>
      </c>
      <c r="K15" s="193" t="s">
        <v>422</v>
      </c>
      <c r="L15" s="193" t="s">
        <v>631</v>
      </c>
      <c r="M15" s="518" t="s">
        <v>644</v>
      </c>
      <c r="N15" s="193" t="s">
        <v>633</v>
      </c>
      <c r="O15" s="193" t="s">
        <v>632</v>
      </c>
      <c r="P15" s="870" t="s">
        <v>688</v>
      </c>
      <c r="Q15" s="193" t="s">
        <v>631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417</v>
      </c>
      <c r="D16" s="245" t="s">
        <v>417</v>
      </c>
      <c r="E16" s="244" t="s">
        <v>419</v>
      </c>
      <c r="F16" s="244" t="s">
        <v>630</v>
      </c>
      <c r="G16" s="244" t="s">
        <v>421</v>
      </c>
      <c r="H16" s="244" t="s">
        <v>426</v>
      </c>
      <c r="I16" s="244" t="s">
        <v>665</v>
      </c>
      <c r="J16" s="244" t="s">
        <v>737</v>
      </c>
      <c r="K16" s="244" t="s">
        <v>423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5" customHeight="1">
      <c r="B17" s="110"/>
      <c r="C17" s="515"/>
      <c r="D17" s="1030"/>
      <c r="E17" s="1033"/>
      <c r="F17" s="1033"/>
      <c r="G17" s="1031"/>
      <c r="H17" s="577"/>
      <c r="I17" s="1032"/>
      <c r="J17" s="1032"/>
      <c r="K17" s="589"/>
      <c r="L17" s="878"/>
      <c r="M17" s="878"/>
      <c r="N17" s="878"/>
      <c r="O17" s="878"/>
      <c r="P17" s="730"/>
      <c r="Q17" s="585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5" customHeight="1">
      <c r="B18" s="110"/>
      <c r="C18" s="515"/>
      <c r="D18" s="1030"/>
      <c r="E18" s="1033"/>
      <c r="F18" s="1033"/>
      <c r="G18" s="1031"/>
      <c r="H18" s="577"/>
      <c r="I18" s="1032"/>
      <c r="J18" s="1032"/>
      <c r="K18" s="589"/>
      <c r="L18" s="589"/>
      <c r="M18" s="589"/>
      <c r="N18" s="589"/>
      <c r="O18" s="589"/>
      <c r="P18" s="730"/>
      <c r="Q18" s="586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5" customHeight="1">
      <c r="B19" s="110"/>
      <c r="C19" s="515"/>
      <c r="D19" s="1030"/>
      <c r="E19" s="1033"/>
      <c r="F19" s="1033"/>
      <c r="G19" s="1031"/>
      <c r="H19" s="577"/>
      <c r="I19" s="1032"/>
      <c r="J19" s="1032"/>
      <c r="K19" s="589"/>
      <c r="L19" s="589"/>
      <c r="M19" s="589"/>
      <c r="N19" s="589"/>
      <c r="O19" s="589"/>
      <c r="P19" s="730"/>
      <c r="Q19" s="586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5" customHeight="1">
      <c r="B20" s="110"/>
      <c r="C20" s="515"/>
      <c r="D20" s="1030"/>
      <c r="E20" s="1033"/>
      <c r="F20" s="1033"/>
      <c r="G20" s="1031"/>
      <c r="H20" s="577"/>
      <c r="I20" s="1032"/>
      <c r="J20" s="1032"/>
      <c r="K20" s="589"/>
      <c r="L20" s="589"/>
      <c r="M20" s="589"/>
      <c r="N20" s="589"/>
      <c r="O20" s="589"/>
      <c r="P20" s="730"/>
      <c r="Q20" s="586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5" customHeight="1">
      <c r="B21" s="110"/>
      <c r="C21" s="515"/>
      <c r="D21" s="1030"/>
      <c r="E21" s="1033"/>
      <c r="F21" s="1033"/>
      <c r="G21" s="1031"/>
      <c r="H21" s="577"/>
      <c r="I21" s="1032"/>
      <c r="J21" s="1032"/>
      <c r="K21" s="589"/>
      <c r="L21" s="589"/>
      <c r="M21" s="589"/>
      <c r="N21" s="589"/>
      <c r="O21" s="589"/>
      <c r="P21" s="730"/>
      <c r="Q21" s="586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5" customHeight="1">
      <c r="B22" s="110"/>
      <c r="C22" s="515"/>
      <c r="D22" s="1030"/>
      <c r="E22" s="1033"/>
      <c r="F22" s="1033"/>
      <c r="G22" s="1031"/>
      <c r="H22" s="577"/>
      <c r="I22" s="1032"/>
      <c r="J22" s="1032"/>
      <c r="K22" s="589"/>
      <c r="L22" s="589"/>
      <c r="M22" s="589"/>
      <c r="N22" s="589"/>
      <c r="O22" s="589"/>
      <c r="P22" s="730"/>
      <c r="Q22" s="586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5" customHeight="1">
      <c r="B23" s="110"/>
      <c r="C23" s="515"/>
      <c r="D23" s="509"/>
      <c r="E23" s="577"/>
      <c r="F23" s="577"/>
      <c r="G23" s="515"/>
      <c r="H23" s="577"/>
      <c r="I23" s="577"/>
      <c r="J23" s="577"/>
      <c r="K23" s="589"/>
      <c r="L23" s="589"/>
      <c r="M23" s="589"/>
      <c r="N23" s="589"/>
      <c r="O23" s="589"/>
      <c r="P23" s="730"/>
      <c r="Q23" s="586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5" customHeight="1">
      <c r="B24" s="110"/>
      <c r="C24" s="515"/>
      <c r="D24" s="509"/>
      <c r="E24" s="577"/>
      <c r="F24" s="577"/>
      <c r="G24" s="515"/>
      <c r="H24" s="577"/>
      <c r="I24" s="577"/>
      <c r="J24" s="577"/>
      <c r="K24" s="589"/>
      <c r="L24" s="589"/>
      <c r="M24" s="589"/>
      <c r="N24" s="589"/>
      <c r="O24" s="589"/>
      <c r="P24" s="730"/>
      <c r="Q24" s="586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5" customHeight="1">
      <c r="B25" s="110"/>
      <c r="C25" s="515"/>
      <c r="D25" s="509"/>
      <c r="E25" s="577"/>
      <c r="F25" s="577"/>
      <c r="G25" s="515"/>
      <c r="H25" s="577"/>
      <c r="I25" s="577"/>
      <c r="J25" s="577"/>
      <c r="K25" s="589"/>
      <c r="L25" s="589"/>
      <c r="M25" s="589"/>
      <c r="N25" s="589"/>
      <c r="O25" s="589"/>
      <c r="P25" s="730"/>
      <c r="Q25" s="586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5" customHeight="1">
      <c r="B26" s="110"/>
      <c r="C26" s="515"/>
      <c r="D26" s="509"/>
      <c r="E26" s="577"/>
      <c r="F26" s="577"/>
      <c r="G26" s="515"/>
      <c r="H26" s="577"/>
      <c r="I26" s="577"/>
      <c r="J26" s="577"/>
      <c r="K26" s="589"/>
      <c r="L26" s="589"/>
      <c r="M26" s="589"/>
      <c r="N26" s="589"/>
      <c r="O26" s="589"/>
      <c r="P26" s="730"/>
      <c r="Q26" s="586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5" customHeight="1">
      <c r="B27" s="110"/>
      <c r="C27" s="515"/>
      <c r="D27" s="509"/>
      <c r="E27" s="577"/>
      <c r="F27" s="577"/>
      <c r="G27" s="515"/>
      <c r="H27" s="577"/>
      <c r="I27" s="577"/>
      <c r="J27" s="577"/>
      <c r="K27" s="589"/>
      <c r="L27" s="589"/>
      <c r="M27" s="589"/>
      <c r="N27" s="589"/>
      <c r="O27" s="589"/>
      <c r="P27" s="730"/>
      <c r="Q27" s="586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5" customHeight="1">
      <c r="B28" s="110"/>
      <c r="C28" s="515"/>
      <c r="D28" s="509"/>
      <c r="E28" s="577"/>
      <c r="F28" s="577"/>
      <c r="G28" s="515"/>
      <c r="H28" s="577"/>
      <c r="I28" s="577"/>
      <c r="J28" s="577"/>
      <c r="K28" s="589"/>
      <c r="L28" s="589"/>
      <c r="M28" s="589"/>
      <c r="N28" s="589"/>
      <c r="O28" s="589"/>
      <c r="P28" s="730"/>
      <c r="Q28" s="586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5" customHeight="1">
      <c r="B29" s="110"/>
      <c r="C29" s="515"/>
      <c r="D29" s="509"/>
      <c r="E29" s="577"/>
      <c r="F29" s="577"/>
      <c r="G29" s="515"/>
      <c r="H29" s="577"/>
      <c r="I29" s="577"/>
      <c r="J29" s="577"/>
      <c r="K29" s="589"/>
      <c r="L29" s="589"/>
      <c r="M29" s="589"/>
      <c r="N29" s="589"/>
      <c r="O29" s="589"/>
      <c r="P29" s="730"/>
      <c r="Q29" s="586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5" customHeight="1">
      <c r="B30" s="110"/>
      <c r="C30" s="515"/>
      <c r="D30" s="509"/>
      <c r="E30" s="577"/>
      <c r="F30" s="577"/>
      <c r="G30" s="515"/>
      <c r="H30" s="577"/>
      <c r="I30" s="577"/>
      <c r="J30" s="577"/>
      <c r="K30" s="589"/>
      <c r="L30" s="589"/>
      <c r="M30" s="589"/>
      <c r="N30" s="589"/>
      <c r="O30" s="589"/>
      <c r="P30" s="730"/>
      <c r="Q30" s="586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5" customHeight="1">
      <c r="B31" s="110"/>
      <c r="C31" s="515"/>
      <c r="D31" s="509"/>
      <c r="E31" s="577"/>
      <c r="F31" s="577"/>
      <c r="G31" s="515"/>
      <c r="H31" s="577"/>
      <c r="I31" s="577"/>
      <c r="J31" s="577"/>
      <c r="K31" s="589"/>
      <c r="L31" s="589"/>
      <c r="M31" s="589"/>
      <c r="N31" s="589"/>
      <c r="O31" s="589"/>
      <c r="P31" s="730"/>
      <c r="Q31" s="586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5" customHeight="1">
      <c r="B32" s="110"/>
      <c r="C32" s="515"/>
      <c r="D32" s="509"/>
      <c r="E32" s="577"/>
      <c r="F32" s="577"/>
      <c r="G32" s="515"/>
      <c r="H32" s="577"/>
      <c r="I32" s="577"/>
      <c r="J32" s="577"/>
      <c r="K32" s="589"/>
      <c r="L32" s="589"/>
      <c r="M32" s="589"/>
      <c r="N32" s="589"/>
      <c r="O32" s="589"/>
      <c r="P32" s="730"/>
      <c r="Q32" s="586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5" customHeight="1">
      <c r="B33" s="110"/>
      <c r="C33" s="515"/>
      <c r="D33" s="509"/>
      <c r="E33" s="577"/>
      <c r="F33" s="577"/>
      <c r="G33" s="515"/>
      <c r="H33" s="577"/>
      <c r="I33" s="577"/>
      <c r="J33" s="577"/>
      <c r="K33" s="589"/>
      <c r="L33" s="589"/>
      <c r="M33" s="589"/>
      <c r="N33" s="589"/>
      <c r="O33" s="589"/>
      <c r="P33" s="730"/>
      <c r="Q33" s="586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5" customHeight="1">
      <c r="B34" s="110"/>
      <c r="C34" s="515"/>
      <c r="D34" s="509"/>
      <c r="E34" s="577"/>
      <c r="F34" s="577"/>
      <c r="G34" s="515"/>
      <c r="H34" s="577"/>
      <c r="I34" s="577"/>
      <c r="J34" s="577"/>
      <c r="K34" s="589"/>
      <c r="L34" s="589"/>
      <c r="M34" s="589"/>
      <c r="N34" s="589"/>
      <c r="O34" s="589"/>
      <c r="P34" s="730"/>
      <c r="Q34" s="586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5" customHeight="1">
      <c r="B35" s="110"/>
      <c r="C35" s="515"/>
      <c r="D35" s="509"/>
      <c r="E35" s="577"/>
      <c r="F35" s="577"/>
      <c r="G35" s="515"/>
      <c r="H35" s="577"/>
      <c r="I35" s="577"/>
      <c r="J35" s="577"/>
      <c r="K35" s="589"/>
      <c r="L35" s="589"/>
      <c r="M35" s="589"/>
      <c r="N35" s="589"/>
      <c r="O35" s="589"/>
      <c r="P35" s="730"/>
      <c r="Q35" s="586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5" customHeight="1">
      <c r="B36" s="110"/>
      <c r="C36" s="515"/>
      <c r="D36" s="509"/>
      <c r="E36" s="577"/>
      <c r="F36" s="577"/>
      <c r="G36" s="515"/>
      <c r="H36" s="577"/>
      <c r="I36" s="577"/>
      <c r="J36" s="577"/>
      <c r="K36" s="589"/>
      <c r="L36" s="589"/>
      <c r="M36" s="589"/>
      <c r="N36" s="589"/>
      <c r="O36" s="589"/>
      <c r="P36" s="730"/>
      <c r="Q36" s="586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5" customHeight="1">
      <c r="B37" s="110"/>
      <c r="C37" s="515"/>
      <c r="D37" s="509"/>
      <c r="E37" s="577"/>
      <c r="F37" s="577"/>
      <c r="G37" s="515"/>
      <c r="H37" s="577"/>
      <c r="I37" s="577"/>
      <c r="J37" s="577"/>
      <c r="K37" s="589"/>
      <c r="L37" s="589"/>
      <c r="M37" s="589"/>
      <c r="N37" s="589"/>
      <c r="O37" s="589"/>
      <c r="P37" s="730"/>
      <c r="Q37" s="586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5" customHeight="1">
      <c r="B38" s="110"/>
      <c r="C38" s="515"/>
      <c r="D38" s="509"/>
      <c r="E38" s="577"/>
      <c r="F38" s="577"/>
      <c r="G38" s="515"/>
      <c r="H38" s="577"/>
      <c r="I38" s="577"/>
      <c r="J38" s="577"/>
      <c r="K38" s="589"/>
      <c r="L38" s="589"/>
      <c r="M38" s="589"/>
      <c r="N38" s="589"/>
      <c r="O38" s="589"/>
      <c r="P38" s="730"/>
      <c r="Q38" s="586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5" customHeight="1">
      <c r="B39" s="110"/>
      <c r="C39" s="515"/>
      <c r="D39" s="509"/>
      <c r="E39" s="577"/>
      <c r="F39" s="577"/>
      <c r="G39" s="515"/>
      <c r="H39" s="577"/>
      <c r="I39" s="577"/>
      <c r="J39" s="577"/>
      <c r="K39" s="589"/>
      <c r="L39" s="589"/>
      <c r="M39" s="589"/>
      <c r="N39" s="589"/>
      <c r="O39" s="589"/>
      <c r="P39" s="730"/>
      <c r="Q39" s="586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5" customHeight="1">
      <c r="B40" s="110"/>
      <c r="C40" s="515"/>
      <c r="D40" s="510"/>
      <c r="E40" s="578"/>
      <c r="F40" s="578"/>
      <c r="G40" s="516"/>
      <c r="H40" s="578"/>
      <c r="I40" s="578"/>
      <c r="J40" s="578"/>
      <c r="K40" s="590"/>
      <c r="L40" s="590"/>
      <c r="M40" s="590"/>
      <c r="N40" s="590"/>
      <c r="O40" s="590"/>
      <c r="P40" s="731"/>
      <c r="Q40" s="587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5" customHeight="1">
      <c r="B41" s="110"/>
      <c r="C41" s="517"/>
      <c r="D41" s="511"/>
      <c r="E41" s="579"/>
      <c r="F41" s="579"/>
      <c r="G41" s="517"/>
      <c r="H41" s="579"/>
      <c r="I41" s="579"/>
      <c r="J41" s="579"/>
      <c r="K41" s="591"/>
      <c r="L41" s="591"/>
      <c r="M41" s="591"/>
      <c r="N41" s="591"/>
      <c r="O41" s="591"/>
      <c r="P41" s="732"/>
      <c r="Q41" s="588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5" customHeight="1" thickBot="1">
      <c r="B42" s="110"/>
      <c r="C42" s="212"/>
      <c r="D42" s="212"/>
      <c r="E42" s="213"/>
      <c r="F42" s="213"/>
      <c r="G42" s="213"/>
      <c r="H42" s="1151" t="s">
        <v>424</v>
      </c>
      <c r="I42" s="1152"/>
      <c r="J42" s="1153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5" customHeight="1">
      <c r="B43" s="110"/>
      <c r="C43" s="212"/>
      <c r="D43" s="212"/>
      <c r="E43" s="213"/>
      <c r="F43" s="213"/>
      <c r="G43" s="213"/>
      <c r="H43" s="861"/>
      <c r="I43" s="861"/>
      <c r="J43" s="861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5" customHeight="1">
      <c r="B44" s="110"/>
      <c r="C44" s="212"/>
      <c r="D44" s="212"/>
      <c r="E44" s="213"/>
      <c r="F44" s="213"/>
      <c r="G44" s="213"/>
      <c r="H44" s="861"/>
      <c r="I44" s="861"/>
      <c r="J44" s="861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5" customHeight="1">
      <c r="B45" s="110"/>
      <c r="C45" s="68" t="s">
        <v>742</v>
      </c>
      <c r="D45" s="733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5" customHeight="1">
      <c r="B46" s="110"/>
      <c r="C46" s="733"/>
      <c r="D46" s="733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416</v>
      </c>
      <c r="D47" s="240" t="s">
        <v>418</v>
      </c>
      <c r="E47" s="193" t="s">
        <v>629</v>
      </c>
      <c r="F47" s="193" t="s">
        <v>629</v>
      </c>
      <c r="G47" s="193" t="s">
        <v>420</v>
      </c>
      <c r="H47" s="193" t="s">
        <v>425</v>
      </c>
      <c r="I47" s="193" t="s">
        <v>427</v>
      </c>
      <c r="J47" s="193" t="s">
        <v>687</v>
      </c>
      <c r="K47" s="193" t="s">
        <v>422</v>
      </c>
      <c r="L47" s="193" t="s">
        <v>631</v>
      </c>
      <c r="M47" s="518" t="s">
        <v>644</v>
      </c>
      <c r="N47" s="193" t="s">
        <v>633</v>
      </c>
      <c r="O47" s="193" t="s">
        <v>632</v>
      </c>
      <c r="P47" s="870" t="s">
        <v>688</v>
      </c>
      <c r="Q47" s="193" t="s">
        <v>631</v>
      </c>
      <c r="R47" s="1145" t="s">
        <v>741</v>
      </c>
      <c r="S47" s="1146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5" customHeight="1">
      <c r="B48" s="110"/>
      <c r="C48" s="244" t="s">
        <v>417</v>
      </c>
      <c r="D48" s="245" t="s">
        <v>417</v>
      </c>
      <c r="E48" s="244" t="s">
        <v>419</v>
      </c>
      <c r="F48" s="244" t="s">
        <v>630</v>
      </c>
      <c r="G48" s="244" t="s">
        <v>421</v>
      </c>
      <c r="H48" s="244" t="s">
        <v>426</v>
      </c>
      <c r="I48" s="244" t="s">
        <v>665</v>
      </c>
      <c r="J48" s="244" t="s">
        <v>737</v>
      </c>
      <c r="K48" s="244" t="s">
        <v>423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634</v>
      </c>
      <c r="S48" s="394" t="s">
        <v>635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5" customHeight="1">
      <c r="B49" s="110"/>
      <c r="C49" s="515" t="s">
        <v>851</v>
      </c>
      <c r="D49" s="1030" t="s">
        <v>850</v>
      </c>
      <c r="E49" s="1033">
        <v>40932</v>
      </c>
      <c r="F49" s="1033">
        <v>45413</v>
      </c>
      <c r="G49" s="1031" t="s">
        <v>856</v>
      </c>
      <c r="H49" s="1040" t="s">
        <v>874</v>
      </c>
      <c r="I49" s="1032" t="s">
        <v>857</v>
      </c>
      <c r="J49" s="1032" t="s">
        <v>857</v>
      </c>
      <c r="K49" s="589">
        <v>8500000</v>
      </c>
      <c r="L49" s="589">
        <v>5141396.8</v>
      </c>
      <c r="M49" s="878"/>
      <c r="N49" s="878">
        <v>735898.33</v>
      </c>
      <c r="O49" s="878">
        <v>128923.87</v>
      </c>
      <c r="P49" s="730"/>
      <c r="Q49" s="585">
        <f>L49+M49-N49</f>
        <v>4405498.47</v>
      </c>
      <c r="R49" s="938">
        <v>755156.07</v>
      </c>
      <c r="S49" s="939">
        <v>3650342.4</v>
      </c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5" customHeight="1">
      <c r="B50" s="110"/>
      <c r="C50" s="515" t="s">
        <v>852</v>
      </c>
      <c r="D50" s="1030" t="s">
        <v>850</v>
      </c>
      <c r="E50" s="1033">
        <v>40932</v>
      </c>
      <c r="F50" s="1033">
        <v>45413</v>
      </c>
      <c r="G50" s="1031" t="s">
        <v>856</v>
      </c>
      <c r="H50" s="1040" t="s">
        <v>874</v>
      </c>
      <c r="I50" s="1032" t="s">
        <v>857</v>
      </c>
      <c r="J50" s="1032" t="s">
        <v>857</v>
      </c>
      <c r="K50" s="589">
        <v>3000000</v>
      </c>
      <c r="L50" s="589">
        <v>1815252.83</v>
      </c>
      <c r="M50" s="589"/>
      <c r="N50" s="589">
        <v>259820.74</v>
      </c>
      <c r="O50" s="589">
        <v>45518.65</v>
      </c>
      <c r="P50" s="730"/>
      <c r="Q50" s="586">
        <f t="shared" ref="Q50:Q73" si="2">L50+M50-N50</f>
        <v>1555432.09</v>
      </c>
      <c r="R50" s="940">
        <v>266620</v>
      </c>
      <c r="S50" s="941">
        <v>1288812.0900000001</v>
      </c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5" customHeight="1">
      <c r="B51" s="110"/>
      <c r="C51" s="515" t="s">
        <v>853</v>
      </c>
      <c r="D51" s="1030" t="s">
        <v>850</v>
      </c>
      <c r="E51" s="1033">
        <v>40932</v>
      </c>
      <c r="F51" s="1033">
        <v>45597</v>
      </c>
      <c r="G51" s="1031" t="s">
        <v>856</v>
      </c>
      <c r="H51" s="1040" t="s">
        <v>874</v>
      </c>
      <c r="I51" s="1032" t="s">
        <v>857</v>
      </c>
      <c r="J51" s="1032" t="s">
        <v>857</v>
      </c>
      <c r="K51" s="589">
        <v>5992460.2699999996</v>
      </c>
      <c r="L51" s="589">
        <v>3740209.21</v>
      </c>
      <c r="M51" s="589"/>
      <c r="N51" s="589">
        <v>493812.09</v>
      </c>
      <c r="O51" s="589">
        <v>94056.39</v>
      </c>
      <c r="P51" s="730"/>
      <c r="Q51" s="586">
        <f t="shared" si="2"/>
        <v>3246397.12</v>
      </c>
      <c r="R51" s="940">
        <v>506734.66</v>
      </c>
      <c r="S51" s="941">
        <v>2739662.46</v>
      </c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5" customHeight="1">
      <c r="B52" s="110"/>
      <c r="C52" s="515" t="s">
        <v>854</v>
      </c>
      <c r="D52" s="1030" t="s">
        <v>850</v>
      </c>
      <c r="E52" s="1033">
        <v>40319</v>
      </c>
      <c r="F52" s="1033">
        <v>44348</v>
      </c>
      <c r="G52" s="1031" t="s">
        <v>856</v>
      </c>
      <c r="H52" s="1040" t="s">
        <v>874</v>
      </c>
      <c r="I52" s="1032" t="s">
        <v>857</v>
      </c>
      <c r="J52" s="1032" t="s">
        <v>857</v>
      </c>
      <c r="K52" s="589">
        <v>400000</v>
      </c>
      <c r="L52" s="589">
        <v>153600.9</v>
      </c>
      <c r="M52" s="589"/>
      <c r="N52" s="589">
        <v>42659.89</v>
      </c>
      <c r="O52" s="589">
        <v>3017.87</v>
      </c>
      <c r="P52" s="730"/>
      <c r="Q52" s="586">
        <f t="shared" ref="Q52:Q53" si="3">L52+M52-N52</f>
        <v>110941.01</v>
      </c>
      <c r="R52" s="940">
        <v>43629.69</v>
      </c>
      <c r="S52" s="941">
        <v>67311.320000000007</v>
      </c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5" customHeight="1">
      <c r="B53" s="110"/>
      <c r="C53" s="515" t="s">
        <v>855</v>
      </c>
      <c r="D53" s="1030" t="s">
        <v>850</v>
      </c>
      <c r="E53" s="1033">
        <v>38715</v>
      </c>
      <c r="F53" s="1033">
        <v>43488</v>
      </c>
      <c r="G53" s="1031" t="s">
        <v>856</v>
      </c>
      <c r="H53" s="1040" t="s">
        <v>874</v>
      </c>
      <c r="I53" s="1032" t="s">
        <v>857</v>
      </c>
      <c r="J53" s="1032" t="s">
        <v>857</v>
      </c>
      <c r="K53" s="589">
        <v>600000</v>
      </c>
      <c r="L53" s="589">
        <v>8057.51</v>
      </c>
      <c r="M53" s="589"/>
      <c r="N53" s="589">
        <v>7428.38</v>
      </c>
      <c r="O53" s="589">
        <v>141.72</v>
      </c>
      <c r="P53" s="730"/>
      <c r="Q53" s="586">
        <f t="shared" si="3"/>
        <v>629.13000000000011</v>
      </c>
      <c r="R53" s="940">
        <v>629.13</v>
      </c>
      <c r="S53" s="941">
        <v>0</v>
      </c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5" customHeight="1">
      <c r="B54" s="110"/>
      <c r="C54" s="515"/>
      <c r="D54" s="1030"/>
      <c r="E54" s="1033"/>
      <c r="F54" s="1033"/>
      <c r="G54" s="1031"/>
      <c r="H54" s="1040"/>
      <c r="I54" s="1032"/>
      <c r="J54" s="1032"/>
      <c r="K54" s="589"/>
      <c r="L54" s="589"/>
      <c r="M54" s="589"/>
      <c r="N54" s="589"/>
      <c r="O54" s="589"/>
      <c r="P54" s="730"/>
      <c r="Q54" s="586">
        <f t="shared" si="2"/>
        <v>0</v>
      </c>
      <c r="R54" s="940"/>
      <c r="S54" s="941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5" customHeight="1">
      <c r="B55" s="110"/>
      <c r="C55" s="515"/>
      <c r="D55" s="509"/>
      <c r="E55" s="577"/>
      <c r="F55" s="577"/>
      <c r="G55" s="515"/>
      <c r="H55" s="577"/>
      <c r="I55" s="577"/>
      <c r="J55" s="577"/>
      <c r="K55" s="589"/>
      <c r="L55" s="589"/>
      <c r="M55" s="589"/>
      <c r="N55" s="589"/>
      <c r="O55" s="589"/>
      <c r="P55" s="730"/>
      <c r="Q55" s="586">
        <f t="shared" si="2"/>
        <v>0</v>
      </c>
      <c r="R55" s="940"/>
      <c r="S55" s="941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5" customHeight="1">
      <c r="B56" s="110"/>
      <c r="C56" s="515"/>
      <c r="D56" s="509"/>
      <c r="E56" s="577"/>
      <c r="F56" s="577"/>
      <c r="G56" s="515"/>
      <c r="H56" s="577"/>
      <c r="I56" s="577"/>
      <c r="J56" s="577"/>
      <c r="K56" s="589"/>
      <c r="L56" s="589"/>
      <c r="M56" s="589"/>
      <c r="N56" s="589"/>
      <c r="O56" s="589"/>
      <c r="P56" s="730"/>
      <c r="Q56" s="586">
        <f t="shared" si="2"/>
        <v>0</v>
      </c>
      <c r="R56" s="940"/>
      <c r="S56" s="941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5" customHeight="1">
      <c r="B57" s="110"/>
      <c r="C57" s="515"/>
      <c r="D57" s="509"/>
      <c r="E57" s="577"/>
      <c r="F57" s="577"/>
      <c r="G57" s="515"/>
      <c r="H57" s="577"/>
      <c r="I57" s="577"/>
      <c r="J57" s="577"/>
      <c r="K57" s="589"/>
      <c r="L57" s="589"/>
      <c r="M57" s="589"/>
      <c r="N57" s="589"/>
      <c r="O57" s="589"/>
      <c r="P57" s="730"/>
      <c r="Q57" s="586">
        <f t="shared" si="2"/>
        <v>0</v>
      </c>
      <c r="R57" s="940"/>
      <c r="S57" s="941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5" customHeight="1">
      <c r="B58" s="110"/>
      <c r="C58" s="515"/>
      <c r="D58" s="509"/>
      <c r="E58" s="577"/>
      <c r="F58" s="577"/>
      <c r="G58" s="515"/>
      <c r="H58" s="577"/>
      <c r="I58" s="577"/>
      <c r="J58" s="577"/>
      <c r="K58" s="589"/>
      <c r="L58" s="589"/>
      <c r="M58" s="589"/>
      <c r="N58" s="589"/>
      <c r="O58" s="589"/>
      <c r="P58" s="730"/>
      <c r="Q58" s="586">
        <f t="shared" si="2"/>
        <v>0</v>
      </c>
      <c r="R58" s="940"/>
      <c r="S58" s="941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5" customHeight="1">
      <c r="B59" s="110"/>
      <c r="C59" s="515"/>
      <c r="D59" s="509"/>
      <c r="E59" s="577"/>
      <c r="F59" s="577"/>
      <c r="G59" s="515"/>
      <c r="H59" s="577"/>
      <c r="I59" s="577"/>
      <c r="J59" s="577"/>
      <c r="K59" s="589"/>
      <c r="L59" s="589"/>
      <c r="M59" s="589"/>
      <c r="N59" s="589"/>
      <c r="O59" s="589"/>
      <c r="P59" s="730"/>
      <c r="Q59" s="586">
        <f t="shared" si="2"/>
        <v>0</v>
      </c>
      <c r="R59" s="940"/>
      <c r="S59" s="941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5" customHeight="1">
      <c r="B60" s="110"/>
      <c r="C60" s="515"/>
      <c r="D60" s="509"/>
      <c r="E60" s="577"/>
      <c r="F60" s="577"/>
      <c r="G60" s="515"/>
      <c r="H60" s="577"/>
      <c r="I60" s="577"/>
      <c r="J60" s="577"/>
      <c r="K60" s="589"/>
      <c r="L60" s="589"/>
      <c r="M60" s="589"/>
      <c r="N60" s="589"/>
      <c r="O60" s="589"/>
      <c r="P60" s="730"/>
      <c r="Q60" s="586">
        <f t="shared" si="2"/>
        <v>0</v>
      </c>
      <c r="R60" s="940"/>
      <c r="S60" s="941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5" customHeight="1">
      <c r="B61" s="110"/>
      <c r="C61" s="515"/>
      <c r="D61" s="509"/>
      <c r="E61" s="577"/>
      <c r="F61" s="577"/>
      <c r="G61" s="515"/>
      <c r="H61" s="577"/>
      <c r="I61" s="577"/>
      <c r="J61" s="577"/>
      <c r="K61" s="589"/>
      <c r="L61" s="589"/>
      <c r="M61" s="589"/>
      <c r="N61" s="589"/>
      <c r="O61" s="589"/>
      <c r="P61" s="730"/>
      <c r="Q61" s="586">
        <f t="shared" si="2"/>
        <v>0</v>
      </c>
      <c r="R61" s="940"/>
      <c r="S61" s="941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5" customHeight="1">
      <c r="B62" s="110"/>
      <c r="C62" s="515"/>
      <c r="D62" s="509"/>
      <c r="E62" s="577"/>
      <c r="F62" s="577"/>
      <c r="G62" s="515"/>
      <c r="H62" s="577"/>
      <c r="I62" s="577"/>
      <c r="J62" s="577"/>
      <c r="K62" s="589"/>
      <c r="L62" s="589"/>
      <c r="M62" s="589"/>
      <c r="N62" s="589"/>
      <c r="O62" s="589"/>
      <c r="P62" s="730"/>
      <c r="Q62" s="586">
        <f t="shared" si="2"/>
        <v>0</v>
      </c>
      <c r="R62" s="940"/>
      <c r="S62" s="941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5" customHeight="1">
      <c r="B63" s="110"/>
      <c r="C63" s="515"/>
      <c r="D63" s="509"/>
      <c r="E63" s="577"/>
      <c r="F63" s="577"/>
      <c r="G63" s="515"/>
      <c r="H63" s="577"/>
      <c r="I63" s="577"/>
      <c r="J63" s="577"/>
      <c r="K63" s="589"/>
      <c r="L63" s="589"/>
      <c r="M63" s="589"/>
      <c r="N63" s="589"/>
      <c r="O63" s="589"/>
      <c r="P63" s="730"/>
      <c r="Q63" s="586">
        <f t="shared" si="2"/>
        <v>0</v>
      </c>
      <c r="R63" s="940"/>
      <c r="S63" s="941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5" customHeight="1">
      <c r="B64" s="110"/>
      <c r="C64" s="515"/>
      <c r="D64" s="509"/>
      <c r="E64" s="577"/>
      <c r="F64" s="577"/>
      <c r="G64" s="515"/>
      <c r="H64" s="577"/>
      <c r="I64" s="577"/>
      <c r="J64" s="577"/>
      <c r="K64" s="589"/>
      <c r="L64" s="589"/>
      <c r="M64" s="589"/>
      <c r="N64" s="589"/>
      <c r="O64" s="589"/>
      <c r="P64" s="730"/>
      <c r="Q64" s="586">
        <f t="shared" si="2"/>
        <v>0</v>
      </c>
      <c r="R64" s="940"/>
      <c r="S64" s="941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5" customHeight="1">
      <c r="B65" s="110"/>
      <c r="C65" s="515"/>
      <c r="D65" s="509"/>
      <c r="E65" s="577"/>
      <c r="F65" s="577"/>
      <c r="G65" s="515"/>
      <c r="H65" s="577"/>
      <c r="I65" s="577"/>
      <c r="J65" s="577"/>
      <c r="K65" s="589"/>
      <c r="L65" s="589"/>
      <c r="M65" s="589"/>
      <c r="N65" s="589"/>
      <c r="O65" s="589"/>
      <c r="P65" s="730"/>
      <c r="Q65" s="586">
        <f t="shared" si="2"/>
        <v>0</v>
      </c>
      <c r="R65" s="940"/>
      <c r="S65" s="941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5" customHeight="1">
      <c r="B66" s="110"/>
      <c r="C66" s="515"/>
      <c r="D66" s="509"/>
      <c r="E66" s="577"/>
      <c r="F66" s="577"/>
      <c r="G66" s="515"/>
      <c r="H66" s="577"/>
      <c r="I66" s="577"/>
      <c r="J66" s="577"/>
      <c r="K66" s="589"/>
      <c r="L66" s="589"/>
      <c r="M66" s="589"/>
      <c r="N66" s="589"/>
      <c r="O66" s="589"/>
      <c r="P66" s="730"/>
      <c r="Q66" s="586">
        <f t="shared" si="2"/>
        <v>0</v>
      </c>
      <c r="R66" s="940"/>
      <c r="S66" s="941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5" customHeight="1">
      <c r="B67" s="110"/>
      <c r="C67" s="515"/>
      <c r="D67" s="509"/>
      <c r="E67" s="577"/>
      <c r="F67" s="577"/>
      <c r="G67" s="515"/>
      <c r="H67" s="577"/>
      <c r="I67" s="577"/>
      <c r="J67" s="577"/>
      <c r="K67" s="589"/>
      <c r="L67" s="589"/>
      <c r="M67" s="589"/>
      <c r="N67" s="589"/>
      <c r="O67" s="589"/>
      <c r="P67" s="730"/>
      <c r="Q67" s="586">
        <f t="shared" si="2"/>
        <v>0</v>
      </c>
      <c r="R67" s="940"/>
      <c r="S67" s="941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5" customHeight="1">
      <c r="B68" s="110"/>
      <c r="C68" s="515"/>
      <c r="D68" s="509"/>
      <c r="E68" s="577"/>
      <c r="F68" s="577"/>
      <c r="G68" s="515"/>
      <c r="H68" s="577"/>
      <c r="I68" s="577"/>
      <c r="J68" s="577"/>
      <c r="K68" s="589"/>
      <c r="L68" s="589"/>
      <c r="M68" s="589"/>
      <c r="N68" s="589"/>
      <c r="O68" s="589"/>
      <c r="P68" s="730"/>
      <c r="Q68" s="586">
        <f t="shared" si="2"/>
        <v>0</v>
      </c>
      <c r="R68" s="940"/>
      <c r="S68" s="941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5" customHeight="1">
      <c r="B69" s="110"/>
      <c r="C69" s="515"/>
      <c r="D69" s="509"/>
      <c r="E69" s="577"/>
      <c r="F69" s="577"/>
      <c r="G69" s="515"/>
      <c r="H69" s="577"/>
      <c r="I69" s="577"/>
      <c r="J69" s="577"/>
      <c r="K69" s="589"/>
      <c r="L69" s="589"/>
      <c r="M69" s="589"/>
      <c r="N69" s="589"/>
      <c r="O69" s="589"/>
      <c r="P69" s="730"/>
      <c r="Q69" s="586">
        <f t="shared" si="2"/>
        <v>0</v>
      </c>
      <c r="R69" s="940"/>
      <c r="S69" s="941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5" customHeight="1">
      <c r="B70" s="110"/>
      <c r="C70" s="515"/>
      <c r="D70" s="509"/>
      <c r="E70" s="577"/>
      <c r="F70" s="577"/>
      <c r="G70" s="515"/>
      <c r="H70" s="577"/>
      <c r="I70" s="577"/>
      <c r="J70" s="577"/>
      <c r="K70" s="589"/>
      <c r="L70" s="589"/>
      <c r="M70" s="589"/>
      <c r="N70" s="589"/>
      <c r="O70" s="589"/>
      <c r="P70" s="730"/>
      <c r="Q70" s="586">
        <f t="shared" si="2"/>
        <v>0</v>
      </c>
      <c r="R70" s="940"/>
      <c r="S70" s="941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5" customHeight="1">
      <c r="B71" s="110"/>
      <c r="C71" s="515"/>
      <c r="D71" s="509"/>
      <c r="E71" s="577"/>
      <c r="F71" s="577"/>
      <c r="G71" s="515"/>
      <c r="H71" s="577"/>
      <c r="I71" s="577"/>
      <c r="J71" s="577"/>
      <c r="K71" s="589"/>
      <c r="L71" s="589"/>
      <c r="M71" s="589"/>
      <c r="N71" s="589"/>
      <c r="O71" s="589"/>
      <c r="P71" s="730"/>
      <c r="Q71" s="586">
        <f t="shared" si="2"/>
        <v>0</v>
      </c>
      <c r="R71" s="940"/>
      <c r="S71" s="941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5" customHeight="1">
      <c r="B72" s="110"/>
      <c r="C72" s="515"/>
      <c r="D72" s="510"/>
      <c r="E72" s="578"/>
      <c r="F72" s="578"/>
      <c r="G72" s="516"/>
      <c r="H72" s="578"/>
      <c r="I72" s="578"/>
      <c r="J72" s="578"/>
      <c r="K72" s="590"/>
      <c r="L72" s="590"/>
      <c r="M72" s="590"/>
      <c r="N72" s="590"/>
      <c r="O72" s="590"/>
      <c r="P72" s="731"/>
      <c r="Q72" s="587">
        <f t="shared" si="2"/>
        <v>0</v>
      </c>
      <c r="R72" s="940"/>
      <c r="S72" s="941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5" customHeight="1">
      <c r="B73" s="110"/>
      <c r="C73" s="517"/>
      <c r="D73" s="511"/>
      <c r="E73" s="579"/>
      <c r="F73" s="579"/>
      <c r="G73" s="517"/>
      <c r="H73" s="579"/>
      <c r="I73" s="579"/>
      <c r="J73" s="579"/>
      <c r="K73" s="591"/>
      <c r="L73" s="591"/>
      <c r="M73" s="591"/>
      <c r="N73" s="591"/>
      <c r="O73" s="591"/>
      <c r="P73" s="732"/>
      <c r="Q73" s="588">
        <f t="shared" si="2"/>
        <v>0</v>
      </c>
      <c r="R73" s="942"/>
      <c r="S73" s="943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5" customHeight="1" thickBot="1">
      <c r="B74" s="110"/>
      <c r="C74" s="212"/>
      <c r="D74" s="212"/>
      <c r="E74" s="213"/>
      <c r="F74" s="213"/>
      <c r="G74" s="213"/>
      <c r="H74" s="1151" t="s">
        <v>424</v>
      </c>
      <c r="I74" s="1152"/>
      <c r="J74" s="1153"/>
      <c r="K74" s="234">
        <f t="shared" ref="K74:L74" si="4">SUM(K49:K73)</f>
        <v>18492460.27</v>
      </c>
      <c r="L74" s="225">
        <f t="shared" si="4"/>
        <v>10858517.25</v>
      </c>
      <c r="M74" s="233">
        <f>SUM(M49:M73)</f>
        <v>0</v>
      </c>
      <c r="N74" s="233">
        <f t="shared" ref="N74" si="5">SUM(N49:N73)</f>
        <v>1539619.4299999997</v>
      </c>
      <c r="O74" s="234">
        <f>SUM(O49:O73)</f>
        <v>271658.49999999994</v>
      </c>
      <c r="P74" s="234">
        <f>SUM(P49:P73)</f>
        <v>0</v>
      </c>
      <c r="Q74" s="398">
        <f>SUM(Q49:Q73)</f>
        <v>9318897.8200000003</v>
      </c>
      <c r="R74" s="233">
        <f>SUM(R49:R73)</f>
        <v>1572769.5499999998</v>
      </c>
      <c r="S74" s="170">
        <f>SUM(S49:S73)</f>
        <v>7746128.2700000005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5" customHeight="1">
      <c r="B75" s="110"/>
      <c r="C75" s="212"/>
      <c r="D75" s="212"/>
      <c r="E75" s="213"/>
      <c r="F75" s="213"/>
      <c r="G75" s="213"/>
      <c r="H75" s="861"/>
      <c r="I75" s="861"/>
      <c r="J75" s="861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1"/>
      <c r="C76" s="872" t="s">
        <v>354</v>
      </c>
      <c r="D76" s="873"/>
      <c r="E76" s="874"/>
      <c r="F76" s="874"/>
      <c r="G76" s="874"/>
      <c r="H76" s="874"/>
      <c r="I76" s="874"/>
      <c r="J76" s="874"/>
      <c r="K76" s="874"/>
      <c r="L76" s="874"/>
      <c r="M76" s="874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1"/>
      <c r="C77" s="873" t="s">
        <v>759</v>
      </c>
      <c r="D77" s="873"/>
      <c r="E77" s="874"/>
      <c r="F77" s="874"/>
      <c r="G77" s="874"/>
      <c r="H77" s="874"/>
      <c r="I77" s="874"/>
      <c r="J77" s="874"/>
      <c r="K77" s="874"/>
      <c r="L77" s="874"/>
      <c r="M77" s="874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1"/>
      <c r="C78" s="873" t="s">
        <v>760</v>
      </c>
      <c r="D78" s="873"/>
      <c r="E78" s="874"/>
      <c r="F78" s="874"/>
      <c r="G78" s="874"/>
      <c r="H78" s="874"/>
      <c r="I78" s="874"/>
      <c r="J78" s="874"/>
      <c r="K78" s="874"/>
      <c r="L78" s="874"/>
      <c r="M78" s="874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1"/>
      <c r="C79" s="875" t="s">
        <v>738</v>
      </c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1"/>
      <c r="C80" s="238" t="s">
        <v>761</v>
      </c>
      <c r="D80" s="873"/>
      <c r="E80" s="874"/>
      <c r="F80" s="874"/>
      <c r="G80" s="874"/>
      <c r="H80" s="874"/>
      <c r="I80" s="874"/>
      <c r="J80" s="874"/>
      <c r="K80" s="874"/>
      <c r="L80" s="874"/>
      <c r="M80" s="874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1"/>
      <c r="C81" s="876" t="s">
        <v>739</v>
      </c>
      <c r="D81" s="873"/>
      <c r="E81" s="877"/>
      <c r="F81" s="877"/>
      <c r="G81" s="877"/>
      <c r="H81" s="877"/>
      <c r="I81" s="877"/>
      <c r="J81" s="877"/>
      <c r="K81" s="877"/>
      <c r="L81" s="877"/>
      <c r="M81" s="877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1"/>
      <c r="C82" s="876" t="s">
        <v>740</v>
      </c>
      <c r="D82" s="873"/>
      <c r="E82" s="877"/>
      <c r="F82" s="877"/>
      <c r="G82" s="877"/>
      <c r="H82" s="877"/>
      <c r="I82" s="877"/>
      <c r="J82" s="877"/>
      <c r="K82" s="877"/>
      <c r="L82" s="877"/>
      <c r="M82" s="877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1"/>
      <c r="C83" s="876" t="s">
        <v>762</v>
      </c>
      <c r="D83" s="873"/>
      <c r="E83" s="877"/>
      <c r="F83" s="877"/>
      <c r="G83" s="877"/>
      <c r="H83" s="877"/>
      <c r="I83" s="877"/>
      <c r="J83" s="877"/>
      <c r="K83" s="877"/>
      <c r="L83" s="877"/>
      <c r="M83" s="877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5" customHeight="1" thickBot="1">
      <c r="B84" s="114"/>
      <c r="C84" s="1086"/>
      <c r="D84" s="1086"/>
      <c r="E84" s="57"/>
      <c r="F84" s="393"/>
      <c r="G84" s="57"/>
      <c r="H84" s="57"/>
      <c r="I84" s="57"/>
      <c r="J84" s="723"/>
      <c r="K84" s="57"/>
      <c r="L84" s="57"/>
      <c r="M84" s="396"/>
      <c r="N84" s="57"/>
      <c r="O84" s="57"/>
      <c r="P84" s="723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5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3.2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3.2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3.2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3.2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3.2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5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5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5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5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5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28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70" zoomScaleNormal="70" zoomScalePageLayoutView="70" workbookViewId="0">
      <selection activeCell="M23" sqref="M23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14.453125" style="90" customWidth="1"/>
    <col min="5" max="5" width="26.81640625" style="91" customWidth="1"/>
    <col min="6" max="9" width="13.453125" style="91" customWidth="1"/>
    <col min="10" max="10" width="3.1796875" style="90" customWidth="1"/>
    <col min="11" max="16384" width="10.81640625" style="90"/>
  </cols>
  <sheetData>
    <row r="2" spans="2:25" ht="22.95" customHeight="1">
      <c r="D2" s="212" t="s">
        <v>321</v>
      </c>
    </row>
    <row r="3" spans="2:25" ht="22.95" customHeight="1">
      <c r="D3" s="212" t="s">
        <v>322</v>
      </c>
    </row>
    <row r="4" spans="2:25" ht="22.95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65">
        <f>ejercicio</f>
        <v>2018</v>
      </c>
      <c r="J6" s="99"/>
      <c r="L6" s="402"/>
      <c r="M6" s="403" t="s">
        <v>643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65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2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394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27"/>
      <c r="D12" s="1127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2" customHeight="1">
      <c r="B13" s="104"/>
      <c r="C13" s="217"/>
      <c r="D13" s="220"/>
      <c r="E13" s="221"/>
      <c r="F13" s="218" t="s">
        <v>396</v>
      </c>
      <c r="G13" s="1154" t="s">
        <v>401</v>
      </c>
      <c r="H13" s="1155"/>
      <c r="I13" s="1156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2" customHeight="1">
      <c r="B14" s="104"/>
      <c r="C14" s="219"/>
      <c r="D14" s="222"/>
      <c r="E14" s="223"/>
      <c r="F14" s="201" t="s">
        <v>397</v>
      </c>
      <c r="G14" s="218" t="s">
        <v>398</v>
      </c>
      <c r="H14" s="218" t="s">
        <v>399</v>
      </c>
      <c r="I14" s="218" t="s">
        <v>400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2" customHeight="1">
      <c r="B15" s="183"/>
      <c r="C15" s="1157" t="s">
        <v>395</v>
      </c>
      <c r="D15" s="1158"/>
      <c r="E15" s="1159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5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5" customHeight="1" thickBot="1">
      <c r="A17" s="185"/>
      <c r="B17" s="183"/>
      <c r="C17" s="157" t="s">
        <v>402</v>
      </c>
      <c r="D17" s="158"/>
      <c r="E17" s="226"/>
      <c r="F17" s="519"/>
      <c r="G17" s="520"/>
      <c r="H17" s="521"/>
      <c r="I17" s="565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5" customHeight="1" thickBot="1">
      <c r="A19" s="185"/>
      <c r="B19" s="183"/>
      <c r="C19" s="157" t="s">
        <v>290</v>
      </c>
      <c r="D19" s="158"/>
      <c r="E19" s="226"/>
      <c r="F19" s="170">
        <f>SUM(F20:F24)</f>
        <v>7746128.2700000005</v>
      </c>
      <c r="G19" s="224">
        <f t="shared" ref="G19:I19" si="0">SUM(G20:G24)</f>
        <v>4227.5999999999995</v>
      </c>
      <c r="H19" s="225">
        <f t="shared" si="0"/>
        <v>3601.21</v>
      </c>
      <c r="I19" s="233">
        <f t="shared" si="0"/>
        <v>3611.97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5" customHeight="1">
      <c r="B20" s="110"/>
      <c r="C20" s="178" t="s">
        <v>403</v>
      </c>
      <c r="D20" s="179"/>
      <c r="E20" s="181"/>
      <c r="F20" s="505"/>
      <c r="G20" s="522"/>
      <c r="H20" s="484"/>
      <c r="I20" s="566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5" customHeight="1">
      <c r="B21" s="110"/>
      <c r="C21" s="178" t="s">
        <v>404</v>
      </c>
      <c r="D21" s="179"/>
      <c r="E21" s="181"/>
      <c r="F21" s="505">
        <v>7746128.2700000005</v>
      </c>
      <c r="G21" s="522">
        <f>3598.47+629.13</f>
        <v>4227.5999999999995</v>
      </c>
      <c r="H21" s="484">
        <v>3601.21</v>
      </c>
      <c r="I21" s="566">
        <v>3611.97</v>
      </c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5" customHeight="1">
      <c r="B22" s="110"/>
      <c r="C22" s="178" t="s">
        <v>405</v>
      </c>
      <c r="D22" s="179"/>
      <c r="E22" s="181"/>
      <c r="F22" s="505"/>
      <c r="G22" s="522"/>
      <c r="H22" s="484"/>
      <c r="I22" s="566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5" customHeight="1">
      <c r="B23" s="110"/>
      <c r="C23" s="153" t="s">
        <v>406</v>
      </c>
      <c r="D23" s="154"/>
      <c r="E23" s="173"/>
      <c r="F23" s="506"/>
      <c r="G23" s="523"/>
      <c r="H23" s="477"/>
      <c r="I23" s="567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5" customHeight="1">
      <c r="B24" s="110"/>
      <c r="C24" s="155" t="s">
        <v>407</v>
      </c>
      <c r="D24" s="156"/>
      <c r="E24" s="174"/>
      <c r="F24" s="508"/>
      <c r="G24" s="524"/>
      <c r="H24" s="481"/>
      <c r="I24" s="568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5" customHeight="1">
      <c r="B25" s="96"/>
      <c r="C25" s="1132"/>
      <c r="D25" s="1132"/>
      <c r="E25" s="1132"/>
      <c r="F25" s="1132"/>
      <c r="G25" s="1132"/>
      <c r="H25" s="1132"/>
      <c r="I25" s="1132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5" customHeight="1" thickBot="1">
      <c r="A26" s="185"/>
      <c r="B26" s="183"/>
      <c r="C26" s="157" t="s">
        <v>408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5" customHeight="1">
      <c r="B27" s="110"/>
      <c r="C27" s="178" t="s">
        <v>409</v>
      </c>
      <c r="D27" s="179"/>
      <c r="E27" s="181"/>
      <c r="F27" s="505"/>
      <c r="G27" s="569"/>
      <c r="H27" s="570"/>
      <c r="I27" s="566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5" customHeight="1">
      <c r="B28" s="110"/>
      <c r="C28" s="155" t="s">
        <v>410</v>
      </c>
      <c r="D28" s="156"/>
      <c r="E28" s="174"/>
      <c r="F28" s="508"/>
      <c r="G28" s="571"/>
      <c r="H28" s="572"/>
      <c r="I28" s="573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5" customHeight="1">
      <c r="B29" s="96"/>
      <c r="C29" s="1132"/>
      <c r="D29" s="1132"/>
      <c r="E29" s="1132"/>
      <c r="F29" s="1132"/>
      <c r="G29" s="1132"/>
      <c r="H29" s="1132"/>
      <c r="I29" s="1132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5" customHeight="1" thickBot="1">
      <c r="B30" s="110"/>
      <c r="C30" s="157" t="s">
        <v>411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5" customHeight="1">
      <c r="B31" s="110"/>
      <c r="C31" s="178" t="s">
        <v>409</v>
      </c>
      <c r="D31" s="179"/>
      <c r="E31" s="181"/>
      <c r="F31" s="505"/>
      <c r="G31" s="574"/>
      <c r="H31" s="575"/>
      <c r="I31" s="576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5" customHeight="1">
      <c r="B32" s="110"/>
      <c r="C32" s="155" t="s">
        <v>410</v>
      </c>
      <c r="D32" s="156"/>
      <c r="E32" s="174"/>
      <c r="F32" s="508"/>
      <c r="G32" s="571"/>
      <c r="H32" s="572"/>
      <c r="I32" s="573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5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5" customHeight="1">
      <c r="B34" s="110"/>
      <c r="C34" s="166" t="s">
        <v>354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7.399999999999999">
      <c r="B35" s="110"/>
      <c r="C35" s="228" t="s">
        <v>412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5" customHeight="1" thickBot="1">
      <c r="B36" s="114"/>
      <c r="C36" s="1086"/>
      <c r="D36" s="1086"/>
      <c r="E36" s="1086"/>
      <c r="F36" s="1086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5" customHeight="1">
      <c r="C37" s="97"/>
      <c r="D37" s="97"/>
      <c r="E37" s="98"/>
      <c r="F37" s="98"/>
      <c r="G37" s="98"/>
      <c r="H37" s="98"/>
      <c r="I37" s="98"/>
    </row>
    <row r="38" spans="2:25" ht="13.2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3.2">
      <c r="C39" s="118" t="s">
        <v>78</v>
      </c>
      <c r="D39" s="97"/>
      <c r="E39" s="98"/>
      <c r="F39" s="98"/>
      <c r="G39" s="98"/>
      <c r="H39" s="98"/>
      <c r="I39" s="98"/>
    </row>
    <row r="40" spans="2:25" ht="13.2">
      <c r="C40" s="118" t="s">
        <v>79</v>
      </c>
      <c r="D40" s="97"/>
      <c r="E40" s="98"/>
      <c r="F40" s="98"/>
      <c r="G40" s="98"/>
      <c r="H40" s="98"/>
      <c r="I40" s="98"/>
    </row>
    <row r="41" spans="2:25" ht="13.2">
      <c r="C41" s="118" t="s">
        <v>80</v>
      </c>
      <c r="D41" s="97"/>
      <c r="E41" s="98"/>
      <c r="F41" s="98"/>
      <c r="G41" s="98"/>
      <c r="H41" s="98"/>
      <c r="I41" s="98"/>
    </row>
    <row r="42" spans="2:25" ht="13.2">
      <c r="C42" s="118" t="s">
        <v>81</v>
      </c>
      <c r="D42" s="97"/>
      <c r="E42" s="98"/>
      <c r="F42" s="98"/>
      <c r="G42" s="98"/>
      <c r="H42" s="98"/>
      <c r="I42" s="98"/>
    </row>
    <row r="43" spans="2:25" ht="22.95" customHeight="1">
      <c r="C43" s="97"/>
      <c r="D43" s="97"/>
      <c r="E43" s="98"/>
      <c r="F43" s="98"/>
      <c r="G43" s="98"/>
      <c r="H43" s="98"/>
      <c r="I43" s="98"/>
    </row>
    <row r="44" spans="2:25" ht="22.95" customHeight="1">
      <c r="C44" s="97"/>
      <c r="D44" s="97"/>
      <c r="E44" s="98"/>
      <c r="F44" s="98"/>
      <c r="G44" s="98"/>
      <c r="H44" s="98"/>
      <c r="I44" s="98"/>
    </row>
    <row r="45" spans="2:25" ht="22.95" customHeight="1">
      <c r="C45" s="97"/>
      <c r="D45" s="97"/>
      <c r="E45" s="98"/>
      <c r="F45" s="98"/>
      <c r="G45" s="98"/>
      <c r="H45" s="98"/>
      <c r="I45" s="98"/>
    </row>
    <row r="46" spans="2:25" ht="22.95" customHeight="1">
      <c r="C46" s="97"/>
      <c r="D46" s="97"/>
      <c r="E46" s="98"/>
      <c r="F46" s="98"/>
      <c r="G46" s="98"/>
      <c r="H46" s="98"/>
      <c r="I46" s="98"/>
    </row>
    <row r="47" spans="2:25" ht="22.95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70" workbookViewId="0">
      <selection activeCell="G34" sqref="G34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33.453125" style="90" customWidth="1"/>
    <col min="5" max="14" width="13.453125" style="91" customWidth="1"/>
    <col min="15" max="15" width="3.1796875" style="90" customWidth="1"/>
    <col min="16" max="16384" width="10.81640625" style="90"/>
  </cols>
  <sheetData>
    <row r="2" spans="2:30" ht="22.95" customHeight="1">
      <c r="D2" s="212" t="s">
        <v>321</v>
      </c>
    </row>
    <row r="3" spans="2:30" ht="22.95" customHeight="1">
      <c r="D3" s="212" t="s">
        <v>322</v>
      </c>
    </row>
    <row r="4" spans="2:30" ht="22.95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65">
        <f>ejercicio</f>
        <v>2018</v>
      </c>
      <c r="O6" s="99"/>
      <c r="Q6" s="427"/>
      <c r="R6" s="428" t="s">
        <v>643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65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087"/>
      <c r="J9" s="1087"/>
      <c r="K9" s="1087"/>
      <c r="L9" s="1087"/>
      <c r="M9" s="1087"/>
      <c r="N9" s="1087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2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27"/>
      <c r="D12" s="1127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2" customHeight="1">
      <c r="B13" s="104"/>
      <c r="C13" s="217"/>
      <c r="D13" s="220"/>
      <c r="E13" s="1160" t="s">
        <v>413</v>
      </c>
      <c r="F13" s="1161"/>
      <c r="G13" s="1161"/>
      <c r="H13" s="1161"/>
      <c r="I13" s="1161"/>
      <c r="J13" s="1161"/>
      <c r="K13" s="1161"/>
      <c r="L13" s="1161"/>
      <c r="M13" s="1161"/>
      <c r="N13" s="1162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2" customHeight="1">
      <c r="B14" s="183"/>
      <c r="C14" s="1157" t="s">
        <v>395</v>
      </c>
      <c r="D14" s="1158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5" customHeight="1">
      <c r="B15" s="110"/>
      <c r="C15" s="178" t="s">
        <v>403</v>
      </c>
      <c r="D15" s="179"/>
      <c r="E15" s="472"/>
      <c r="F15" s="473"/>
      <c r="G15" s="473"/>
      <c r="H15" s="473"/>
      <c r="I15" s="473"/>
      <c r="J15" s="473"/>
      <c r="K15" s="473"/>
      <c r="L15" s="473"/>
      <c r="M15" s="473"/>
      <c r="N15" s="937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5" customHeight="1">
      <c r="B16" s="110"/>
      <c r="C16" s="178" t="s">
        <v>404</v>
      </c>
      <c r="D16" s="179"/>
      <c r="E16" s="483">
        <v>1539619.43</v>
      </c>
      <c r="F16" s="484">
        <v>1572769.5499999998</v>
      </c>
      <c r="G16" s="484">
        <v>1613131.85</v>
      </c>
      <c r="H16" s="484">
        <v>1632246.4400000002</v>
      </c>
      <c r="I16" s="484">
        <v>1651677.1500000001</v>
      </c>
      <c r="J16" s="484">
        <v>1694899.9</v>
      </c>
      <c r="K16" s="484">
        <v>1154172.9300000002</v>
      </c>
      <c r="L16" s="484"/>
      <c r="M16" s="484"/>
      <c r="N16" s="566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5" customHeight="1">
      <c r="B17" s="110"/>
      <c r="C17" s="178" t="s">
        <v>405</v>
      </c>
      <c r="D17" s="179"/>
      <c r="E17" s="483"/>
      <c r="F17" s="484"/>
      <c r="G17" s="484"/>
      <c r="H17" s="484"/>
      <c r="I17" s="484"/>
      <c r="J17" s="484"/>
      <c r="K17" s="484"/>
      <c r="L17" s="484"/>
      <c r="M17" s="484"/>
      <c r="N17" s="566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5" customHeight="1">
      <c r="B18" s="110"/>
      <c r="C18" s="153" t="s">
        <v>406</v>
      </c>
      <c r="D18" s="154"/>
      <c r="E18" s="476"/>
      <c r="F18" s="477"/>
      <c r="G18" s="477"/>
      <c r="H18" s="477"/>
      <c r="I18" s="477"/>
      <c r="J18" s="477"/>
      <c r="K18" s="477"/>
      <c r="L18" s="477"/>
      <c r="M18" s="477"/>
      <c r="N18" s="567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5" customHeight="1">
      <c r="B19" s="110"/>
      <c r="C19" s="155" t="s">
        <v>407</v>
      </c>
      <c r="D19" s="156"/>
      <c r="E19" s="480"/>
      <c r="F19" s="481"/>
      <c r="G19" s="481"/>
      <c r="H19" s="481"/>
      <c r="I19" s="481"/>
      <c r="J19" s="481"/>
      <c r="K19" s="481"/>
      <c r="L19" s="481"/>
      <c r="M19" s="481"/>
      <c r="N19" s="568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5" customHeight="1" thickBot="1">
      <c r="A20" s="185"/>
      <c r="B20" s="183"/>
      <c r="C20" s="157" t="s">
        <v>415</v>
      </c>
      <c r="D20" s="158"/>
      <c r="E20" s="234">
        <f>SUM(E15:E19)</f>
        <v>1539619.43</v>
      </c>
      <c r="F20" s="225">
        <f t="shared" ref="F20:N20" si="0">SUM(F15:F19)</f>
        <v>1572769.5499999998</v>
      </c>
      <c r="G20" s="225">
        <f t="shared" si="0"/>
        <v>1613131.85</v>
      </c>
      <c r="H20" s="225">
        <f t="shared" si="0"/>
        <v>1632246.4400000002</v>
      </c>
      <c r="I20" s="225">
        <f t="shared" si="0"/>
        <v>1651677.1500000001</v>
      </c>
      <c r="J20" s="225">
        <f t="shared" si="0"/>
        <v>1694899.9</v>
      </c>
      <c r="K20" s="225">
        <f t="shared" si="0"/>
        <v>1154172.9300000002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5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5" customHeight="1">
      <c r="B22" s="110"/>
      <c r="C22" s="166" t="s">
        <v>811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7.399999999999999">
      <c r="B23" s="110"/>
      <c r="C23" s="228" t="s">
        <v>412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5" customHeight="1" thickBot="1">
      <c r="B24" s="114"/>
      <c r="C24" s="1086"/>
      <c r="D24" s="1086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5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3.2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3.2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3.2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3.2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3.2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5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5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5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5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5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70" zoomScaleNormal="70" zoomScalePageLayoutView="70" workbookViewId="0">
      <selection activeCell="R72" sqref="R72"/>
    </sheetView>
  </sheetViews>
  <sheetFormatPr baseColWidth="10" defaultColWidth="10.81640625" defaultRowHeight="22.95" customHeight="1"/>
  <cols>
    <col min="1" max="2" width="3.1796875" style="90" customWidth="1"/>
    <col min="3" max="3" width="5.1796875" style="90" customWidth="1"/>
    <col min="4" max="4" width="18.81640625" style="90" customWidth="1"/>
    <col min="5" max="5" width="13.1796875" style="90" customWidth="1"/>
    <col min="6" max="10" width="18.81640625" style="91" customWidth="1"/>
    <col min="11" max="11" width="3.1796875" style="90" customWidth="1"/>
    <col min="12" max="16384" width="10.81640625" style="90"/>
  </cols>
  <sheetData>
    <row r="2" spans="2:26" ht="22.95" customHeight="1">
      <c r="E2" s="212" t="s">
        <v>321</v>
      </c>
    </row>
    <row r="3" spans="2:26" ht="22.95" customHeight="1">
      <c r="E3" s="212" t="s">
        <v>322</v>
      </c>
    </row>
    <row r="4" spans="2:26" ht="22.95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65">
        <f>ejercicio</f>
        <v>2018</v>
      </c>
      <c r="K6" s="99"/>
      <c r="M6" s="427"/>
      <c r="N6" s="428" t="s">
        <v>643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65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87" t="str">
        <f>Entidad</f>
        <v>PARQUE CIENTÍFICO Y TECNOLÓGICO DE TENERIFE, S.A.</v>
      </c>
      <c r="F9" s="1087"/>
      <c r="G9" s="1087"/>
      <c r="H9" s="1087"/>
      <c r="I9" s="1087"/>
      <c r="J9" s="1087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2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428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27"/>
      <c r="D12" s="1127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5" customHeight="1">
      <c r="B13" s="110"/>
      <c r="C13" s="68" t="s">
        <v>453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2" customHeight="1">
      <c r="B14" s="110"/>
      <c r="C14" s="592" t="s">
        <v>462</v>
      </c>
      <c r="D14" s="593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5" customHeight="1">
      <c r="B15" s="110"/>
      <c r="C15" s="525" t="s">
        <v>619</v>
      </c>
      <c r="D15" s="212" t="s">
        <v>429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5" customHeight="1">
      <c r="B17" s="110"/>
      <c r="C17" s="525"/>
      <c r="D17" s="212" t="s">
        <v>430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99999999999999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5" customHeight="1">
      <c r="B19" s="110"/>
      <c r="C19" s="525"/>
      <c r="D19" s="212" t="s">
        <v>431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5" customHeight="1">
      <c r="B21" s="110"/>
      <c r="C21" s="525"/>
      <c r="D21" s="212" t="s">
        <v>432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5" customHeight="1">
      <c r="B23" s="110"/>
      <c r="C23" s="525"/>
      <c r="D23" s="212" t="s">
        <v>433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5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5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5" customHeight="1">
      <c r="B26" s="110"/>
      <c r="C26" s="68" t="s">
        <v>436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5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5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5" customHeight="1">
      <c r="B30" s="160"/>
      <c r="C30" s="186" t="s">
        <v>434</v>
      </c>
      <c r="D30" s="177"/>
      <c r="E30" s="203"/>
      <c r="F30" s="188">
        <f>E45</f>
        <v>34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5" customHeight="1">
      <c r="B31" s="160"/>
      <c r="C31" s="271" t="s">
        <v>435</v>
      </c>
      <c r="D31" s="272"/>
      <c r="E31" s="273"/>
      <c r="F31" s="188">
        <f>J45+F53</f>
        <v>687726.57000000007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5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5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5" customHeight="1">
      <c r="B34" s="110"/>
      <c r="C34" s="68" t="s">
        <v>437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5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5" customHeight="1">
      <c r="B36" s="239"/>
      <c r="C36" s="256"/>
      <c r="D36" s="259"/>
      <c r="E36" s="240"/>
      <c r="F36" s="1118" t="s">
        <v>456</v>
      </c>
      <c r="G36" s="1119"/>
      <c r="H36" s="1119"/>
      <c r="I36" s="1119"/>
      <c r="J36" s="1120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65" t="s">
        <v>438</v>
      </c>
      <c r="D37" s="1166"/>
      <c r="E37" s="243" t="s">
        <v>445</v>
      </c>
      <c r="F37" s="242" t="s">
        <v>447</v>
      </c>
      <c r="G37" s="242" t="s">
        <v>620</v>
      </c>
      <c r="H37" s="242" t="s">
        <v>450</v>
      </c>
      <c r="I37" s="242" t="s">
        <v>452</v>
      </c>
      <c r="J37" s="252" t="s">
        <v>454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47" t="s">
        <v>62</v>
      </c>
      <c r="D38" s="1148"/>
      <c r="E38" s="245" t="s">
        <v>446</v>
      </c>
      <c r="F38" s="244" t="s">
        <v>448</v>
      </c>
      <c r="G38" s="244" t="s">
        <v>449</v>
      </c>
      <c r="H38" s="244" t="s">
        <v>451</v>
      </c>
      <c r="I38" s="244" t="s">
        <v>455</v>
      </c>
      <c r="J38" s="247" t="s">
        <v>455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5" customHeight="1">
      <c r="B39" s="110"/>
      <c r="C39" s="178" t="s">
        <v>439</v>
      </c>
      <c r="D39" s="262"/>
      <c r="E39" s="581">
        <v>11</v>
      </c>
      <c r="F39" s="580"/>
      <c r="G39" s="580"/>
      <c r="H39" s="580"/>
      <c r="I39" s="580"/>
      <c r="J39" s="594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5" customHeight="1">
      <c r="B40" s="110"/>
      <c r="C40" s="178" t="s">
        <v>440</v>
      </c>
      <c r="D40" s="262"/>
      <c r="E40" s="581">
        <v>1</v>
      </c>
      <c r="F40" s="580">
        <v>81090.42</v>
      </c>
      <c r="G40" s="580"/>
      <c r="H40" s="580"/>
      <c r="I40" s="580">
        <v>3250.08</v>
      </c>
      <c r="J40" s="594">
        <f>SUM(F40:I40)</f>
        <v>84340.5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5" customHeight="1">
      <c r="B41" s="110"/>
      <c r="C41" s="178" t="s">
        <v>441</v>
      </c>
      <c r="D41" s="262"/>
      <c r="E41" s="581">
        <v>2</v>
      </c>
      <c r="F41" s="580">
        <v>81992.12</v>
      </c>
      <c r="G41" s="580"/>
      <c r="H41" s="580"/>
      <c r="I41" s="580"/>
      <c r="J41" s="594">
        <f t="shared" ref="J41:J44" si="0">SUM(F41:I41)</f>
        <v>81992.12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5" customHeight="1">
      <c r="B42" s="110"/>
      <c r="C42" s="178" t="s">
        <v>442</v>
      </c>
      <c r="D42" s="262"/>
      <c r="E42" s="581">
        <v>5</v>
      </c>
      <c r="F42" s="580">
        <v>97220.21</v>
      </c>
      <c r="G42" s="580"/>
      <c r="H42" s="580"/>
      <c r="I42" s="580">
        <v>14837.97</v>
      </c>
      <c r="J42" s="594">
        <f t="shared" si="0"/>
        <v>112058.18000000001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5" customHeight="1">
      <c r="B43" s="110"/>
      <c r="C43" s="178" t="s">
        <v>443</v>
      </c>
      <c r="D43" s="262"/>
      <c r="E43" s="581">
        <v>15</v>
      </c>
      <c r="F43" s="580">
        <v>249812.48000000001</v>
      </c>
      <c r="G43" s="580"/>
      <c r="H43" s="580"/>
      <c r="I43" s="580"/>
      <c r="J43" s="594">
        <f t="shared" si="0"/>
        <v>249812.48000000001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5" customHeight="1">
      <c r="B44" s="110"/>
      <c r="C44" s="155" t="s">
        <v>444</v>
      </c>
      <c r="D44" s="263"/>
      <c r="E44" s="584"/>
      <c r="F44" s="583"/>
      <c r="G44" s="583"/>
      <c r="H44" s="583"/>
      <c r="I44" s="1042"/>
      <c r="J44" s="1043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5" customHeight="1" thickBot="1">
      <c r="B45" s="110"/>
      <c r="C45" s="1163" t="s">
        <v>458</v>
      </c>
      <c r="D45" s="1164"/>
      <c r="E45" s="269">
        <f t="shared" ref="E45:J45" si="1">SUM(E39:E44)</f>
        <v>34</v>
      </c>
      <c r="F45" s="269">
        <f t="shared" si="1"/>
        <v>510115.23</v>
      </c>
      <c r="G45" s="269">
        <f t="shared" si="1"/>
        <v>0</v>
      </c>
      <c r="H45" s="269">
        <f t="shared" si="1"/>
        <v>0</v>
      </c>
      <c r="I45" s="269">
        <f t="shared" si="1"/>
        <v>18088.05</v>
      </c>
      <c r="J45" s="269">
        <f t="shared" si="1"/>
        <v>528203.28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5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5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5" customHeight="1">
      <c r="B48" s="110"/>
      <c r="C48" s="68" t="s">
        <v>457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5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5" customHeight="1">
      <c r="B50" s="110"/>
      <c r="C50" s="1118" t="s">
        <v>395</v>
      </c>
      <c r="D50" s="1119"/>
      <c r="E50" s="1167"/>
      <c r="F50" s="266" t="s">
        <v>422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5" customHeight="1">
      <c r="B51" s="183"/>
      <c r="C51" s="268" t="s">
        <v>459</v>
      </c>
      <c r="D51" s="267"/>
      <c r="E51" s="267"/>
      <c r="F51" s="595">
        <v>6421.52</v>
      </c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5" customHeight="1">
      <c r="B52" s="183"/>
      <c r="C52" s="268" t="s">
        <v>460</v>
      </c>
      <c r="D52" s="267"/>
      <c r="E52" s="267"/>
      <c r="F52" s="595">
        <v>153101.76999999999</v>
      </c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5" customHeight="1" thickBot="1">
      <c r="B53" s="110"/>
      <c r="C53" s="1163" t="s">
        <v>458</v>
      </c>
      <c r="D53" s="1168"/>
      <c r="E53" s="270"/>
      <c r="F53" s="269">
        <f>SUM(F51:F52)</f>
        <v>159523.28999999998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5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5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5" customHeight="1">
      <c r="B56" s="110"/>
      <c r="C56" s="68" t="s">
        <v>461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5" customHeight="1">
      <c r="B57" s="110"/>
      <c r="C57" s="596"/>
      <c r="D57" s="597"/>
      <c r="E57" s="597"/>
      <c r="F57" s="597"/>
      <c r="G57" s="597"/>
      <c r="H57" s="597"/>
      <c r="I57" s="597"/>
      <c r="J57" s="598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5" customHeight="1">
      <c r="B58" s="110"/>
      <c r="C58" s="599"/>
      <c r="D58" s="600"/>
      <c r="E58" s="600"/>
      <c r="F58" s="600"/>
      <c r="G58" s="600"/>
      <c r="H58" s="600"/>
      <c r="I58" s="600"/>
      <c r="J58" s="601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5" customHeight="1">
      <c r="B59" s="110"/>
      <c r="C59" s="599"/>
      <c r="D59" s="600"/>
      <c r="E59" s="600"/>
      <c r="F59" s="600"/>
      <c r="G59" s="600"/>
      <c r="H59" s="600"/>
      <c r="I59" s="600"/>
      <c r="J59" s="601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5" customHeight="1">
      <c r="B60" s="110"/>
      <c r="C60" s="602"/>
      <c r="D60" s="603"/>
      <c r="E60" s="603"/>
      <c r="F60" s="603"/>
      <c r="G60" s="603"/>
      <c r="H60" s="603"/>
      <c r="I60" s="603"/>
      <c r="J60" s="604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5" customHeight="1">
      <c r="B61" s="110"/>
      <c r="C61" s="1009"/>
      <c r="D61" s="1009"/>
      <c r="E61" s="1009"/>
      <c r="F61" s="1009"/>
      <c r="G61" s="1009"/>
      <c r="H61" s="1009"/>
      <c r="I61" s="1009"/>
      <c r="J61" s="1009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5" customHeight="1">
      <c r="B62" s="110"/>
      <c r="C62" s="1010" t="s">
        <v>784</v>
      </c>
      <c r="D62" s="1009"/>
      <c r="E62" s="1009"/>
      <c r="F62" s="1009"/>
      <c r="G62" s="1009"/>
      <c r="H62" s="1009"/>
      <c r="I62" s="1009"/>
      <c r="J62" s="1009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5" customHeight="1">
      <c r="B63" s="110"/>
      <c r="C63" s="1011" t="s">
        <v>810</v>
      </c>
      <c r="D63" s="1009"/>
      <c r="E63" s="1009"/>
      <c r="F63" s="1009"/>
      <c r="G63" s="1009"/>
      <c r="H63" s="1009"/>
      <c r="I63" s="1009"/>
      <c r="J63" s="1009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5" customHeight="1">
      <c r="B64" s="110"/>
      <c r="C64" s="1009"/>
      <c r="D64" s="1009"/>
      <c r="E64" s="1009"/>
      <c r="F64" s="1009"/>
      <c r="G64" s="1009"/>
      <c r="H64" s="1009"/>
      <c r="I64" s="1009"/>
      <c r="J64" s="1009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5" customHeight="1" thickBot="1">
      <c r="B65" s="114"/>
      <c r="C65" s="57"/>
      <c r="D65" s="1086"/>
      <c r="E65" s="1086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5" customHeight="1">
      <c r="D66" s="97"/>
      <c r="E66" s="97"/>
      <c r="F66" s="98"/>
      <c r="G66" s="98"/>
      <c r="H66" s="98"/>
      <c r="I66" s="98"/>
      <c r="J66" s="98"/>
    </row>
    <row r="67" spans="2:26" ht="13.2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3.2">
      <c r="D68" s="118" t="s">
        <v>78</v>
      </c>
      <c r="E68" s="97"/>
      <c r="F68" s="98"/>
      <c r="G68" s="98"/>
      <c r="H68" s="98"/>
      <c r="I68" s="98"/>
      <c r="J68" s="98"/>
    </row>
    <row r="69" spans="2:26" ht="13.2">
      <c r="D69" s="118" t="s">
        <v>79</v>
      </c>
      <c r="E69" s="97"/>
      <c r="F69" s="98"/>
      <c r="G69" s="98"/>
      <c r="H69" s="98"/>
      <c r="I69" s="98"/>
      <c r="J69" s="98"/>
    </row>
    <row r="70" spans="2:26" ht="13.2">
      <c r="D70" s="118" t="s">
        <v>80</v>
      </c>
      <c r="E70" s="97"/>
      <c r="F70" s="98"/>
      <c r="G70" s="98"/>
      <c r="H70" s="98"/>
      <c r="I70" s="98"/>
      <c r="J70" s="98"/>
    </row>
    <row r="71" spans="2:26" ht="13.2">
      <c r="D71" s="118" t="s">
        <v>81</v>
      </c>
      <c r="E71" s="97"/>
      <c r="F71" s="98"/>
      <c r="G71" s="98"/>
      <c r="H71" s="98"/>
      <c r="I71" s="98"/>
      <c r="J71" s="98"/>
    </row>
    <row r="72" spans="2:26" ht="22.95" customHeight="1">
      <c r="D72" s="97"/>
      <c r="E72" s="97"/>
      <c r="F72" s="98"/>
      <c r="G72" s="98"/>
      <c r="H72" s="98"/>
      <c r="I72" s="98"/>
      <c r="J72" s="98"/>
    </row>
    <row r="73" spans="2:26" ht="22.95" customHeight="1">
      <c r="D73" s="97"/>
      <c r="E73" s="97"/>
      <c r="F73" s="98"/>
      <c r="G73" s="98"/>
      <c r="H73" s="98"/>
      <c r="I73" s="98"/>
      <c r="J73" s="98"/>
    </row>
    <row r="74" spans="2:26" ht="22.95" customHeight="1">
      <c r="D74" s="97"/>
      <c r="E74" s="97"/>
      <c r="F74" s="98"/>
      <c r="G74" s="98"/>
      <c r="H74" s="98"/>
      <c r="I74" s="98"/>
      <c r="J74" s="98"/>
    </row>
    <row r="75" spans="2:26" ht="22.95" customHeight="1">
      <c r="D75" s="97"/>
      <c r="E75" s="97"/>
      <c r="F75" s="98"/>
      <c r="G75" s="98"/>
      <c r="H75" s="98"/>
      <c r="I75" s="98"/>
      <c r="J75" s="98"/>
    </row>
    <row r="76" spans="2:26" ht="22.95" customHeight="1">
      <c r="F76" s="98"/>
      <c r="G76" s="98"/>
      <c r="H76" s="98"/>
      <c r="I76" s="98"/>
      <c r="J76" s="98"/>
    </row>
  </sheetData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70" zoomScaleNormal="70" zoomScalePageLayoutView="70" workbookViewId="0">
      <selection activeCell="D90" sqref="D90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66.1796875" style="90" customWidth="1"/>
    <col min="5" max="5" width="14.1796875" style="91" customWidth="1"/>
    <col min="6" max="6" width="2.81640625" style="91" customWidth="1"/>
    <col min="7" max="7" width="79.1796875" style="91" customWidth="1"/>
    <col min="8" max="8" width="14.1796875" style="91" customWidth="1"/>
    <col min="9" max="9" width="3.1796875" style="90" customWidth="1"/>
    <col min="10" max="16384" width="10.81640625" style="90"/>
  </cols>
  <sheetData>
    <row r="2" spans="2:24" ht="22.95" customHeight="1">
      <c r="D2" s="212" t="s">
        <v>321</v>
      </c>
    </row>
    <row r="3" spans="2:24" ht="22.95" customHeight="1">
      <c r="D3" s="212" t="s">
        <v>322</v>
      </c>
    </row>
    <row r="4" spans="2:24" ht="22.95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65">
        <f>ejercicio</f>
        <v>2018</v>
      </c>
      <c r="I6" s="99"/>
      <c r="K6" s="427"/>
      <c r="L6" s="428" t="s">
        <v>643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65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087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2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465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27"/>
      <c r="D12" s="1127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5" customHeight="1">
      <c r="B13" s="110"/>
      <c r="C13" s="1169" t="s">
        <v>466</v>
      </c>
      <c r="D13" s="1170"/>
      <c r="E13" s="1170"/>
      <c r="F13" s="1170"/>
      <c r="G13" s="1170"/>
      <c r="H13" s="1171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5" customHeight="1">
      <c r="B15" s="246"/>
      <c r="C15" s="1118" t="s">
        <v>469</v>
      </c>
      <c r="D15" s="1119"/>
      <c r="E15" s="1120"/>
      <c r="F15" s="146"/>
      <c r="G15" s="1118" t="s">
        <v>470</v>
      </c>
      <c r="H15" s="1120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118" t="s">
        <v>384</v>
      </c>
      <c r="D16" s="1120"/>
      <c r="E16" s="266" t="s">
        <v>422</v>
      </c>
      <c r="F16" s="146"/>
      <c r="G16" s="266" t="s">
        <v>384</v>
      </c>
      <c r="H16" s="250" t="s">
        <v>422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5" customHeight="1">
      <c r="B17" s="110"/>
      <c r="C17" s="280" t="s">
        <v>471</v>
      </c>
      <c r="D17" s="281"/>
      <c r="E17" s="529"/>
      <c r="F17" s="283"/>
      <c r="G17" s="282" t="str">
        <f>C17</f>
        <v>CABILDO INSULAR DE TENERIFE</v>
      </c>
      <c r="H17" s="529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5" customHeight="1">
      <c r="B18" s="110"/>
      <c r="C18" s="284" t="s">
        <v>472</v>
      </c>
      <c r="D18" s="285"/>
      <c r="E18" s="529"/>
      <c r="F18" s="283"/>
      <c r="G18" s="282" t="str">
        <f t="shared" ref="G18:G55" si="0">C18</f>
        <v>O.A. DE MUSEOS Y CENTROS</v>
      </c>
      <c r="H18" s="529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5" customHeight="1">
      <c r="B19" s="110"/>
      <c r="C19" s="284" t="s">
        <v>473</v>
      </c>
      <c r="D19" s="285"/>
      <c r="E19" s="529"/>
      <c r="F19" s="283"/>
      <c r="G19" s="282" t="str">
        <f t="shared" si="0"/>
        <v>O.A. INST. INS. ATENCIÓN SOC. Y SOCIOSAN.</v>
      </c>
      <c r="H19" s="529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5" customHeight="1">
      <c r="B20" s="110"/>
      <c r="C20" s="284" t="s">
        <v>474</v>
      </c>
      <c r="D20" s="285"/>
      <c r="E20" s="529"/>
      <c r="F20" s="283"/>
      <c r="G20" s="282" t="str">
        <f t="shared" si="0"/>
        <v>O.A. PATRONATO INSULAR DE MUSICA</v>
      </c>
      <c r="H20" s="529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5" customHeight="1">
      <c r="B21" s="110"/>
      <c r="C21" s="284" t="s">
        <v>475</v>
      </c>
      <c r="D21" s="285"/>
      <c r="E21" s="529"/>
      <c r="F21" s="283"/>
      <c r="G21" s="282" t="str">
        <f t="shared" si="0"/>
        <v>O.A. CONSEJO INSULAR DE AGUAS</v>
      </c>
      <c r="H21" s="529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5" customHeight="1">
      <c r="B22" s="110"/>
      <c r="C22" s="284" t="s">
        <v>476</v>
      </c>
      <c r="D22" s="285"/>
      <c r="E22" s="529"/>
      <c r="F22" s="283"/>
      <c r="G22" s="282" t="str">
        <f t="shared" si="0"/>
        <v>EPEL. BALSAS DE TENERIFE</v>
      </c>
      <c r="H22" s="529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5" customHeight="1">
      <c r="B23" s="110"/>
      <c r="C23" s="284" t="s">
        <v>778</v>
      </c>
      <c r="D23" s="285"/>
      <c r="E23" s="529"/>
      <c r="F23" s="283"/>
      <c r="G23" s="282" t="str">
        <f t="shared" si="0"/>
        <v>EPEL TEA, TENERFE ESPACIO DE LAS ARTES</v>
      </c>
      <c r="H23" s="529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5" customHeight="1">
      <c r="B24" s="110"/>
      <c r="C24" s="284" t="s">
        <v>477</v>
      </c>
      <c r="D24" s="285"/>
      <c r="E24" s="529"/>
      <c r="F24" s="283"/>
      <c r="G24" s="282" t="str">
        <f t="shared" si="0"/>
        <v>EPEL AGROTEIDE ENTIDAD INSULAR DESARROLLO AGRICOLA Y GANADERO</v>
      </c>
      <c r="H24" s="529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5" customHeight="1">
      <c r="B25" s="110"/>
      <c r="C25" s="284" t="s">
        <v>478</v>
      </c>
      <c r="D25" s="285"/>
      <c r="E25" s="529"/>
      <c r="F25" s="283"/>
      <c r="G25" s="282" t="str">
        <f t="shared" si="0"/>
        <v>CASINO DE TAORO, SA</v>
      </c>
      <c r="H25" s="529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5" customHeight="1">
      <c r="B26" s="110"/>
      <c r="C26" s="284" t="s">
        <v>479</v>
      </c>
      <c r="D26" s="285"/>
      <c r="E26" s="529"/>
      <c r="F26" s="283"/>
      <c r="G26" s="282" t="str">
        <f t="shared" si="0"/>
        <v>CASINO DE PLAYA DE LAS AMÉRICAS, SA</v>
      </c>
      <c r="H26" s="529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5" customHeight="1">
      <c r="B27" s="110"/>
      <c r="C27" s="284" t="s">
        <v>480</v>
      </c>
      <c r="D27" s="285"/>
      <c r="E27" s="529"/>
      <c r="F27" s="283"/>
      <c r="G27" s="282" t="str">
        <f t="shared" si="0"/>
        <v>CASINO DE SANTA CRUZ, SA</v>
      </c>
      <c r="H27" s="529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5" customHeight="1">
      <c r="B28" s="110"/>
      <c r="C28" s="284" t="s">
        <v>481</v>
      </c>
      <c r="D28" s="285"/>
      <c r="E28" s="529"/>
      <c r="F28" s="283"/>
      <c r="G28" s="282" t="str">
        <f t="shared" si="0"/>
        <v>INSTIT.FERIAL DE TENERIFE, SA</v>
      </c>
      <c r="H28" s="529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5" customHeight="1">
      <c r="B29" s="110"/>
      <c r="C29" s="284" t="s">
        <v>482</v>
      </c>
      <c r="D29" s="285"/>
      <c r="E29" s="529"/>
      <c r="F29" s="283"/>
      <c r="G29" s="282" t="str">
        <f t="shared" si="0"/>
        <v>EMPRESA INSULAR DE ARTESANÍA, SA</v>
      </c>
      <c r="H29" s="529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5" customHeight="1">
      <c r="B30" s="110"/>
      <c r="C30" s="284" t="s">
        <v>483</v>
      </c>
      <c r="D30" s="285"/>
      <c r="E30" s="529"/>
      <c r="F30" s="283"/>
      <c r="G30" s="282" t="str">
        <f t="shared" si="0"/>
        <v>SINPROMI.S.L.</v>
      </c>
      <c r="H30" s="529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5" customHeight="1">
      <c r="B31" s="110"/>
      <c r="C31" s="284" t="s">
        <v>484</v>
      </c>
      <c r="D31" s="285"/>
      <c r="E31" s="529"/>
      <c r="F31" s="283"/>
      <c r="G31" s="282" t="str">
        <f t="shared" si="0"/>
        <v>AUDITORIO DE TENERIFE, SA</v>
      </c>
      <c r="H31" s="529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5" customHeight="1">
      <c r="B32" s="110"/>
      <c r="C32" s="284" t="s">
        <v>485</v>
      </c>
      <c r="D32" s="285"/>
      <c r="E32" s="529"/>
      <c r="F32" s="283"/>
      <c r="G32" s="282" t="str">
        <f t="shared" si="0"/>
        <v>GEST. INS. DEPORTE, CULT.Y OCIO, SA (IDECO)</v>
      </c>
      <c r="H32" s="529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5" customHeight="1">
      <c r="B33" s="110"/>
      <c r="C33" s="284" t="s">
        <v>486</v>
      </c>
      <c r="D33" s="285"/>
      <c r="E33" s="529"/>
      <c r="F33" s="283"/>
      <c r="G33" s="282" t="str">
        <f t="shared" si="0"/>
        <v>TITSA</v>
      </c>
      <c r="H33" s="529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5" customHeight="1">
      <c r="B34" s="110"/>
      <c r="C34" s="284" t="s">
        <v>487</v>
      </c>
      <c r="D34" s="285"/>
      <c r="E34" s="529"/>
      <c r="F34" s="283"/>
      <c r="G34" s="282" t="str">
        <f t="shared" si="0"/>
        <v>SPET, TURISMO DE TENERIFE, S.A.</v>
      </c>
      <c r="H34" s="529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5" customHeight="1">
      <c r="B35" s="110"/>
      <c r="C35" s="284" t="s">
        <v>488</v>
      </c>
      <c r="D35" s="285"/>
      <c r="E35" s="529"/>
      <c r="F35" s="283"/>
      <c r="G35" s="282" t="str">
        <f t="shared" si="0"/>
        <v>INSTITUTO MEDICO TINERFEÑO, S.A. (IMETISA)</v>
      </c>
      <c r="H35" s="529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5" customHeight="1">
      <c r="B36" s="110"/>
      <c r="C36" s="284" t="s">
        <v>489</v>
      </c>
      <c r="D36" s="285"/>
      <c r="E36" s="529"/>
      <c r="F36" s="283"/>
      <c r="G36" s="282" t="str">
        <f t="shared" si="0"/>
        <v>METROPOLITANO DE TENERIFE, S.A.</v>
      </c>
      <c r="H36" s="529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5" customHeight="1">
      <c r="B37" s="110"/>
      <c r="C37" s="284" t="s">
        <v>490</v>
      </c>
      <c r="D37" s="285"/>
      <c r="E37" s="529"/>
      <c r="F37" s="283"/>
      <c r="G37" s="282" t="str">
        <f t="shared" si="0"/>
        <v>INST. TECNOL. Y DE ENERGIAS RENOVABLES, S.A. (ITER)</v>
      </c>
      <c r="H37" s="529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5" customHeight="1">
      <c r="B38" s="110"/>
      <c r="C38" s="284" t="s">
        <v>491</v>
      </c>
      <c r="D38" s="285"/>
      <c r="E38" s="529"/>
      <c r="F38" s="283"/>
      <c r="G38" s="282" t="str">
        <f t="shared" si="0"/>
        <v>CULTIVOS Y TECNOLOGÍAS AGRARIAS DE TENERIFE, S.A (CULTESA)</v>
      </c>
      <c r="H38" s="529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5" customHeight="1">
      <c r="B39" s="110"/>
      <c r="C39" s="284" t="s">
        <v>492</v>
      </c>
      <c r="D39" s="285"/>
      <c r="E39" s="529"/>
      <c r="F39" s="283"/>
      <c r="G39" s="282" t="str">
        <f t="shared" si="0"/>
        <v>BUENAVISTA GOLF, S.A.</v>
      </c>
      <c r="H39" s="529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5" customHeight="1">
      <c r="B40" s="110"/>
      <c r="C40" s="284" t="s">
        <v>493</v>
      </c>
      <c r="D40" s="285"/>
      <c r="E40" s="529"/>
      <c r="F40" s="283"/>
      <c r="G40" s="282" t="str">
        <f t="shared" si="0"/>
        <v>PARQUE CIENTÍFICO Y TECNOLÓGICO DE TENERIFE, S.A.</v>
      </c>
      <c r="H40" s="529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5" customHeight="1">
      <c r="B41" s="110"/>
      <c r="C41" s="284" t="s">
        <v>494</v>
      </c>
      <c r="D41" s="285"/>
      <c r="E41" s="529"/>
      <c r="F41" s="283"/>
      <c r="G41" s="282" t="str">
        <f t="shared" si="0"/>
        <v>INSTITUTO TECNOLÓGICO Y DE COMUNICACIONES DE TENERIFE, S.L. (IT3)</v>
      </c>
      <c r="H41" s="529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5" customHeight="1">
      <c r="B42" s="110"/>
      <c r="C42" s="284" t="s">
        <v>495</v>
      </c>
      <c r="D42" s="285"/>
      <c r="E42" s="529"/>
      <c r="F42" s="283"/>
      <c r="G42" s="282" t="str">
        <f t="shared" si="0"/>
        <v>INSTITUTO VULCANOLÓGICO DE CANARIAS S.A.</v>
      </c>
      <c r="H42" s="529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5" customHeight="1">
      <c r="B43" s="110"/>
      <c r="C43" s="284" t="s">
        <v>496</v>
      </c>
      <c r="D43" s="285"/>
      <c r="E43" s="529"/>
      <c r="F43" s="283"/>
      <c r="G43" s="282" t="str">
        <f t="shared" si="0"/>
        <v>CANARIAS SUBMARINE LINK, S.L. (Canalink)</v>
      </c>
      <c r="H43" s="529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5" customHeight="1">
      <c r="B44" s="110"/>
      <c r="C44" s="284" t="s">
        <v>497</v>
      </c>
      <c r="D44" s="285"/>
      <c r="E44" s="529"/>
      <c r="F44" s="283"/>
      <c r="G44" s="282" t="str">
        <f t="shared" si="0"/>
        <v>CANALINK AFRICA, S.L.</v>
      </c>
      <c r="H44" s="529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5" customHeight="1">
      <c r="B45" s="110"/>
      <c r="C45" s="284" t="s">
        <v>498</v>
      </c>
      <c r="D45" s="285"/>
      <c r="E45" s="529"/>
      <c r="F45" s="283"/>
      <c r="G45" s="282" t="str">
        <f t="shared" si="0"/>
        <v>CANALINK BAHARICOM, S.L.</v>
      </c>
      <c r="H45" s="529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5" customHeight="1">
      <c r="B46" s="110"/>
      <c r="C46" s="284" t="s">
        <v>499</v>
      </c>
      <c r="D46" s="285"/>
      <c r="E46" s="529"/>
      <c r="F46" s="283"/>
      <c r="G46" s="282" t="str">
        <f t="shared" si="0"/>
        <v>GESTIÓN INSULAR DE AGUAS DE TENERIFE, S.A. (GESTA)</v>
      </c>
      <c r="H46" s="529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5" customHeight="1">
      <c r="B47" s="110"/>
      <c r="C47" s="284" t="s">
        <v>500</v>
      </c>
      <c r="D47" s="285"/>
      <c r="E47" s="529"/>
      <c r="F47" s="283"/>
      <c r="G47" s="282" t="str">
        <f t="shared" si="0"/>
        <v>FUNDACION TENERIFE RURAL</v>
      </c>
      <c r="H47" s="529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5" customHeight="1">
      <c r="B48" s="110"/>
      <c r="C48" s="284" t="s">
        <v>501</v>
      </c>
      <c r="D48" s="285"/>
      <c r="E48" s="529"/>
      <c r="F48" s="283"/>
      <c r="G48" s="282" t="str">
        <f t="shared" si="0"/>
        <v>FUNDACIÓN  ITB</v>
      </c>
      <c r="H48" s="529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5" customHeight="1">
      <c r="B49" s="110"/>
      <c r="C49" s="284" t="s">
        <v>502</v>
      </c>
      <c r="D49" s="285"/>
      <c r="E49" s="529"/>
      <c r="F49" s="283"/>
      <c r="G49" s="282" t="str">
        <f t="shared" si="0"/>
        <v>FIFEDE</v>
      </c>
      <c r="H49" s="529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5" customHeight="1">
      <c r="B50" s="110"/>
      <c r="C50" s="284" t="s">
        <v>503</v>
      </c>
      <c r="D50" s="285"/>
      <c r="E50" s="529"/>
      <c r="F50" s="283"/>
      <c r="G50" s="282" t="str">
        <f t="shared" si="0"/>
        <v>AGENCIA INSULAR DE LA ENERGIA</v>
      </c>
      <c r="H50" s="529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5" customHeight="1">
      <c r="B51" s="110"/>
      <c r="C51" s="284" t="s">
        <v>504</v>
      </c>
      <c r="D51" s="285"/>
      <c r="E51" s="529"/>
      <c r="F51" s="283"/>
      <c r="G51" s="282" t="str">
        <f t="shared" si="0"/>
        <v>FUNDACIÓN CANARIAS FACTORÍA DE LA INNOVACIÓN TURÍSTICA</v>
      </c>
      <c r="H51" s="529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5" customHeight="1">
      <c r="B52" s="110"/>
      <c r="C52" s="284" t="s">
        <v>505</v>
      </c>
      <c r="D52" s="285"/>
      <c r="E52" s="529"/>
      <c r="F52" s="283"/>
      <c r="G52" s="282" t="str">
        <f t="shared" si="0"/>
        <v>CONSORCIO PREVENSIÓN, EXTINCIÓN INCENDIOS Y SALVAMENTO DE LA ISLA DE TENERIFE</v>
      </c>
      <c r="H52" s="529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5" customHeight="1">
      <c r="B53" s="110"/>
      <c r="C53" s="284" t="s">
        <v>506</v>
      </c>
      <c r="D53" s="285"/>
      <c r="E53" s="529"/>
      <c r="F53" s="283"/>
      <c r="G53" s="282" t="str">
        <f t="shared" si="0"/>
        <v>CONSORCIO DE TRIBUTOS DE LA ISLA DE TENERIFE</v>
      </c>
      <c r="H53" s="529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5" customHeight="1">
      <c r="B54" s="110"/>
      <c r="C54" s="284" t="s">
        <v>507</v>
      </c>
      <c r="D54" s="285"/>
      <c r="E54" s="529"/>
      <c r="F54" s="283"/>
      <c r="G54" s="282" t="str">
        <f t="shared" si="0"/>
        <v>CONSORCIO ISLA BAJA</v>
      </c>
      <c r="H54" s="529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5" customHeight="1">
      <c r="B55" s="110"/>
      <c r="C55" s="286" t="s">
        <v>508</v>
      </c>
      <c r="D55" s="287"/>
      <c r="E55" s="530"/>
      <c r="F55" s="283"/>
      <c r="G55" s="282" t="str">
        <f t="shared" si="0"/>
        <v>CONSORCIO URBANÍSTICO PARA LA REHABILITACIÓN DEL PTO. DE LA CRUZ</v>
      </c>
      <c r="H55" s="530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5" customHeight="1" thickBot="1">
      <c r="B56" s="183"/>
      <c r="C56" s="1151" t="s">
        <v>424</v>
      </c>
      <c r="D56" s="1153"/>
      <c r="E56" s="170">
        <f>SUM(E17:E55)</f>
        <v>0</v>
      </c>
      <c r="F56" s="146"/>
      <c r="G56" s="216" t="s">
        <v>424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5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5" customHeight="1">
      <c r="B58" s="110"/>
      <c r="C58" s="1169" t="s">
        <v>779</v>
      </c>
      <c r="D58" s="1170"/>
      <c r="E58" s="1170"/>
      <c r="F58" s="1170"/>
      <c r="G58" s="1170"/>
      <c r="H58" s="1171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5" customHeight="1">
      <c r="B60" s="110"/>
      <c r="C60" s="1169" t="s">
        <v>466</v>
      </c>
      <c r="D60" s="1170"/>
      <c r="E60" s="1170"/>
      <c r="F60" s="1170"/>
      <c r="G60" s="1170"/>
      <c r="H60" s="1171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5" customHeight="1">
      <c r="B62" s="110"/>
      <c r="C62" s="1118" t="s">
        <v>469</v>
      </c>
      <c r="D62" s="1119"/>
      <c r="E62" s="1120"/>
      <c r="F62" s="146"/>
      <c r="G62" s="1118" t="s">
        <v>470</v>
      </c>
      <c r="H62" s="1120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5" customHeight="1">
      <c r="B63" s="110"/>
      <c r="C63" s="1118" t="s">
        <v>384</v>
      </c>
      <c r="D63" s="1120"/>
      <c r="E63" s="266" t="s">
        <v>422</v>
      </c>
      <c r="F63" s="146"/>
      <c r="G63" s="266" t="s">
        <v>384</v>
      </c>
      <c r="H63" s="250" t="s">
        <v>422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5" customHeight="1">
      <c r="B64" s="110"/>
      <c r="C64" s="280" t="s">
        <v>509</v>
      </c>
      <c r="D64" s="281"/>
      <c r="E64" s="529"/>
      <c r="F64" s="283"/>
      <c r="G64" s="282" t="str">
        <f>C64</f>
        <v>A.M.C. POLÍGONO INDUSTRIAL DE GÜIMAR</v>
      </c>
      <c r="H64" s="529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5" customHeight="1">
      <c r="B65" s="110"/>
      <c r="C65" s="284" t="s">
        <v>510</v>
      </c>
      <c r="D65" s="285"/>
      <c r="E65" s="529"/>
      <c r="F65" s="283"/>
      <c r="G65" s="282" t="str">
        <f t="shared" ref="G65:G68" si="1">C65</f>
        <v>MERCATENERIFE, S.A.</v>
      </c>
      <c r="H65" s="529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5" customHeight="1">
      <c r="B66" s="110"/>
      <c r="C66" s="284" t="s">
        <v>511</v>
      </c>
      <c r="D66" s="285"/>
      <c r="E66" s="529"/>
      <c r="F66" s="283"/>
      <c r="G66" s="282" t="str">
        <f t="shared" si="1"/>
        <v>POLÍGONO INDUSTRIAL DE GRANADILLA-PARQUE TECNOLÓGICO DE TENERIFE, S.A.</v>
      </c>
      <c r="H66" s="529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5" customHeight="1">
      <c r="B67" s="110"/>
      <c r="C67" s="284" t="s">
        <v>512</v>
      </c>
      <c r="D67" s="285"/>
      <c r="E67" s="529"/>
      <c r="F67" s="283"/>
      <c r="G67" s="282" t="str">
        <f t="shared" si="1"/>
        <v>PARQUES EÓLICOS DE GRANADILLA, A.I.E.</v>
      </c>
      <c r="H67" s="529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5" customHeight="1">
      <c r="B68" s="110"/>
      <c r="C68" s="284" t="s">
        <v>513</v>
      </c>
      <c r="D68" s="285"/>
      <c r="E68" s="529"/>
      <c r="F68" s="283"/>
      <c r="G68" s="282" t="str">
        <f t="shared" si="1"/>
        <v>EÓLICAS DE TENERIFE, A.I.E.</v>
      </c>
      <c r="H68" s="529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5" customHeight="1" thickBot="1">
      <c r="B69" s="183"/>
      <c r="C69" s="1151" t="s">
        <v>424</v>
      </c>
      <c r="D69" s="1153"/>
      <c r="E69" s="170">
        <f>SUM(E64:E68)</f>
        <v>0</v>
      </c>
      <c r="F69" s="146"/>
      <c r="G69" s="216" t="s">
        <v>424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5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5" customHeight="1">
      <c r="B71" s="110"/>
      <c r="C71" s="166" t="s">
        <v>354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2" customHeight="1">
      <c r="B72" s="110"/>
      <c r="C72" s="164" t="s">
        <v>514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2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2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5" customHeight="1" thickBot="1">
      <c r="B75" s="114"/>
      <c r="C75" s="1086"/>
      <c r="D75" s="1086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5" customHeight="1">
      <c r="C76" s="97"/>
      <c r="D76" s="97"/>
      <c r="E76" s="98"/>
      <c r="F76" s="98"/>
      <c r="G76" s="98"/>
      <c r="H76" s="98"/>
    </row>
    <row r="77" spans="2:24" ht="13.2">
      <c r="C77" s="117" t="s">
        <v>77</v>
      </c>
      <c r="D77" s="97"/>
      <c r="E77" s="98"/>
      <c r="F77" s="98"/>
      <c r="G77" s="98"/>
      <c r="H77" s="88" t="s">
        <v>463</v>
      </c>
    </row>
    <row r="78" spans="2:24" ht="13.2">
      <c r="C78" s="118" t="s">
        <v>78</v>
      </c>
      <c r="D78" s="97"/>
      <c r="E78" s="98"/>
      <c r="F78" s="98"/>
      <c r="G78" s="98"/>
      <c r="H78" s="98"/>
    </row>
    <row r="79" spans="2:24" ht="13.2">
      <c r="C79" s="118" t="s">
        <v>79</v>
      </c>
      <c r="D79" s="97"/>
      <c r="E79" s="98"/>
      <c r="F79" s="98"/>
      <c r="G79" s="98"/>
      <c r="H79" s="98"/>
    </row>
    <row r="80" spans="2:24" ht="13.2">
      <c r="C80" s="118" t="s">
        <v>80</v>
      </c>
      <c r="D80" s="97"/>
      <c r="E80" s="98"/>
      <c r="F80" s="98"/>
      <c r="G80" s="98"/>
      <c r="H80" s="98"/>
    </row>
    <row r="81" spans="3:8" ht="13.2">
      <c r="C81" s="118" t="s">
        <v>81</v>
      </c>
      <c r="D81" s="97"/>
      <c r="E81" s="98"/>
      <c r="F81" s="98"/>
      <c r="G81" s="98"/>
      <c r="H81" s="98"/>
    </row>
    <row r="82" spans="3:8" ht="22.95" customHeight="1">
      <c r="C82" s="97"/>
      <c r="D82" s="97"/>
      <c r="E82" s="98"/>
      <c r="F82" s="98"/>
      <c r="G82" s="98"/>
      <c r="H82" s="98"/>
    </row>
    <row r="83" spans="3:8" ht="22.95" customHeight="1">
      <c r="C83" s="97"/>
      <c r="D83" s="97"/>
      <c r="E83" s="98"/>
      <c r="F83" s="98"/>
      <c r="G83" s="98"/>
      <c r="H83" s="98"/>
    </row>
    <row r="84" spans="3:8" ht="22.95" customHeight="1">
      <c r="C84" s="97"/>
      <c r="D84" s="97"/>
      <c r="E84" s="98"/>
      <c r="F84" s="98"/>
      <c r="G84" s="98"/>
      <c r="H84" s="98"/>
    </row>
    <row r="85" spans="3:8" ht="22.95" customHeight="1">
      <c r="C85" s="97"/>
      <c r="D85" s="97"/>
      <c r="E85" s="98"/>
      <c r="F85" s="98"/>
      <c r="G85" s="98"/>
      <c r="H85" s="98"/>
    </row>
    <row r="86" spans="3:8" ht="22.95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topLeftCell="A20" zoomScale="70" zoomScaleNormal="70" zoomScalePageLayoutView="70" workbookViewId="0">
      <selection activeCell="D50" sqref="D50"/>
    </sheetView>
  </sheetViews>
  <sheetFormatPr baseColWidth="10" defaultColWidth="10.81640625" defaultRowHeight="22.95" customHeight="1"/>
  <cols>
    <col min="1" max="2" width="3.1796875" style="90" customWidth="1"/>
    <col min="3" max="3" width="13.54296875" style="90" customWidth="1"/>
    <col min="4" max="4" width="99.54296875" style="90" customWidth="1"/>
    <col min="5" max="7" width="17.81640625" style="91" customWidth="1"/>
    <col min="8" max="8" width="3.1796875" style="90" customWidth="1"/>
    <col min="9" max="16384" width="10.81640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65">
        <f>ejercicio</f>
        <v>2018</v>
      </c>
      <c r="H6" s="99"/>
      <c r="J6" s="427"/>
      <c r="K6" s="428" t="s">
        <v>643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65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2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515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27"/>
      <c r="D12" s="1127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 t="s">
        <v>516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193"/>
      <c r="D15" s="240"/>
      <c r="E15" s="193" t="s">
        <v>422</v>
      </c>
      <c r="F15" s="193" t="s">
        <v>518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385</v>
      </c>
      <c r="D16" s="245" t="s">
        <v>395</v>
      </c>
      <c r="E16" s="244" t="s">
        <v>517</v>
      </c>
      <c r="F16" s="244">
        <f>ejercicio</f>
        <v>2018</v>
      </c>
      <c r="G16" s="244" t="s">
        <v>519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5" customHeight="1">
      <c r="B17" s="110"/>
      <c r="C17" s="515"/>
      <c r="D17" s="509"/>
      <c r="E17" s="505"/>
      <c r="F17" s="505"/>
      <c r="G17" s="605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5" customHeight="1">
      <c r="B18" s="110"/>
      <c r="C18" s="515"/>
      <c r="D18" s="509"/>
      <c r="E18" s="505"/>
      <c r="F18" s="505"/>
      <c r="G18" s="606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5" customHeight="1">
      <c r="B19" s="110"/>
      <c r="C19" s="515"/>
      <c r="D19" s="509"/>
      <c r="E19" s="505"/>
      <c r="F19" s="505"/>
      <c r="G19" s="606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5" customHeight="1">
      <c r="B20" s="110"/>
      <c r="C20" s="515"/>
      <c r="D20" s="509"/>
      <c r="E20" s="505"/>
      <c r="F20" s="505"/>
      <c r="G20" s="606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515"/>
      <c r="D21" s="509"/>
      <c r="E21" s="505"/>
      <c r="F21" s="505"/>
      <c r="G21" s="606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515"/>
      <c r="D22" s="509"/>
      <c r="E22" s="505"/>
      <c r="F22" s="505"/>
      <c r="G22" s="606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515"/>
      <c r="D23" s="509"/>
      <c r="E23" s="505"/>
      <c r="F23" s="505"/>
      <c r="G23" s="606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515"/>
      <c r="D24" s="509"/>
      <c r="E24" s="505"/>
      <c r="F24" s="505"/>
      <c r="G24" s="606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515"/>
      <c r="D25" s="509"/>
      <c r="E25" s="505"/>
      <c r="F25" s="505"/>
      <c r="G25" s="606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515"/>
      <c r="D26" s="509"/>
      <c r="E26" s="505"/>
      <c r="F26" s="505"/>
      <c r="G26" s="606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515"/>
      <c r="D27" s="509"/>
      <c r="E27" s="505"/>
      <c r="F27" s="505"/>
      <c r="G27" s="606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515"/>
      <c r="D28" s="509"/>
      <c r="E28" s="505"/>
      <c r="F28" s="505"/>
      <c r="G28" s="606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515"/>
      <c r="D29" s="509"/>
      <c r="E29" s="505"/>
      <c r="F29" s="505"/>
      <c r="G29" s="606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5" customHeight="1">
      <c r="B30" s="110"/>
      <c r="C30" s="515"/>
      <c r="D30" s="509"/>
      <c r="E30" s="505"/>
      <c r="F30" s="505"/>
      <c r="G30" s="606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>
      <c r="B31" s="110"/>
      <c r="C31" s="516"/>
      <c r="D31" s="510"/>
      <c r="E31" s="506"/>
      <c r="F31" s="506"/>
      <c r="G31" s="607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517"/>
      <c r="D32" s="511"/>
      <c r="E32" s="508"/>
      <c r="F32" s="508"/>
      <c r="G32" s="608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 thickBot="1">
      <c r="B33" s="110"/>
      <c r="C33" s="212"/>
      <c r="D33" s="216" t="s">
        <v>343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 thickBot="1">
      <c r="B35" s="114"/>
      <c r="C35" s="1086"/>
      <c r="D35" s="1086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5" customHeight="1">
      <c r="C36" s="97"/>
      <c r="D36" s="97"/>
      <c r="E36" s="98"/>
      <c r="F36" s="98"/>
      <c r="G36" s="98"/>
    </row>
    <row r="37" spans="2:23" ht="13.2">
      <c r="C37" s="117" t="s">
        <v>77</v>
      </c>
      <c r="D37" s="97"/>
      <c r="E37" s="98"/>
      <c r="F37" s="98"/>
      <c r="G37" s="88" t="s">
        <v>464</v>
      </c>
    </row>
    <row r="38" spans="2:23" ht="13.2">
      <c r="C38" s="118" t="s">
        <v>78</v>
      </c>
      <c r="D38" s="97"/>
      <c r="E38" s="98"/>
      <c r="F38" s="98"/>
      <c r="G38" s="98"/>
    </row>
    <row r="39" spans="2:23" ht="13.2">
      <c r="C39" s="118" t="s">
        <v>79</v>
      </c>
      <c r="D39" s="97"/>
      <c r="E39" s="98"/>
      <c r="F39" s="98"/>
      <c r="G39" s="98"/>
    </row>
    <row r="40" spans="2:23" ht="13.2">
      <c r="C40" s="118" t="s">
        <v>80</v>
      </c>
      <c r="D40" s="97"/>
      <c r="E40" s="98"/>
      <c r="F40" s="98"/>
      <c r="G40" s="98"/>
    </row>
    <row r="41" spans="2:23" ht="13.2">
      <c r="C41" s="118" t="s">
        <v>81</v>
      </c>
      <c r="D41" s="97"/>
      <c r="E41" s="98"/>
      <c r="F41" s="98"/>
      <c r="G41" s="98"/>
    </row>
    <row r="42" spans="2:23" ht="22.95" customHeight="1">
      <c r="C42" s="97"/>
      <c r="D42" s="97"/>
      <c r="E42" s="98"/>
      <c r="F42" s="98"/>
      <c r="G42" s="98"/>
    </row>
    <row r="43" spans="2:23" ht="22.95" customHeight="1">
      <c r="C43" s="97"/>
      <c r="D43" s="97"/>
      <c r="E43" s="98"/>
      <c r="F43" s="98"/>
      <c r="G43" s="98"/>
    </row>
    <row r="44" spans="2:23" ht="22.95" customHeight="1">
      <c r="C44" s="97"/>
      <c r="D44" s="97"/>
      <c r="E44" s="98"/>
      <c r="F44" s="98"/>
      <c r="G44" s="98"/>
    </row>
    <row r="45" spans="2:23" ht="22.95" customHeight="1">
      <c r="C45" s="97"/>
      <c r="D45" s="97"/>
      <c r="E45" s="98"/>
      <c r="F45" s="98"/>
      <c r="G45" s="98"/>
    </row>
    <row r="46" spans="2:23" ht="22.95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zoomScale="60" zoomScaleNormal="60" zoomScalePageLayoutView="60" workbookViewId="0">
      <pane ySplit="14" topLeftCell="A15" activePane="bottomLeft" state="frozen"/>
      <selection activeCell="F24" sqref="F24"/>
      <selection pane="bottomLeft" activeCell="F24" sqref="F24"/>
    </sheetView>
  </sheetViews>
  <sheetFormatPr baseColWidth="10" defaultColWidth="10.81640625" defaultRowHeight="22.95" customHeight="1"/>
  <cols>
    <col min="1" max="1" width="3" style="277" customWidth="1"/>
    <col min="2" max="2" width="3.1796875" style="277" customWidth="1"/>
    <col min="3" max="3" width="12.1796875" style="277" customWidth="1"/>
    <col min="4" max="4" width="68" style="277" customWidth="1"/>
    <col min="5" max="7" width="39.1796875" style="277" customWidth="1"/>
    <col min="8" max="8" width="3.54296875" style="277" customWidth="1"/>
    <col min="9" max="9" width="10.81640625" style="277"/>
    <col min="10" max="12" width="4.1796875" style="277" customWidth="1"/>
    <col min="13" max="13" width="11.54296875" style="277" bestFit="1" customWidth="1"/>
    <col min="14" max="16384" width="10.81640625" style="277"/>
  </cols>
  <sheetData>
    <row r="2" spans="2:13" ht="22.95" customHeight="1">
      <c r="D2" s="312" t="s">
        <v>31</v>
      </c>
    </row>
    <row r="3" spans="2:13" ht="22.95" customHeight="1">
      <c r="D3" s="312" t="s">
        <v>32</v>
      </c>
    </row>
    <row r="4" spans="2:13" ht="22.95" customHeight="1" thickBot="1"/>
    <row r="5" spans="2:13" ht="9" customHeight="1">
      <c r="B5" s="971" t="s">
        <v>777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65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65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70" t="str">
        <f>Entidad</f>
        <v>PARQUE CIENTÍFICO Y TECNOLÓGICO DE TENERIFE, S.A.</v>
      </c>
      <c r="E9" s="1070"/>
      <c r="F9" s="1070"/>
      <c r="G9" s="1070"/>
      <c r="H9" s="372"/>
    </row>
    <row r="10" spans="2:13" ht="7.2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69" t="s">
        <v>776</v>
      </c>
      <c r="D11" s="970"/>
      <c r="E11" s="970"/>
      <c r="F11" s="970"/>
      <c r="G11" s="970"/>
      <c r="H11" s="25"/>
    </row>
    <row r="12" spans="2:13" ht="22.95" customHeight="1">
      <c r="B12" s="371"/>
      <c r="C12" s="368"/>
      <c r="D12" s="368"/>
      <c r="E12" s="368"/>
      <c r="F12" s="368"/>
      <c r="G12" s="368"/>
      <c r="H12" s="372"/>
    </row>
    <row r="13" spans="2:13" ht="22.95" customHeight="1">
      <c r="B13" s="371"/>
      <c r="C13" s="368"/>
      <c r="D13" s="368"/>
      <c r="E13" s="944" t="s">
        <v>735</v>
      </c>
      <c r="F13" s="944" t="s">
        <v>734</v>
      </c>
      <c r="G13" s="944" t="s">
        <v>736</v>
      </c>
      <c r="H13" s="372"/>
    </row>
    <row r="14" spans="2:13" ht="22.95" customHeight="1">
      <c r="B14" s="371"/>
      <c r="D14" s="368"/>
      <c r="E14" s="945">
        <f>ejercicio-2</f>
        <v>2016</v>
      </c>
      <c r="F14" s="945">
        <f>ejercicio-1</f>
        <v>2017</v>
      </c>
      <c r="G14" s="945">
        <f>ejercicio</f>
        <v>2018</v>
      </c>
      <c r="H14" s="372"/>
    </row>
    <row r="15" spans="2:13" s="950" customFormat="1" ht="30" customHeight="1">
      <c r="B15" s="946"/>
      <c r="C15" s="947" t="s">
        <v>613</v>
      </c>
      <c r="D15" s="947"/>
      <c r="E15" s="948" t="str">
        <f>IF(ROUND('FC-4_ACTIVO'!E94-'FC-4_PASIVO'!E86,2)=0,"Ok","Mal, revisa FC-4")</f>
        <v>Ok</v>
      </c>
      <c r="F15" s="948" t="str">
        <f>IF(ROUND('FC-4_ACTIVO'!F94-'FC-4_PASIVO'!F86,2)=0,"Ok","Mal, revisa FC-4")</f>
        <v>Ok</v>
      </c>
      <c r="G15" s="948" t="str">
        <f>IF(ROUND('FC-4_ACTIVO'!G94-'FC-4_PASIVO'!G86,2)=0,"Ok","Mal, revisa FC-4")</f>
        <v>Ok</v>
      </c>
      <c r="H15" s="949"/>
      <c r="J15" s="951">
        <f>IF(E15="Ok",0,1)</f>
        <v>0</v>
      </c>
      <c r="K15" s="951">
        <f>IF(F15="Ok",0,1)</f>
        <v>0</v>
      </c>
      <c r="L15" s="951">
        <f>IF(G15="Ok",0,1)</f>
        <v>0</v>
      </c>
      <c r="M15" s="951">
        <f>SUM(J15:L15)</f>
        <v>0</v>
      </c>
    </row>
    <row r="16" spans="2:13" s="950" customFormat="1" ht="30" customHeight="1">
      <c r="B16" s="946"/>
      <c r="C16" s="952" t="s">
        <v>615</v>
      </c>
      <c r="D16" s="952"/>
      <c r="E16" s="953" t="str">
        <f>IF(ROUND(('FC-3_CPyG'!E84-'FC-4_PASIVO'!E32),2)=0,"Ok","Mal, revisa FC-3 y FC-4")</f>
        <v>Ok</v>
      </c>
      <c r="F16" s="953" t="str">
        <f>IF(ROUND(('FC-3_CPyG'!F84-'FC-4_PASIVO'!F32),2)=0,"Ok","Mal, revisa FC-3 y FC-4")</f>
        <v>Ok</v>
      </c>
      <c r="G16" s="953" t="str">
        <f>IF(ROUND(('FC-3_CPyG'!G84-'FC-4_PASIVO'!G32),2)=0,"Ok","Mal, revisa FC-3 y FC-4")</f>
        <v>Ok</v>
      </c>
      <c r="H16" s="949"/>
      <c r="J16" s="951">
        <f t="shared" ref="J16:J20" si="0">IF(E16="Ok",0,1)</f>
        <v>0</v>
      </c>
      <c r="K16" s="951">
        <f t="shared" ref="K16:K20" si="1">IF(F16="Ok",0,1)</f>
        <v>0</v>
      </c>
      <c r="L16" s="951">
        <f t="shared" ref="L16:L21" si="2">IF(G16="Ok",0,1)</f>
        <v>0</v>
      </c>
      <c r="M16" s="951">
        <f t="shared" ref="M16:M40" si="3">SUM(J16:L16)</f>
        <v>0</v>
      </c>
    </row>
    <row r="17" spans="2:13" s="950" customFormat="1" ht="30" customHeight="1">
      <c r="B17" s="946"/>
      <c r="C17" s="954" t="s">
        <v>679</v>
      </c>
      <c r="D17" s="952"/>
      <c r="E17" s="953" t="str">
        <f>IF(ROUND('FC-3_CPyG'!E16-'FC-3_1_INF_ADIC_CPyG'!E47,2)=0,"Ok","Mal, revisa datos en FC-3 PyG y FC3.1")</f>
        <v>Ok</v>
      </c>
      <c r="F17" s="953" t="str">
        <f>IF(ROUND('FC-3_CPyG'!F16-'FC-3_1_INF_ADIC_CPyG'!H47,2)=0,"Ok","Mal, revisa datos en FC-3 PyG y FC3.1")</f>
        <v>Ok</v>
      </c>
      <c r="G17" s="953" t="str">
        <f>IF(ROUND('FC-3_CPyG'!G16-'FC-3_1_INF_ADIC_CPyG'!K47,2)=0,"Ok","Mal, revisa datos en FC-3 PyG y FC3.1")</f>
        <v>Ok</v>
      </c>
      <c r="H17" s="949"/>
      <c r="J17" s="951">
        <f t="shared" si="0"/>
        <v>0</v>
      </c>
      <c r="K17" s="951">
        <f t="shared" si="1"/>
        <v>0</v>
      </c>
      <c r="L17" s="951">
        <f t="shared" si="2"/>
        <v>0</v>
      </c>
      <c r="M17" s="951">
        <f t="shared" si="3"/>
        <v>0</v>
      </c>
    </row>
    <row r="18" spans="2:13" s="950" customFormat="1" ht="30" customHeight="1">
      <c r="B18" s="946"/>
      <c r="C18" s="954" t="s">
        <v>682</v>
      </c>
      <c r="D18" s="952"/>
      <c r="E18" s="953" t="str">
        <f>IF(ROUND('FC-3_CPyG'!E48-'FC-3_1_INF_ADIC_CPyG'!E51-'FC-3_1_INF_ADIC_CPyG'!E59,2)=0,"Ok","Mal, revisa datos en FC-3 CPYG y FC-3.1")</f>
        <v>Ok</v>
      </c>
      <c r="F18" s="953" t="str">
        <f>IF(ROUND('FC-3_CPyG'!F48-'FC-3_1_INF_ADIC_CPyG'!F51-'FC-3_1_INF_ADIC_CPyG'!F59,2)=0,"Ok","Mal, revisa datos en FC-3 CPYG y FC-3.1")</f>
        <v>Ok</v>
      </c>
      <c r="G18" s="953" t="str">
        <f>IF(ROUND('FC-3_CPyG'!G48-'FC-3_1_INF_ADIC_CPyG'!G51-'FC-3_1_INF_ADIC_CPyG'!G59,2)=0,"Ok","Mal, revisa datos en FC-3 CPYG y FC-3.1")</f>
        <v>Ok</v>
      </c>
      <c r="H18" s="949"/>
      <c r="J18" s="951">
        <f t="shared" si="0"/>
        <v>0</v>
      </c>
      <c r="K18" s="951">
        <f t="shared" si="1"/>
        <v>0</v>
      </c>
      <c r="L18" s="951">
        <f t="shared" si="2"/>
        <v>0</v>
      </c>
      <c r="M18" s="951">
        <f t="shared" si="3"/>
        <v>0</v>
      </c>
    </row>
    <row r="19" spans="2:13" s="950" customFormat="1" ht="30" customHeight="1">
      <c r="B19" s="946"/>
      <c r="C19" s="954" t="s">
        <v>683</v>
      </c>
      <c r="D19" s="952"/>
      <c r="E19" s="953" t="str">
        <f>IF(ROUND('FC-3_CPyG'!E28-'FC-3_1_INF_ADIC_CPyG'!E75,2)=0,"Ok","Mal, revísa datos en FC-3 y FC-3.1")</f>
        <v>Ok</v>
      </c>
      <c r="F19" s="953" t="str">
        <f>IF(ROUND('FC-3_CPyG'!F28-'FC-3_1_INF_ADIC_CPyG'!F75,2)=0,"Ok","Mal, revísa datos en FC-3 y FC-3.1")</f>
        <v>Ok</v>
      </c>
      <c r="G19" s="953" t="str">
        <f>IF(ROUND('FC-3_CPyG'!G28-'FC-3_1_INF_ADIC_CPyG'!G75,2)=0,"Ok","Mal, revísa datos en FC-3 y FC-3.1")</f>
        <v>Ok</v>
      </c>
      <c r="H19" s="949"/>
      <c r="J19" s="951">
        <f t="shared" si="0"/>
        <v>0</v>
      </c>
      <c r="K19" s="951">
        <f t="shared" si="1"/>
        <v>0</v>
      </c>
      <c r="L19" s="951">
        <f t="shared" si="2"/>
        <v>0</v>
      </c>
      <c r="M19" s="951">
        <f t="shared" si="3"/>
        <v>0</v>
      </c>
    </row>
    <row r="20" spans="2:13" s="950" customFormat="1" ht="30" customHeight="1">
      <c r="B20" s="946"/>
      <c r="C20" s="954" t="s">
        <v>684</v>
      </c>
      <c r="D20" s="952"/>
      <c r="E20" s="953" t="str">
        <f>IF(ROUND('FC-3_CPyG'!E29-'FC-3_1_INF_ADIC_CPyG'!E79,2)=0,"Ok","Mal, revisa datos en FC-3 CPyG y FC-3.1")</f>
        <v>Ok</v>
      </c>
      <c r="F20" s="953" t="str">
        <f>IF(ROUND('FC-3_CPyG'!F29-'FC-3_1_INF_ADIC_CPyG'!F79,2)=0,"Ok","Mal, revisa datos en FC-3 CPyG y FC-3.1")</f>
        <v>Ok</v>
      </c>
      <c r="G20" s="953" t="str">
        <f>IF(ROUND('FC-3_CPyG'!G29-'FC-3_1_INF_ADIC_CPyG'!G79,2)=0,"Ok","Mal, revisa datos en FC-3 CPyG y FC-3.1")</f>
        <v>Ok</v>
      </c>
      <c r="H20" s="949"/>
      <c r="J20" s="951">
        <f t="shared" si="0"/>
        <v>0</v>
      </c>
      <c r="K20" s="951">
        <f t="shared" si="1"/>
        <v>0</v>
      </c>
      <c r="L20" s="951">
        <f t="shared" si="2"/>
        <v>0</v>
      </c>
      <c r="M20" s="951">
        <f t="shared" si="3"/>
        <v>0</v>
      </c>
    </row>
    <row r="21" spans="2:13" s="950" customFormat="1" ht="30" customHeight="1">
      <c r="B21" s="946"/>
      <c r="C21" s="954" t="s">
        <v>678</v>
      </c>
      <c r="D21" s="952"/>
      <c r="E21" s="955"/>
      <c r="F21" s="955"/>
      <c r="G21" s="953" t="str">
        <f>IF(ROUND('FC-6_Inversiones'!G46-SUM('FC-6_Inversiones'!H46:M46),2)=0,"Ok","Mal, revisa totales FC-6")</f>
        <v>Ok</v>
      </c>
      <c r="H21" s="949"/>
      <c r="J21" s="951"/>
      <c r="K21" s="951"/>
      <c r="L21" s="951">
        <f t="shared" si="2"/>
        <v>0</v>
      </c>
      <c r="M21" s="951">
        <f t="shared" si="3"/>
        <v>0</v>
      </c>
    </row>
    <row r="22" spans="2:13" s="950" customFormat="1" ht="30" customHeight="1">
      <c r="B22" s="946"/>
      <c r="C22" s="952" t="s">
        <v>617</v>
      </c>
      <c r="D22" s="952"/>
      <c r="E22" s="955"/>
      <c r="F22" s="953" t="str">
        <f>IF(ROUND('FC-4_ACTIVO'!F17-'FC-7_INF'!M15,2)=0,"Ok","Mal, revisa FC-4 ACTIVO y FC-7")</f>
        <v>Ok</v>
      </c>
      <c r="G22" s="953" t="str">
        <f>IF(ROUND('FC-4_ACTIVO'!G17-'FC-7_INF'!M26,2)=0,"Ok","Mal, revisa FC-4 ACTIVO y FC-7")</f>
        <v>Ok</v>
      </c>
      <c r="H22" s="949"/>
      <c r="J22" s="951"/>
      <c r="K22" s="951">
        <f t="shared" ref="K22:K26" si="4">IF(F22="Ok",0,1)</f>
        <v>0</v>
      </c>
      <c r="L22" s="951">
        <f t="shared" ref="L22:L26" si="5">IF(G22="Ok",0,1)</f>
        <v>0</v>
      </c>
      <c r="M22" s="951">
        <f t="shared" si="3"/>
        <v>0</v>
      </c>
    </row>
    <row r="23" spans="2:13" s="950" customFormat="1" ht="30" customHeight="1">
      <c r="B23" s="946"/>
      <c r="C23" s="952" t="s">
        <v>616</v>
      </c>
      <c r="D23" s="952"/>
      <c r="E23" s="955"/>
      <c r="F23" s="953" t="str">
        <f>IF(ROUND('FC-4_ACTIVO'!F26-'FC-7_INF'!M16-'FC-7_INF'!M17,2)=0,"Ok","Mal, revisa FC-4 ACTIVO y FC-7")</f>
        <v>Ok</v>
      </c>
      <c r="G23" s="953" t="str">
        <f>IF(ROUND('FC-4_ACTIVO'!G26-'FC-7_INF'!M27-'FC-7_INF'!M28,2)=0,"Ok","Mal, revisa FC-4 ACTIVO y FC-7")</f>
        <v>Ok</v>
      </c>
      <c r="H23" s="949"/>
      <c r="J23" s="951"/>
      <c r="K23" s="951">
        <f t="shared" si="4"/>
        <v>0</v>
      </c>
      <c r="L23" s="951">
        <f t="shared" si="5"/>
        <v>0</v>
      </c>
      <c r="M23" s="951">
        <f t="shared" si="3"/>
        <v>0</v>
      </c>
    </row>
    <row r="24" spans="2:13" s="950" customFormat="1" ht="30" customHeight="1">
      <c r="B24" s="946"/>
      <c r="C24" s="952" t="s">
        <v>618</v>
      </c>
      <c r="D24" s="952"/>
      <c r="E24" s="955"/>
      <c r="F24" s="953" t="str">
        <f>IF(ROUND(('FC-4_ACTIVO'!F30-'FC-7_INF'!M18-'FC-7_INF'!M19),2)=0,"Ok","Mal, revisa FC-4 ACTIVO y FC-7")</f>
        <v>Ok</v>
      </c>
      <c r="G24" s="953" t="str">
        <f>IF(ROUND(('FC-4_ACTIVO'!G30-'FC-7_INF'!M29-'FC-7_INF'!M30),2)=0,"Ok","Mal, revisa FC-4 ACTIVO y FC-7")</f>
        <v>Ok</v>
      </c>
      <c r="H24" s="949"/>
      <c r="J24" s="951"/>
      <c r="K24" s="951">
        <f t="shared" si="4"/>
        <v>0</v>
      </c>
      <c r="L24" s="951">
        <f t="shared" si="5"/>
        <v>0</v>
      </c>
      <c r="M24" s="951">
        <f t="shared" si="3"/>
        <v>0</v>
      </c>
    </row>
    <row r="25" spans="2:13" s="950" customFormat="1" ht="30" customHeight="1">
      <c r="B25" s="946"/>
      <c r="C25" s="954" t="s">
        <v>656</v>
      </c>
      <c r="D25" s="952"/>
      <c r="E25" s="955"/>
      <c r="F25" s="956" t="str">
        <f>IF(ROUND('FC-7_INF'!M22-'FC-4_ACTIVO'!F52,2)=0,"Ok","Mal, revisa FC-4 ACTIVO y FC-7")</f>
        <v>Ok</v>
      </c>
      <c r="G25" s="956" t="str">
        <f>IF(ROUND('FC-7_INF'!M33-'FC-4_ACTIVO'!G52,2)=0,"Ok","Mal, revisa FC-4 ACTIVO y FC-7")</f>
        <v>Ok</v>
      </c>
      <c r="H25" s="949"/>
      <c r="J25" s="951"/>
      <c r="K25" s="951">
        <f t="shared" si="4"/>
        <v>0</v>
      </c>
      <c r="L25" s="951">
        <f t="shared" si="5"/>
        <v>0</v>
      </c>
      <c r="M25" s="951">
        <f t="shared" si="3"/>
        <v>0</v>
      </c>
    </row>
    <row r="26" spans="2:13" s="950" customFormat="1" ht="30" customHeight="1">
      <c r="B26" s="946"/>
      <c r="C26" s="954" t="s">
        <v>657</v>
      </c>
      <c r="D26" s="952"/>
      <c r="E26" s="955"/>
      <c r="F26" s="953" t="str">
        <f>IF(ROUND('FC-3_CPyG'!F40-'FC-7_INF'!I20,2)=0,"Ok","Mal, revisa datos en FC-3 y FC-7")</f>
        <v>Ok</v>
      </c>
      <c r="G26" s="953" t="str">
        <f>IF(ROUND('FC-3_CPyG'!G40-'FC-7_INF'!I31,2)=0,"Ok","Mal, revisa datos en FC-3 y FC-7")</f>
        <v>Ok</v>
      </c>
      <c r="H26" s="949"/>
      <c r="J26" s="951"/>
      <c r="K26" s="951">
        <f t="shared" si="4"/>
        <v>0</v>
      </c>
      <c r="L26" s="951">
        <f t="shared" si="5"/>
        <v>0</v>
      </c>
      <c r="M26" s="951">
        <f t="shared" si="3"/>
        <v>0</v>
      </c>
    </row>
    <row r="27" spans="2:13" s="950" customFormat="1" ht="30" customHeight="1">
      <c r="B27" s="946"/>
      <c r="C27" s="957" t="s">
        <v>733</v>
      </c>
      <c r="D27" s="952"/>
      <c r="E27" s="955"/>
      <c r="F27" s="955"/>
      <c r="G27" s="953" t="str">
        <f>IF(ROUND('FC-6_Inversiones'!I46-'FC-7_INF'!F31,2)=0,"Ok","Mal, revisa I46 en FC-6 y F31 en FC-7")</f>
        <v>Ok</v>
      </c>
      <c r="H27" s="949"/>
      <c r="J27" s="951"/>
      <c r="K27" s="951"/>
      <c r="L27" s="951"/>
      <c r="M27" s="951"/>
    </row>
    <row r="28" spans="2:13" s="950" customFormat="1" ht="30" customHeight="1">
      <c r="B28" s="946"/>
      <c r="C28" s="958" t="s">
        <v>770</v>
      </c>
      <c r="D28" s="958"/>
      <c r="E28" s="959"/>
      <c r="F28" s="959"/>
      <c r="G28" s="960" t="str">
        <f>IF(ROUND(('FC-4_ACTIVO'!G34+'FC-4_ACTIVO'!G76)-'FC-8_INV_FINANCIERAS'!J25,2)=0,"Ok","Mal, revisa datos en FC-4 Activo y FC-8")</f>
        <v>Ok</v>
      </c>
      <c r="H28" s="949"/>
      <c r="J28" s="951"/>
      <c r="K28" s="951"/>
      <c r="L28" s="951"/>
      <c r="M28" s="951"/>
    </row>
    <row r="29" spans="2:13" s="950" customFormat="1" ht="30" customHeight="1">
      <c r="B29" s="946"/>
      <c r="C29" s="958" t="s">
        <v>772</v>
      </c>
      <c r="D29" s="958"/>
      <c r="E29" s="959"/>
      <c r="F29" s="959"/>
      <c r="G29" s="960" t="str">
        <f>IF(ROUND((SUM('FC-4_ACTIVO'!G35:G39)+SUM('FC-4_ACTIVO'!G77:G81))-('FC-8_INV_FINANCIERAS'!J34),2)=0,"Ok","Mal, revisa datos en FC-4 Activo y FC-8")</f>
        <v>Ok</v>
      </c>
      <c r="H29" s="949"/>
      <c r="J29" s="951"/>
      <c r="K29" s="951"/>
      <c r="L29" s="951"/>
      <c r="M29" s="951"/>
    </row>
    <row r="30" spans="2:13" s="950" customFormat="1" ht="30" customHeight="1">
      <c r="B30" s="946"/>
      <c r="C30" s="958" t="s">
        <v>771</v>
      </c>
      <c r="D30" s="958"/>
      <c r="E30" s="959"/>
      <c r="F30" s="959"/>
      <c r="G30" s="960" t="str">
        <f>IF(ROUND(('FC-4_ACTIVO'!G41+'FC-4_ACTIVO'!G83)-'FC-8_INV_FINANCIERAS'!J49,2)=0,"Ok","Mal, revisa datos en FC-4 ACTIVO y FC-8")</f>
        <v>Ok</v>
      </c>
      <c r="H30" s="949"/>
      <c r="J30" s="951"/>
      <c r="K30" s="951"/>
      <c r="L30" s="951"/>
      <c r="M30" s="951"/>
    </row>
    <row r="31" spans="2:13" s="950" customFormat="1" ht="30" customHeight="1">
      <c r="B31" s="946"/>
      <c r="C31" s="958" t="s">
        <v>773</v>
      </c>
      <c r="D31" s="958"/>
      <c r="E31" s="959"/>
      <c r="F31" s="959"/>
      <c r="G31" s="960" t="str">
        <f>IF(ROUND((SUM('FC-4_ACTIVO'!G42:G46)+SUM('FC-4_ACTIVO'!G84:G88))-'FC-8_INV_FINANCIERAS'!J58,2)=0,"Ok","Mal, revisa datos en FC-4 Activo y en FC-8")</f>
        <v>Ok</v>
      </c>
      <c r="H31" s="949"/>
      <c r="J31" s="951"/>
      <c r="K31" s="951"/>
      <c r="L31" s="951"/>
      <c r="M31" s="951"/>
    </row>
    <row r="32" spans="2:13" s="950" customFormat="1" ht="30" customHeight="1">
      <c r="B32" s="946"/>
      <c r="C32" s="954" t="s">
        <v>660</v>
      </c>
      <c r="D32" s="952"/>
      <c r="E32" s="955"/>
      <c r="F32" s="953" t="str">
        <f>IF(ROUND('FC-4_PASIVO'!F41,2)-ROUND('FC-9_TRANS_SUBV'!F35,2)=0,"Ok","Mal, revisa FC-4 PASIVO y FC-9")</f>
        <v>Ok</v>
      </c>
      <c r="G32" s="953" t="str">
        <f>IF(ROUND('FC-4_PASIVO'!G41-'FC-9_TRANS_SUBV'!G35,2)=0,"Ok","Mal, revisa FC-4 PASIVO y FC-9")</f>
        <v>Ok</v>
      </c>
      <c r="H32" s="949"/>
      <c r="J32" s="951"/>
      <c r="K32" s="951">
        <f t="shared" ref="K32:K36" si="6">IF(F32="Ok",0,1)</f>
        <v>0</v>
      </c>
      <c r="L32" s="951">
        <f t="shared" ref="L32:L40" si="7">IF(G32="Ok",0,1)</f>
        <v>0</v>
      </c>
      <c r="M32" s="951">
        <f t="shared" si="3"/>
        <v>0</v>
      </c>
    </row>
    <row r="33" spans="2:13" s="1014" customFormat="1" ht="30" customHeight="1">
      <c r="B33" s="1015"/>
      <c r="C33" s="1016" t="s">
        <v>815</v>
      </c>
      <c r="D33" s="1016"/>
      <c r="E33" s="1017"/>
      <c r="F33" s="1018" t="str">
        <f>IF(ROUND('FC-3_CPyG'!F41+('FC-9_TRANS_SUBV'!F33),2)=0,"Ok","Mal, revisa datos FC-3 epígr. A) 9. y FC-9 celda F33")</f>
        <v>Ok</v>
      </c>
      <c r="G33" s="1018" t="str">
        <f>IF(ROUND('FC-3_CPyG'!G41+('FC-9_TRANS_SUBV'!G33),2)=0,"Ok","Mal, revisa datos FC-3 epígr. A) 9. y FC-9 celda G33")</f>
        <v>Ok</v>
      </c>
      <c r="H33" s="1019"/>
      <c r="J33" s="951"/>
      <c r="K33" s="951"/>
      <c r="L33" s="951"/>
      <c r="M33" s="951"/>
    </row>
    <row r="34" spans="2:13" s="950" customFormat="1" ht="30" customHeight="1">
      <c r="B34" s="946"/>
      <c r="C34" s="954" t="s">
        <v>661</v>
      </c>
      <c r="D34" s="952"/>
      <c r="E34" s="955"/>
      <c r="F34" s="953" t="str">
        <f>IF('FC-3_CPyG'!F29-'FC-9_TRANS_SUBV'!F52=0,"Ok","Mal, revisa dato en FC-3 y FC-9")</f>
        <v>Ok</v>
      </c>
      <c r="G34" s="953" t="str">
        <f>IF('FC-3_CPyG'!G29-'FC-9_TRANS_SUBV'!G52=0,"Ok","Mal, revisa dato en FC-3 y FC-9")</f>
        <v>Ok</v>
      </c>
      <c r="H34" s="949"/>
      <c r="J34" s="951"/>
      <c r="K34" s="951">
        <f t="shared" si="6"/>
        <v>0</v>
      </c>
      <c r="L34" s="951">
        <f t="shared" si="7"/>
        <v>0</v>
      </c>
      <c r="M34" s="951">
        <f t="shared" si="3"/>
        <v>0</v>
      </c>
    </row>
    <row r="35" spans="2:13" s="950" customFormat="1" ht="30" customHeight="1">
      <c r="B35" s="946"/>
      <c r="C35" s="954" t="s">
        <v>664</v>
      </c>
      <c r="D35" s="952"/>
      <c r="E35" s="955"/>
      <c r="F35" s="953" t="str">
        <f>IF('FC-4_PASIVO'!F31-'FC-4_PASIVO'!E31='FC-9_TRANS_SUBV'!F67,"Ok","Mal, revísa FC-4 PASIVO y FC-9")</f>
        <v>Ok</v>
      </c>
      <c r="G35" s="953" t="str">
        <f>IF('FC-4_PASIVO'!G31-'FC-4_PASIVO'!F31='FC-9_TRANS_SUBV'!G67,"Ok","Mal, revísa FC-4 PASIVO y FC-9")</f>
        <v>Ok</v>
      </c>
      <c r="H35" s="949"/>
      <c r="J35" s="951"/>
      <c r="K35" s="951">
        <f t="shared" si="6"/>
        <v>0</v>
      </c>
      <c r="L35" s="951">
        <f t="shared" si="7"/>
        <v>0</v>
      </c>
      <c r="M35" s="951">
        <f t="shared" si="3"/>
        <v>0</v>
      </c>
    </row>
    <row r="36" spans="2:13" s="950" customFormat="1" ht="30" customHeight="1">
      <c r="B36" s="946"/>
      <c r="C36" s="954" t="s">
        <v>666</v>
      </c>
      <c r="D36" s="952"/>
      <c r="E36" s="955"/>
      <c r="F36" s="953" t="str">
        <f>IF(ROUND(('FC-4_PASIVO'!F51+'FC-4_PASIVO'!F52+'FC-4_PASIVO'!F68+'FC-4_PASIVO'!F69)-('FC-10_DEUDAS'!L42+'FC-10_DEUDAS'!L74),2)=0,"Ok","Mal, revisa datos en FC-4 PASIVO y FC-10")</f>
        <v>Ok</v>
      </c>
      <c r="G36" s="953" t="str">
        <f>IF(ROUND(('FC-4_PASIVO'!G51+'FC-4_PASIVO'!G52+'FC-4_PASIVO'!G68+'FC-4_PASIVO'!G69)-('FC-10_DEUDAS'!Q42+'FC-10_DEUDAS'!Q74),2)=0,"Ok","Mal, revisa datos en FC-4 PASIVO y FC-10")</f>
        <v>Ok</v>
      </c>
      <c r="H36" s="949"/>
      <c r="J36" s="951"/>
      <c r="K36" s="951">
        <f t="shared" si="6"/>
        <v>0</v>
      </c>
      <c r="L36" s="951">
        <f t="shared" si="7"/>
        <v>0</v>
      </c>
      <c r="M36" s="951">
        <f t="shared" si="3"/>
        <v>0</v>
      </c>
    </row>
    <row r="37" spans="2:13" s="950" customFormat="1" ht="30" customHeight="1">
      <c r="B37" s="946"/>
      <c r="C37" s="954" t="s">
        <v>667</v>
      </c>
      <c r="D37" s="952"/>
      <c r="E37" s="955"/>
      <c r="F37" s="955"/>
      <c r="G37" s="953" t="str">
        <f>IF(ROUND('FC-10_DEUDAS'!Q74-'FC-10_DEUDAS'!R74-'FC-10_DEUDAS'!S74,2)=0,"Ok","Mal, revisa datos, celdas Q74=R74+S74 en FC-10")</f>
        <v>Ok</v>
      </c>
      <c r="H37" s="949"/>
      <c r="J37" s="951"/>
      <c r="K37" s="951"/>
      <c r="L37" s="951">
        <f t="shared" si="7"/>
        <v>0</v>
      </c>
      <c r="M37" s="951">
        <f t="shared" si="3"/>
        <v>0</v>
      </c>
    </row>
    <row r="38" spans="2:13" s="950" customFormat="1" ht="30" customHeight="1">
      <c r="B38" s="946"/>
      <c r="C38" s="961" t="s">
        <v>668</v>
      </c>
      <c r="D38" s="962"/>
      <c r="E38" s="963"/>
      <c r="F38" s="963"/>
      <c r="G38" s="964" t="str">
        <f>IF(ROUND(-'FC-3_CPyG'!G30-'FC-13_PERSONAL'!F31,2)=0,"Ok","Mal, revísa dato en FC-3 CPyG y FC-13")</f>
        <v>Ok</v>
      </c>
      <c r="H38" s="949"/>
      <c r="J38" s="951"/>
      <c r="K38" s="951"/>
      <c r="L38" s="951">
        <f t="shared" si="7"/>
        <v>0</v>
      </c>
      <c r="M38" s="951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69"/>
      <c r="K39" s="869"/>
      <c r="L39" s="869"/>
      <c r="M39" s="869"/>
    </row>
    <row r="40" spans="2:13" ht="30" customHeight="1">
      <c r="B40" s="371"/>
      <c r="C40" s="965" t="s">
        <v>670</v>
      </c>
      <c r="D40" s="966"/>
      <c r="E40" s="967"/>
      <c r="F40" s="967"/>
      <c r="G40" s="968" t="str">
        <f>IF(ROUND('FC-3_CPyG'!G84-'FC-92_PRESUPUESTO_PYG'!E59,2)=0,"Ok","Mal, revisa resultado en F-3 y FC-92")</f>
        <v>Ok</v>
      </c>
      <c r="H40" s="372"/>
      <c r="J40" s="869"/>
      <c r="K40" s="869"/>
      <c r="L40" s="869">
        <f t="shared" si="7"/>
        <v>0</v>
      </c>
      <c r="M40" s="869">
        <f t="shared" si="3"/>
        <v>0</v>
      </c>
    </row>
    <row r="41" spans="2:13" ht="22.95" customHeight="1" thickBot="1">
      <c r="B41" s="375"/>
      <c r="C41" s="376"/>
      <c r="D41" s="376"/>
      <c r="E41" s="376"/>
      <c r="F41" s="377"/>
      <c r="G41" s="376"/>
      <c r="H41" s="378"/>
    </row>
    <row r="42" spans="2:13" ht="22.95" customHeight="1">
      <c r="F42" s="379"/>
    </row>
    <row r="43" spans="2:13" s="42" customFormat="1" ht="13.2">
      <c r="C43" s="37" t="s">
        <v>77</v>
      </c>
      <c r="F43" s="43"/>
      <c r="G43" s="41"/>
    </row>
    <row r="44" spans="2:13" s="42" customFormat="1" ht="13.2">
      <c r="C44" s="38" t="s">
        <v>78</v>
      </c>
      <c r="F44" s="43"/>
    </row>
    <row r="45" spans="2:13" s="42" customFormat="1" ht="13.2">
      <c r="C45" s="38" t="s">
        <v>79</v>
      </c>
      <c r="F45" s="43"/>
    </row>
    <row r="46" spans="2:13" s="42" customFormat="1" ht="13.2">
      <c r="C46" s="38" t="s">
        <v>80</v>
      </c>
      <c r="F46" s="43"/>
    </row>
    <row r="47" spans="2:13" s="42" customFormat="1" ht="13.2">
      <c r="C47" s="38" t="s">
        <v>81</v>
      </c>
      <c r="F47" s="43"/>
    </row>
    <row r="48" spans="2:13" ht="22.95" customHeight="1">
      <c r="F48" s="379"/>
    </row>
    <row r="49" spans="6:6" ht="22.95" customHeight="1">
      <c r="F49" s="379"/>
    </row>
    <row r="50" spans="6:6" ht="22.95" customHeight="1">
      <c r="F50" s="379"/>
    </row>
    <row r="51" spans="6:6" ht="22.95" customHeight="1">
      <c r="F51" s="379"/>
    </row>
    <row r="52" spans="6:6" ht="22.95" customHeight="1">
      <c r="F52" s="379"/>
    </row>
    <row r="53" spans="6:6" ht="22.95" customHeight="1">
      <c r="F53" s="379"/>
    </row>
    <row r="54" spans="6:6" ht="22.95" customHeight="1">
      <c r="F54" s="379"/>
    </row>
  </sheetData>
  <sheetProtection password="E059" sheet="1" objects="1" scenarios="1"/>
  <mergeCells count="2"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40" zoomScale="80" zoomScaleNormal="80" zoomScalePageLayoutView="80" workbookViewId="0">
      <selection activeCell="E31" sqref="E31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81640625" style="91" customWidth="1"/>
    <col min="6" max="6" width="44.81640625" style="91" customWidth="1"/>
    <col min="7" max="7" width="10.81640625" style="91" customWidth="1"/>
    <col min="8" max="8" width="3.1796875" style="90" customWidth="1"/>
    <col min="9" max="16384" width="10.81640625" style="90"/>
  </cols>
  <sheetData>
    <row r="2" spans="2:23" ht="22.95" customHeight="1">
      <c r="D2" s="212" t="s">
        <v>321</v>
      </c>
    </row>
    <row r="3" spans="2:23" ht="22.95" customHeight="1">
      <c r="D3" s="212" t="s">
        <v>322</v>
      </c>
    </row>
    <row r="4" spans="2:23" ht="22.95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65">
        <f>ejercicio</f>
        <v>2018</v>
      </c>
      <c r="H6" s="99"/>
      <c r="J6" s="427"/>
      <c r="K6" s="428" t="s">
        <v>643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65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087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2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27"/>
      <c r="D12" s="1127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5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5" customHeight="1">
      <c r="B15" s="239"/>
      <c r="C15" s="256"/>
      <c r="D15" s="259"/>
      <c r="E15" s="193" t="s">
        <v>520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5" customHeight="1">
      <c r="B16" s="239"/>
      <c r="C16" s="257"/>
      <c r="D16" s="260"/>
      <c r="E16" s="242" t="s">
        <v>521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5" customHeight="1">
      <c r="B17" s="239"/>
      <c r="C17" s="257"/>
      <c r="D17" s="260"/>
      <c r="E17" s="242" t="s">
        <v>522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47" t="s">
        <v>395</v>
      </c>
      <c r="D18" s="1148"/>
      <c r="E18" s="288">
        <f>ejercicio</f>
        <v>2018</v>
      </c>
      <c r="F18" s="258" t="s">
        <v>523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5" customHeight="1" thickBot="1">
      <c r="B20" s="160"/>
      <c r="C20" s="1163" t="s">
        <v>525</v>
      </c>
      <c r="D20" s="1164"/>
      <c r="E20" s="269">
        <f>SUM(E21:E29)</f>
        <v>6861538.6200000001</v>
      </c>
      <c r="F20" s="1176"/>
      <c r="G20" s="1177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5" customHeight="1">
      <c r="B21" s="110"/>
      <c r="C21" s="178" t="s">
        <v>526</v>
      </c>
      <c r="D21" s="262"/>
      <c r="E21" s="611">
        <f>+'FC-3_CPyG'!G16</f>
        <v>74552</v>
      </c>
      <c r="F21" s="1178"/>
      <c r="G21" s="1179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5" customHeight="1">
      <c r="B22" s="110"/>
      <c r="C22" s="178" t="s">
        <v>527</v>
      </c>
      <c r="D22" s="262"/>
      <c r="E22" s="611">
        <f>+'FC-3_CPyG'!G21</f>
        <v>0</v>
      </c>
      <c r="F22" s="1172"/>
      <c r="G22" s="1173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5" customHeight="1">
      <c r="B23" s="110"/>
      <c r="C23" s="178" t="s">
        <v>528</v>
      </c>
      <c r="D23" s="262"/>
      <c r="E23" s="611">
        <f>+'FC-3_CPyG'!G28</f>
        <v>0</v>
      </c>
      <c r="F23" s="1172"/>
      <c r="G23" s="1173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5" customHeight="1">
      <c r="B24" s="110"/>
      <c r="C24" s="178" t="s">
        <v>529</v>
      </c>
      <c r="D24" s="262"/>
      <c r="E24" s="611">
        <f>+'FC-3_CPyG'!G29</f>
        <v>3064600</v>
      </c>
      <c r="F24" s="1172"/>
      <c r="G24" s="1173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5" customHeight="1">
      <c r="B25" s="110"/>
      <c r="C25" s="178" t="s">
        <v>530</v>
      </c>
      <c r="D25" s="262"/>
      <c r="E25" s="611">
        <f>+'FC-3_CPyG'!G55+'FC-3_CPyG'!G70</f>
        <v>0</v>
      </c>
      <c r="F25" s="1172"/>
      <c r="G25" s="1173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5" customHeight="1">
      <c r="B26" s="110"/>
      <c r="C26" s="178" t="s">
        <v>531</v>
      </c>
      <c r="D26" s="262"/>
      <c r="E26" s="611">
        <f>+'FC-3_CPyG'!G52</f>
        <v>0</v>
      </c>
      <c r="F26" s="1172"/>
      <c r="G26" s="1173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5" customHeight="1">
      <c r="B27" s="110"/>
      <c r="C27" s="178" t="s">
        <v>532</v>
      </c>
      <c r="D27" s="262"/>
      <c r="E27" s="611">
        <f>+'FC-3_1_INF_ADIC_CPyG'!G51</f>
        <v>0</v>
      </c>
      <c r="F27" s="1172"/>
      <c r="G27" s="1173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5" customHeight="1">
      <c r="B28" s="110"/>
      <c r="C28" s="936" t="s">
        <v>774</v>
      </c>
      <c r="D28" s="262"/>
      <c r="E28" s="611">
        <f>+'FC-9_TRANS_SUBV'!G67+'FC-9_TRANS_SUBV'!G81</f>
        <v>900000</v>
      </c>
      <c r="F28" s="1172"/>
      <c r="G28" s="1173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5" customHeight="1">
      <c r="B29" s="110"/>
      <c r="C29" s="155" t="s">
        <v>533</v>
      </c>
      <c r="D29" s="263"/>
      <c r="E29" s="612">
        <f>+'FC-9_TRANS_SUBV'!G30</f>
        <v>2822386.62</v>
      </c>
      <c r="F29" s="1174"/>
      <c r="G29" s="1175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5" customHeight="1" thickBot="1">
      <c r="B31" s="110"/>
      <c r="C31" s="1163" t="s">
        <v>534</v>
      </c>
      <c r="D31" s="1164"/>
      <c r="E31" s="269">
        <f>SUM(E32:E43)</f>
        <v>-6894771.6900000004</v>
      </c>
      <c r="F31" s="1176"/>
      <c r="G31" s="1177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5" customHeight="1">
      <c r="B32" s="110"/>
      <c r="C32" s="178" t="s">
        <v>100</v>
      </c>
      <c r="D32" s="262"/>
      <c r="E32" s="611">
        <f>+'FC-3_CPyG'!G22</f>
        <v>0</v>
      </c>
      <c r="F32" s="1172"/>
      <c r="G32" s="1173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5" customHeight="1">
      <c r="B33" s="110"/>
      <c r="C33" s="178" t="s">
        <v>535</v>
      </c>
      <c r="D33" s="262"/>
      <c r="E33" s="611">
        <f>+'FC-3_CPyG'!G30</f>
        <v>-687726.57000000007</v>
      </c>
      <c r="F33" s="536"/>
      <c r="G33" s="4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5" customHeight="1">
      <c r="B34" s="110"/>
      <c r="C34" s="178" t="s">
        <v>115</v>
      </c>
      <c r="D34" s="262"/>
      <c r="E34" s="611">
        <f>+'FC-3_CPyG'!G34-'FC-3_CPyG'!G36</f>
        <v>-3073000</v>
      </c>
      <c r="F34" s="536"/>
      <c r="G34" s="4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5" customHeight="1">
      <c r="B35" s="110"/>
      <c r="C35" s="178" t="s">
        <v>536</v>
      </c>
      <c r="D35" s="262"/>
      <c r="E35" s="611">
        <f>+'FC-3_CPyG'!G59+'FC-3_CPyG'!G63+'FC-3_CPyG'!G66+'FC-3_CPyG'!G67</f>
        <v>-271658.5</v>
      </c>
      <c r="F35" s="536"/>
      <c r="G35" s="489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5" customHeight="1">
      <c r="B36" s="110"/>
      <c r="C36" s="178" t="s">
        <v>537</v>
      </c>
      <c r="D36" s="262"/>
      <c r="E36" s="611">
        <f>+'FC-3_CPyG'!G77</f>
        <v>0</v>
      </c>
      <c r="F36" s="536"/>
      <c r="G36" s="489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5" customHeight="1">
      <c r="B37" s="110"/>
      <c r="C37" s="178" t="s">
        <v>538</v>
      </c>
      <c r="D37" s="262"/>
      <c r="E37" s="611">
        <f>+'FC-3_CPyG'!G36</f>
        <v>0</v>
      </c>
      <c r="F37" s="536"/>
      <c r="G37" s="489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5" customHeight="1">
      <c r="B38" s="110"/>
      <c r="C38" s="178" t="s">
        <v>539</v>
      </c>
      <c r="D38" s="262"/>
      <c r="E38" s="611">
        <f>+'FC-3_1_INF_ADIC_CPyG'!G59</f>
        <v>-40000</v>
      </c>
      <c r="F38" s="536"/>
      <c r="G38" s="489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5" customHeight="1">
      <c r="B39" s="110"/>
      <c r="C39" s="178" t="s">
        <v>540</v>
      </c>
      <c r="D39" s="262"/>
      <c r="E39" s="611">
        <f>-'FC-7_INF'!F31-'FC-7_INF'!H31-'FC-7_INF'!K31-'FC-7_INF'!F33-'FC-7_INF'!H33-'FC-7_INF'!K33</f>
        <v>-2822386.62</v>
      </c>
      <c r="F39" s="536"/>
      <c r="G39" s="489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5" customHeight="1">
      <c r="B40" s="110"/>
      <c r="C40" s="610" t="s">
        <v>541</v>
      </c>
      <c r="D40" s="262"/>
      <c r="E40" s="611">
        <f>+'FC-3_CPyG'!G20</f>
        <v>0</v>
      </c>
      <c r="F40" s="536"/>
      <c r="G40" s="489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5" customHeight="1">
      <c r="B41" s="110"/>
      <c r="C41" s="178" t="s">
        <v>542</v>
      </c>
      <c r="D41" s="262"/>
      <c r="E41" s="505"/>
      <c r="F41" s="536"/>
      <c r="G41" s="489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5" customHeight="1">
      <c r="B42" s="110"/>
      <c r="C42" s="178" t="s">
        <v>543</v>
      </c>
      <c r="D42" s="262"/>
      <c r="E42" s="505"/>
      <c r="F42" s="1172"/>
      <c r="G42" s="1173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5" customHeight="1">
      <c r="B43" s="110"/>
      <c r="C43" s="155" t="s">
        <v>544</v>
      </c>
      <c r="D43" s="263"/>
      <c r="E43" s="508"/>
      <c r="F43" s="1174"/>
      <c r="G43" s="1175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5" customHeight="1" thickBot="1">
      <c r="B45" s="110"/>
      <c r="C45" s="157" t="s">
        <v>545</v>
      </c>
      <c r="D45" s="291"/>
      <c r="E45" s="170">
        <f>+E20+E31</f>
        <v>-33233.070000000298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5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5" customHeight="1">
      <c r="B47" s="110"/>
      <c r="C47" s="166" t="s">
        <v>354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5" customHeight="1">
      <c r="B48" s="110"/>
      <c r="C48" s="164" t="s">
        <v>676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5" customHeight="1" thickBot="1">
      <c r="B49" s="114"/>
      <c r="C49" s="1086"/>
      <c r="D49" s="1086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5" customHeight="1">
      <c r="C50" s="97"/>
      <c r="D50" s="97"/>
      <c r="E50" s="98"/>
      <c r="F50" s="98"/>
      <c r="G50" s="98"/>
    </row>
    <row r="51" spans="2:23" ht="13.2">
      <c r="C51" s="117" t="s">
        <v>77</v>
      </c>
      <c r="D51" s="97"/>
      <c r="E51" s="98"/>
      <c r="F51" s="98"/>
      <c r="G51" s="88" t="s">
        <v>63</v>
      </c>
    </row>
    <row r="52" spans="2:23" ht="13.2">
      <c r="C52" s="118" t="s">
        <v>78</v>
      </c>
      <c r="D52" s="97"/>
      <c r="E52" s="98"/>
      <c r="F52" s="98"/>
      <c r="G52" s="98"/>
    </row>
    <row r="53" spans="2:23" ht="13.2">
      <c r="C53" s="118" t="s">
        <v>79</v>
      </c>
      <c r="D53" s="97"/>
      <c r="E53" s="98"/>
      <c r="F53" s="98"/>
      <c r="G53" s="98"/>
    </row>
    <row r="54" spans="2:23" ht="13.2">
      <c r="C54" s="118" t="s">
        <v>80</v>
      </c>
      <c r="D54" s="97"/>
      <c r="E54" s="98"/>
      <c r="F54" s="98"/>
      <c r="G54" s="98"/>
    </row>
    <row r="55" spans="2:23" ht="13.2">
      <c r="C55" s="118" t="s">
        <v>81</v>
      </c>
      <c r="D55" s="97"/>
      <c r="E55" s="98"/>
      <c r="F55" s="98"/>
      <c r="G55" s="98"/>
    </row>
    <row r="56" spans="2:23" ht="22.95" customHeight="1">
      <c r="C56" s="97"/>
      <c r="D56" s="97"/>
      <c r="E56" s="98"/>
      <c r="F56" s="98"/>
      <c r="G56" s="98"/>
    </row>
    <row r="57" spans="2:23" ht="22.95" customHeight="1">
      <c r="C57" s="97"/>
      <c r="D57" s="97"/>
      <c r="E57" s="98"/>
      <c r="F57" s="98"/>
      <c r="G57" s="98"/>
    </row>
    <row r="58" spans="2:23" ht="22.95" customHeight="1">
      <c r="C58" s="97"/>
      <c r="D58" s="97"/>
      <c r="E58" s="98"/>
      <c r="F58" s="98"/>
      <c r="G58" s="98"/>
    </row>
    <row r="59" spans="2:23" ht="22.95" customHeight="1">
      <c r="C59" s="97"/>
      <c r="D59" s="97"/>
      <c r="E59" s="98"/>
      <c r="F59" s="98"/>
      <c r="G59" s="98"/>
    </row>
    <row r="60" spans="2:23" ht="22.95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25" zoomScale="70" zoomScaleNormal="70" zoomScalePageLayoutView="70" workbookViewId="0">
      <selection activeCell="E46" sqref="E46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7.81640625" style="91" customWidth="1"/>
    <col min="6" max="6" width="12.1796875" style="91" customWidth="1"/>
    <col min="7" max="7" width="3.1796875" style="90" customWidth="1"/>
    <col min="8" max="16384" width="10.81640625" style="90"/>
  </cols>
  <sheetData>
    <row r="2" spans="2:22" ht="22.95" customHeight="1">
      <c r="D2" s="212" t="s">
        <v>321</v>
      </c>
    </row>
    <row r="3" spans="2:22" ht="22.95" customHeight="1">
      <c r="D3" s="212" t="s">
        <v>322</v>
      </c>
    </row>
    <row r="4" spans="2:22" ht="22.95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65">
        <f>ejercicio</f>
        <v>2018</v>
      </c>
      <c r="G6" s="99"/>
      <c r="I6" s="427"/>
      <c r="J6" s="428" t="s">
        <v>643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65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087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2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546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27"/>
      <c r="D12" s="1127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118" t="s">
        <v>395</v>
      </c>
      <c r="D14" s="1120"/>
      <c r="E14" s="266" t="s">
        <v>422</v>
      </c>
      <c r="F14" s="278" t="s">
        <v>547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5" customHeight="1">
      <c r="B16" s="293"/>
      <c r="C16" s="1180" t="s">
        <v>548</v>
      </c>
      <c r="D16" s="1181"/>
      <c r="E16" s="296">
        <f>SUM(E17:E19)</f>
        <v>0</v>
      </c>
      <c r="F16" s="299">
        <f>E16/$E$33</f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5" customHeight="1">
      <c r="B17" s="183"/>
      <c r="C17" s="189" t="s">
        <v>549</v>
      </c>
      <c r="D17" s="262" t="s">
        <v>552</v>
      </c>
      <c r="E17" s="505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5" customHeight="1">
      <c r="B18" s="183"/>
      <c r="C18" s="189" t="s">
        <v>550</v>
      </c>
      <c r="D18" s="262" t="s">
        <v>553</v>
      </c>
      <c r="E18" s="505">
        <f>+'FC-3_1_INF_ADIC_CPyG'!K35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5" customHeight="1">
      <c r="B19" s="183"/>
      <c r="C19" s="279" t="s">
        <v>551</v>
      </c>
      <c r="D19" s="263" t="s">
        <v>554</v>
      </c>
      <c r="E19" s="508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5" customHeight="1">
      <c r="B21" s="183"/>
      <c r="C21" s="1180" t="s">
        <v>555</v>
      </c>
      <c r="D21" s="1181"/>
      <c r="E21" s="609">
        <f>+'FC-3_1_INF_ADIC_CPyG'!K44</f>
        <v>74552</v>
      </c>
      <c r="F21" s="304">
        <f>E21/$E$33</f>
        <v>1.8457339560382972E-2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5" customHeight="1">
      <c r="B23" s="293"/>
      <c r="C23" s="1180" t="s">
        <v>556</v>
      </c>
      <c r="D23" s="1181"/>
      <c r="E23" s="296">
        <f>SUM(E24:E26)</f>
        <v>3964600</v>
      </c>
      <c r="F23" s="304">
        <f t="shared" ref="F23:F26" si="1">E23/$E$33</f>
        <v>0.98154266043961702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5" customHeight="1">
      <c r="B24" s="183"/>
      <c r="C24" s="189" t="s">
        <v>549</v>
      </c>
      <c r="D24" s="262" t="s">
        <v>557</v>
      </c>
      <c r="E24" s="505">
        <f>+'FC-9_TRANS_SUBV'!G52+'FC-9_TRANS_SUBV'!G67</f>
        <v>3964600</v>
      </c>
      <c r="F24" s="300">
        <f t="shared" si="1"/>
        <v>0.98154266043961702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5" customHeight="1">
      <c r="B25" s="183"/>
      <c r="C25" s="189" t="s">
        <v>550</v>
      </c>
      <c r="D25" s="262" t="s">
        <v>559</v>
      </c>
      <c r="E25" s="505">
        <f>+'FC-3_1_INF_ADIC_CPyG'!G80+'FC-3_1_INF_ADIC_CPyG'!G81+'FC-3_1_INF_ADIC_CPyG'!G82+'FC-3_1_INF_ADIC_CPyG'!G85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5" customHeight="1">
      <c r="B26" s="183"/>
      <c r="C26" s="279" t="s">
        <v>551</v>
      </c>
      <c r="D26" s="263" t="s">
        <v>558</v>
      </c>
      <c r="E26" s="508">
        <f>+'FC-3_1_INF_ADIC_CPyG'!G84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5" customHeight="1">
      <c r="B28" s="293"/>
      <c r="C28" s="1180" t="s">
        <v>560</v>
      </c>
      <c r="D28" s="1181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5" customHeight="1">
      <c r="B29" s="183"/>
      <c r="C29" s="189" t="s">
        <v>549</v>
      </c>
      <c r="D29" s="262"/>
      <c r="E29" s="505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5" customHeight="1">
      <c r="B30" s="183"/>
      <c r="C30" s="189" t="s">
        <v>550</v>
      </c>
      <c r="D30" s="262"/>
      <c r="E30" s="505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5" customHeight="1">
      <c r="B31" s="183"/>
      <c r="C31" s="279" t="s">
        <v>551</v>
      </c>
      <c r="D31" s="263"/>
      <c r="E31" s="508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5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5" customHeight="1" thickBot="1">
      <c r="B33" s="183"/>
      <c r="C33" s="1182" t="s">
        <v>561</v>
      </c>
      <c r="D33" s="1183"/>
      <c r="E33" s="292">
        <f>E28+E23+E21+E16</f>
        <v>4039152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5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5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5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5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5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5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5" customHeight="1" thickBot="1">
      <c r="B40" s="114"/>
      <c r="C40" s="1086"/>
      <c r="D40" s="1086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5" customHeight="1">
      <c r="C41" s="97"/>
      <c r="D41" s="97"/>
      <c r="E41" s="98"/>
      <c r="F41" s="98"/>
    </row>
    <row r="42" spans="2:22" ht="13.2">
      <c r="C42" s="117" t="s">
        <v>77</v>
      </c>
      <c r="D42" s="97"/>
      <c r="E42" s="98"/>
      <c r="F42" s="88" t="s">
        <v>68</v>
      </c>
    </row>
    <row r="43" spans="2:22" ht="13.2">
      <c r="C43" s="118" t="s">
        <v>78</v>
      </c>
      <c r="D43" s="97"/>
      <c r="E43" s="98"/>
      <c r="F43" s="98"/>
    </row>
    <row r="44" spans="2:22" ht="13.2">
      <c r="C44" s="118" t="s">
        <v>79</v>
      </c>
      <c r="D44" s="97"/>
      <c r="E44" s="98"/>
      <c r="F44" s="98"/>
    </row>
    <row r="45" spans="2:22" ht="13.2">
      <c r="C45" s="118" t="s">
        <v>80</v>
      </c>
      <c r="D45" s="97"/>
      <c r="E45" s="98"/>
      <c r="F45" s="98"/>
    </row>
    <row r="46" spans="2:22" ht="13.2">
      <c r="C46" s="118" t="s">
        <v>81</v>
      </c>
      <c r="D46" s="97"/>
      <c r="E46" s="98"/>
      <c r="F46" s="98"/>
    </row>
    <row r="47" spans="2:22" ht="22.95" customHeight="1">
      <c r="C47" s="97"/>
      <c r="D47" s="97"/>
      <c r="E47" s="98"/>
      <c r="F47" s="98"/>
    </row>
    <row r="48" spans="2:22" ht="22.95" customHeight="1">
      <c r="C48" s="97"/>
      <c r="D48" s="97"/>
      <c r="E48" s="98"/>
      <c r="F48" s="98"/>
    </row>
    <row r="49" spans="3:6" ht="22.95" customHeight="1">
      <c r="C49" s="97"/>
      <c r="D49" s="97"/>
      <c r="E49" s="98"/>
      <c r="F49" s="98"/>
    </row>
    <row r="50" spans="3:6" ht="22.95" customHeight="1">
      <c r="C50" s="97"/>
      <c r="D50" s="97"/>
      <c r="E50" s="98"/>
      <c r="F50" s="98"/>
    </row>
    <row r="51" spans="3:6" ht="22.95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workbookViewId="0">
      <selection activeCell="F84" sqref="F84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81640625" style="91" customWidth="1"/>
    <col min="6" max="6" width="3.1796875" style="90" customWidth="1"/>
    <col min="7" max="16384" width="10.81640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65">
        <f>ejercicio</f>
        <v>2018</v>
      </c>
      <c r="F6" s="99"/>
    </row>
    <row r="7" spans="2:6" ht="30" customHeight="1">
      <c r="B7" s="96"/>
      <c r="C7" s="69" t="s">
        <v>1</v>
      </c>
      <c r="D7" s="97"/>
      <c r="E7" s="106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84"/>
    </row>
    <row r="10" spans="2:6" ht="7.2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27"/>
      <c r="D12" s="1127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18" t="s">
        <v>577</v>
      </c>
      <c r="D14" s="1120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f>+'FC-91_PRESUPUESTO'!E16</f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f>+'FC-91_PRESUPUESTO'!E17</f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+'FC-91_PRESUPUESTO'!E18</f>
        <v>74552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+'FC-91_PRESUPUESTO'!E19</f>
        <v>3964600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+'FC-91_PRESUPUESTO'!E20</f>
        <v>0</v>
      </c>
      <c r="F20" s="184"/>
    </row>
    <row r="21" spans="2:6" s="185" customFormat="1" ht="22.95" customHeight="1">
      <c r="B21" s="183"/>
      <c r="C21" s="1180" t="s">
        <v>568</v>
      </c>
      <c r="D21" s="1181"/>
      <c r="E21" s="296">
        <f>SUM(E16:E20)</f>
        <v>4039152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+'FC-91_PRESUPUESTO'!E23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+'FC-91_PRESUPUESTO'!E24</f>
        <v>2822386.62</v>
      </c>
      <c r="F24" s="184"/>
    </row>
    <row r="25" spans="2:6" s="185" customFormat="1" ht="22.95" customHeight="1">
      <c r="B25" s="183"/>
      <c r="C25" s="1180" t="s">
        <v>571</v>
      </c>
      <c r="D25" s="1181"/>
      <c r="E25" s="296">
        <f>SUM(E23:E24)</f>
        <v>2822386.62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+'FC-91_PRESUPUESTO'!E27</f>
        <v>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+'FC-91_PRESUPUESTO'!E28</f>
        <v>0</v>
      </c>
      <c r="F28" s="184"/>
    </row>
    <row r="29" spans="2:6" s="185" customFormat="1" ht="22.95" customHeight="1">
      <c r="B29" s="183"/>
      <c r="C29" s="1180" t="s">
        <v>574</v>
      </c>
      <c r="D29" s="1181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84" t="s">
        <v>575</v>
      </c>
      <c r="D31" s="1185"/>
      <c r="E31" s="305">
        <f>E21+E25+E29</f>
        <v>6861538.6200000001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80" t="s">
        <v>576</v>
      </c>
      <c r="D33" s="1181"/>
      <c r="E33" s="296">
        <f>+'FC-92_PRESUPUESTO_PYG'!E33</f>
        <v>506897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84" t="s">
        <v>575</v>
      </c>
      <c r="D35" s="1185"/>
      <c r="E35" s="305">
        <f>+E31+E33</f>
        <v>7368435.6200000001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18" t="s">
        <v>578</v>
      </c>
      <c r="D37" s="1120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+'FC-91_PRESUPUESTO'!E36</f>
        <v>687726.57000000007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+'FC-91_PRESUPUESTO'!E37</f>
        <v>3113000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+'FC-91_PRESUPUESTO'!E38</f>
        <v>271658.5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90">
        <f>+'FC-91_PRESUPUESTO'!E39</f>
        <v>0</v>
      </c>
      <c r="F42" s="184"/>
    </row>
    <row r="43" spans="2:6" s="185" customFormat="1" ht="22.95" customHeight="1">
      <c r="B43" s="183"/>
      <c r="C43" s="1180" t="s">
        <v>582</v>
      </c>
      <c r="D43" s="1181"/>
      <c r="E43" s="296">
        <f>SUM(E39:E42)</f>
        <v>4072385.0700000003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>
        <f>+'FC-91_PRESUPUESTO'!E42</f>
        <v>2822386.62</v>
      </c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>
        <f>+'FC-91_PRESUPUESTO'!E43</f>
        <v>0</v>
      </c>
      <c r="F46" s="184"/>
    </row>
    <row r="47" spans="2:6" s="185" customFormat="1" ht="22.95" customHeight="1">
      <c r="B47" s="183"/>
      <c r="C47" s="1180" t="s">
        <v>584</v>
      </c>
      <c r="D47" s="1181"/>
      <c r="E47" s="296">
        <f>SUM(E45:E46)</f>
        <v>2822386.62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>
        <f>+'FC-91_PRESUPUESTO'!E46</f>
        <v>830069</v>
      </c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>
        <f>+'FC-91_PRESUPUESTO'!E47</f>
        <v>1539619.4299999997</v>
      </c>
      <c r="F50" s="184"/>
    </row>
    <row r="51" spans="2:8" s="185" customFormat="1" ht="22.95" customHeight="1">
      <c r="B51" s="183"/>
      <c r="C51" s="1180" t="s">
        <v>585</v>
      </c>
      <c r="D51" s="1181"/>
      <c r="E51" s="296">
        <f>SUM(E49:E50)</f>
        <v>2369688.4299999997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84" t="s">
        <v>586</v>
      </c>
      <c r="D53" s="1185"/>
      <c r="E53" s="305">
        <f>E43+E47+E51</f>
        <v>9264460.120000001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80" t="s">
        <v>587</v>
      </c>
      <c r="D55" s="1181"/>
      <c r="E55" s="296">
        <f>+'FC-92_PRESUPUESTO_PYG'!E55</f>
        <v>446702.89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84" t="s">
        <v>586</v>
      </c>
      <c r="D57" s="1185"/>
      <c r="E57" s="305">
        <f>+E53+E55</f>
        <v>9711163.0100000016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-2342727.3900000015</v>
      </c>
      <c r="F59" s="107"/>
      <c r="H59" s="317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s="306" customFormat="1" ht="22.95" customHeight="1" thickBot="1">
      <c r="B61" s="104"/>
      <c r="C61" s="309" t="s">
        <v>589</v>
      </c>
      <c r="D61" s="310"/>
      <c r="E61" s="311">
        <f>E62+SUM(E67:E71)</f>
        <v>2342727.3850000021</v>
      </c>
      <c r="F61" s="107"/>
      <c r="H61" s="317"/>
    </row>
    <row r="62" spans="2:8" s="185" customFormat="1" ht="22.95" customHeight="1" thickTop="1">
      <c r="B62" s="183"/>
      <c r="C62" s="313"/>
      <c r="D62" s="314" t="s">
        <v>590</v>
      </c>
      <c r="E62" s="315">
        <f>SUM(E63:E66)</f>
        <v>446702.89</v>
      </c>
      <c r="F62" s="184"/>
    </row>
    <row r="63" spans="2:8" s="185" customFormat="1" ht="22.95" customHeight="1">
      <c r="B63" s="183"/>
      <c r="C63" s="189"/>
      <c r="D63" s="262" t="s">
        <v>346</v>
      </c>
      <c r="E63" s="858">
        <f>-'FC-7_INF'!G31</f>
        <v>0</v>
      </c>
      <c r="F63" s="184"/>
    </row>
    <row r="64" spans="2:8" s="185" customFormat="1" ht="22.95" customHeight="1">
      <c r="B64" s="183"/>
      <c r="C64" s="189"/>
      <c r="D64" s="262" t="s">
        <v>334</v>
      </c>
      <c r="E64" s="858">
        <f>-'FC-7_INF'!I31</f>
        <v>446702.89</v>
      </c>
      <c r="F64" s="184"/>
    </row>
    <row r="65" spans="2:8" s="185" customFormat="1" ht="22.95" customHeight="1">
      <c r="B65" s="183"/>
      <c r="C65" s="189"/>
      <c r="D65" s="262" t="s">
        <v>335</v>
      </c>
      <c r="E65" s="858">
        <f>-'FC-7_INF'!J31</f>
        <v>0</v>
      </c>
      <c r="F65" s="184"/>
    </row>
    <row r="66" spans="2:8" s="185" customFormat="1" ht="22.95" customHeight="1">
      <c r="B66" s="183"/>
      <c r="C66" s="316"/>
      <c r="D66" s="290" t="s">
        <v>336</v>
      </c>
      <c r="E66" s="859">
        <f>-'FC-7_INF'!L31</f>
        <v>0</v>
      </c>
      <c r="F66" s="184"/>
    </row>
    <row r="67" spans="2:8" s="185" customFormat="1" ht="22.95" customHeight="1">
      <c r="B67" s="183"/>
      <c r="C67" s="176"/>
      <c r="D67" s="264" t="s">
        <v>671</v>
      </c>
      <c r="E67" s="860">
        <f>-'FC-8_INV_FINANCIERAS'!I25-'FC-8_INV_FINANCIERAS'!I34-'FC-8_INV_FINANCIERAS'!I49-'FC-8_INV_FINANCIERAS'!I58</f>
        <v>0</v>
      </c>
      <c r="F67" s="184"/>
    </row>
    <row r="68" spans="2:8" s="185" customFormat="1" ht="22.95" customHeight="1">
      <c r="B68" s="183"/>
      <c r="C68" s="176"/>
      <c r="D68" s="879" t="s">
        <v>775</v>
      </c>
      <c r="E68" s="860">
        <f>'FC-4_ACTIVO'!F48-'FC-4_ACTIVO'!G48</f>
        <v>0</v>
      </c>
      <c r="F68" s="184"/>
    </row>
    <row r="69" spans="2:8" s="185" customFormat="1" ht="22.95" customHeight="1">
      <c r="B69" s="183"/>
      <c r="C69" s="176"/>
      <c r="D69" s="512" t="s">
        <v>674</v>
      </c>
      <c r="E69" s="188">
        <f>-(('FC-4_ACTIVO'!G50-'FC-4_ACTIVO'!G75-'FC-4_ACTIVO'!G82)-('FC-4_ACTIVO'!F50-'FC-4_ACTIVO'!F75-'FC-4_ACTIVO'!F82))</f>
        <v>2469777.6300000008</v>
      </c>
      <c r="F69" s="184"/>
    </row>
    <row r="70" spans="2:8" s="185" customFormat="1" ht="22.95" customHeight="1">
      <c r="B70" s="183"/>
      <c r="C70" s="176"/>
      <c r="D70" s="512" t="s">
        <v>672</v>
      </c>
      <c r="E70" s="188">
        <f>'FC-9_TRANS_SUBV'!G32+'FC-9_TRANS_SUBV'!G34+'FC-9_TRANS_SUBV'!G33</f>
        <v>-1085769.405</v>
      </c>
      <c r="F70" s="184"/>
      <c r="H70" s="318"/>
    </row>
    <row r="71" spans="2:8" s="185" customFormat="1" ht="22.95" customHeight="1">
      <c r="B71" s="183"/>
      <c r="C71" s="176"/>
      <c r="D71" s="512" t="s">
        <v>673</v>
      </c>
      <c r="E71" s="188">
        <f>'FC-4_PASIVO'!G43-'FC-4_PASIVO'!F43+'FC-4_PASIVO'!G61-'FC-4_PASIVO'!F61+E50-E28</f>
        <v>512016.27000000118</v>
      </c>
      <c r="F71" s="184"/>
      <c r="H71" s="318"/>
    </row>
    <row r="72" spans="2:8" s="185" customFormat="1" ht="22.95" customHeight="1">
      <c r="B72" s="183"/>
      <c r="C72" s="22"/>
      <c r="D72" s="312"/>
      <c r="E72" s="213"/>
      <c r="F72" s="184"/>
    </row>
    <row r="73" spans="2:8" s="306" customFormat="1" ht="22.95" customHeight="1" thickBot="1">
      <c r="B73" s="104"/>
      <c r="C73" s="309" t="s">
        <v>591</v>
      </c>
      <c r="D73" s="310"/>
      <c r="E73" s="311">
        <f>+E59+E61</f>
        <v>-4.9999994225800037E-3</v>
      </c>
      <c r="F73" s="107"/>
      <c r="H73" s="317"/>
    </row>
    <row r="74" spans="2:8" s="185" customFormat="1" ht="22.95" customHeight="1" thickTop="1">
      <c r="B74" s="183"/>
      <c r="C74" s="22"/>
      <c r="D74" s="150"/>
      <c r="E74" s="146"/>
      <c r="F74" s="184"/>
    </row>
    <row r="75" spans="2:8" ht="22.95" customHeight="1" thickBot="1">
      <c r="B75" s="114"/>
      <c r="C75" s="1086"/>
      <c r="D75" s="1086"/>
      <c r="E75" s="115"/>
      <c r="F75" s="116"/>
    </row>
    <row r="76" spans="2:8" ht="22.95" customHeight="1">
      <c r="C76" s="97"/>
      <c r="D76" s="97"/>
      <c r="E76" s="98"/>
    </row>
    <row r="77" spans="2:8" ht="13.2">
      <c r="C77" s="117" t="s">
        <v>77</v>
      </c>
      <c r="D77" s="97"/>
      <c r="E77" s="88" t="s">
        <v>70</v>
      </c>
    </row>
    <row r="78" spans="2:8" ht="13.2">
      <c r="C78" s="118" t="s">
        <v>78</v>
      </c>
      <c r="D78" s="97"/>
      <c r="E78" s="98"/>
    </row>
    <row r="79" spans="2:8" ht="13.2">
      <c r="C79" s="118" t="s">
        <v>79</v>
      </c>
      <c r="D79" s="97"/>
      <c r="E79" s="98"/>
    </row>
    <row r="80" spans="2:8" ht="13.2">
      <c r="C80" s="118" t="s">
        <v>80</v>
      </c>
      <c r="D80" s="97"/>
      <c r="E80" s="98"/>
    </row>
    <row r="81" spans="3:5" ht="13.2">
      <c r="C81" s="118" t="s">
        <v>81</v>
      </c>
      <c r="D81" s="97"/>
      <c r="E81" s="98"/>
    </row>
    <row r="82" spans="3:5" ht="22.95" customHeight="1">
      <c r="C82" s="97"/>
      <c r="D82" s="97"/>
      <c r="E82" s="98"/>
    </row>
    <row r="83" spans="3:5" ht="22.95" customHeight="1">
      <c r="C83" s="97"/>
      <c r="D83" s="97"/>
      <c r="E83" s="98"/>
    </row>
    <row r="84" spans="3:5" ht="22.95" customHeight="1">
      <c r="C84" s="97"/>
      <c r="D84" s="97"/>
      <c r="E84" s="98"/>
    </row>
    <row r="85" spans="3:5" ht="22.95" customHeight="1">
      <c r="C85" s="97"/>
      <c r="D85" s="97"/>
      <c r="E85" s="98"/>
    </row>
    <row r="86" spans="3:5" ht="22.95" customHeight="1">
      <c r="E86" s="98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56" workbookViewId="0">
      <selection activeCell="E59" sqref="E59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81640625" style="91" customWidth="1"/>
    <col min="6" max="6" width="3.1796875" style="90" customWidth="1"/>
    <col min="7" max="16384" width="10.81640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65">
        <f>ejercicio</f>
        <v>2018</v>
      </c>
      <c r="F6" s="99"/>
    </row>
    <row r="7" spans="2:6" ht="30" customHeight="1">
      <c r="B7" s="96"/>
      <c r="C7" s="69" t="s">
        <v>1</v>
      </c>
      <c r="D7" s="97"/>
      <c r="E7" s="106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87" t="str">
        <f>Entidad</f>
        <v>PARQUE CIENTÍFICO Y TECNOLÓGICO DE TENERIFE, S.A.</v>
      </c>
      <c r="E9" s="1087"/>
      <c r="F9" s="184"/>
    </row>
    <row r="10" spans="2:6" ht="7.2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27"/>
      <c r="D12" s="1127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18" t="s">
        <v>577</v>
      </c>
      <c r="D14" s="1120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+'FC-92_PRESUPUESTO_PYG'!E18</f>
        <v>74552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+'FC-92_PRESUPUESTO_PYG'!E19+'FC-9_TRANS_SUBV'!G67</f>
        <v>3964600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+'FC-92_PRESUPUESTO_PYG'!E20</f>
        <v>0</v>
      </c>
      <c r="F20" s="184"/>
    </row>
    <row r="21" spans="2:6" s="185" customFormat="1" ht="22.95" customHeight="1">
      <c r="B21" s="183"/>
      <c r="C21" s="1180" t="s">
        <v>568</v>
      </c>
      <c r="D21" s="1181"/>
      <c r="E21" s="296">
        <f>SUM(E16:E20)</f>
        <v>4039152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>
        <f>-'FC-7_INF'!K31</f>
        <v>0</v>
      </c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>
        <f>'FC-9_TRANS_SUBV'!G30</f>
        <v>2822386.62</v>
      </c>
      <c r="F24" s="184"/>
    </row>
    <row r="25" spans="2:6" s="185" customFormat="1" ht="22.95" customHeight="1">
      <c r="B25" s="183"/>
      <c r="C25" s="1180" t="s">
        <v>571</v>
      </c>
      <c r="D25" s="1181"/>
      <c r="E25" s="296">
        <f>SUM(E23:E24)</f>
        <v>2822386.62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>
        <f>+'FC-10_DEUDAS'!M42</f>
        <v>0</v>
      </c>
      <c r="F28" s="184"/>
    </row>
    <row r="29" spans="2:6" s="185" customFormat="1" ht="22.95" customHeight="1">
      <c r="B29" s="183"/>
      <c r="C29" s="1180" t="s">
        <v>574</v>
      </c>
      <c r="D29" s="1181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84" t="s">
        <v>575</v>
      </c>
      <c r="D31" s="1185"/>
      <c r="E31" s="305">
        <f>E21+E25+E29</f>
        <v>6861538.6200000001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118" t="s">
        <v>578</v>
      </c>
      <c r="D34" s="1120"/>
      <c r="E34" s="266" t="s">
        <v>422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5" customHeight="1">
      <c r="B36" s="183"/>
      <c r="C36" s="289" t="s">
        <v>189</v>
      </c>
      <c r="D36" s="227" t="s">
        <v>579</v>
      </c>
      <c r="E36" s="168">
        <f>+'FC-92_PRESUPUESTO_PYG'!E39</f>
        <v>687726.57000000007</v>
      </c>
      <c r="F36" s="184"/>
    </row>
    <row r="37" spans="2:6" s="185" customFormat="1" ht="22.95" customHeight="1">
      <c r="B37" s="183"/>
      <c r="C37" s="189" t="s">
        <v>199</v>
      </c>
      <c r="D37" s="262" t="s">
        <v>580</v>
      </c>
      <c r="E37" s="190">
        <f>+'FC-92_PRESUPUESTO_PYG'!E40</f>
        <v>3113000</v>
      </c>
      <c r="F37" s="184"/>
    </row>
    <row r="38" spans="2:6" s="185" customFormat="1" ht="22.95" customHeight="1">
      <c r="B38" s="183"/>
      <c r="C38" s="189" t="s">
        <v>204</v>
      </c>
      <c r="D38" s="262" t="s">
        <v>333</v>
      </c>
      <c r="E38" s="190">
        <f>+'FC-92_PRESUPUESTO_PYG'!E41</f>
        <v>271658.5</v>
      </c>
      <c r="F38" s="184"/>
    </row>
    <row r="39" spans="2:6" s="185" customFormat="1" ht="22.95" customHeight="1">
      <c r="B39" s="183"/>
      <c r="C39" s="189" t="s">
        <v>208</v>
      </c>
      <c r="D39" s="262" t="s">
        <v>581</v>
      </c>
      <c r="E39" s="190">
        <f>+'FC-92_PRESUPUESTO_PYG'!E42</f>
        <v>0</v>
      </c>
      <c r="F39" s="184"/>
    </row>
    <row r="40" spans="2:6" s="185" customFormat="1" ht="22.95" customHeight="1">
      <c r="B40" s="183"/>
      <c r="C40" s="1180" t="s">
        <v>582</v>
      </c>
      <c r="D40" s="1181"/>
      <c r="E40" s="296">
        <f>SUM(E36:E39)</f>
        <v>4072385.0700000003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5" customHeight="1">
      <c r="B42" s="183"/>
      <c r="C42" s="289" t="s">
        <v>219</v>
      </c>
      <c r="D42" s="227" t="s">
        <v>583</v>
      </c>
      <c r="E42" s="168">
        <f>'FC-7_INF'!F31+'FC-7_INF'!H31</f>
        <v>2822386.62</v>
      </c>
      <c r="F42" s="184"/>
    </row>
    <row r="43" spans="2:6" s="185" customFormat="1" ht="22.95" customHeight="1">
      <c r="B43" s="183"/>
      <c r="C43" s="189" t="s">
        <v>221</v>
      </c>
      <c r="D43" s="262" t="s">
        <v>570</v>
      </c>
      <c r="E43" s="190">
        <v>0</v>
      </c>
      <c r="F43" s="184"/>
    </row>
    <row r="44" spans="2:6" s="185" customFormat="1" ht="22.95" customHeight="1">
      <c r="B44" s="183"/>
      <c r="C44" s="1180" t="s">
        <v>584</v>
      </c>
      <c r="D44" s="1181"/>
      <c r="E44" s="296">
        <f>SUM(E42:E43)</f>
        <v>2822386.62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5" customHeight="1">
      <c r="B46" s="183"/>
      <c r="C46" s="289" t="s">
        <v>272</v>
      </c>
      <c r="D46" s="227" t="s">
        <v>572</v>
      </c>
      <c r="E46" s="168">
        <f>'FC-8_INV_FINANCIERAS'!G25+'FC-8_INV_FINANCIERAS'!G34+'FC-8_INV_FINANCIERAS'!G49+'FC-8_INV_FINANCIERAS'!G58</f>
        <v>830069</v>
      </c>
      <c r="F46" s="184"/>
    </row>
    <row r="47" spans="2:6" s="185" customFormat="1" ht="22.95" customHeight="1">
      <c r="B47" s="183"/>
      <c r="C47" s="189" t="s">
        <v>274</v>
      </c>
      <c r="D47" s="262" t="s">
        <v>573</v>
      </c>
      <c r="E47" s="190">
        <f>'FC-10_DEUDAS'!N42+'FC-10_DEUDAS'!N74</f>
        <v>1539619.4299999997</v>
      </c>
      <c r="F47" s="184"/>
    </row>
    <row r="48" spans="2:6" s="185" customFormat="1" ht="22.95" customHeight="1">
      <c r="B48" s="183"/>
      <c r="C48" s="1180" t="s">
        <v>585</v>
      </c>
      <c r="D48" s="1181"/>
      <c r="E48" s="296">
        <f>SUM(E46:E47)</f>
        <v>2369688.4299999997</v>
      </c>
      <c r="F48" s="184"/>
    </row>
    <row r="49" spans="2:8" s="185" customFormat="1" ht="22.95" customHeight="1">
      <c r="B49" s="183"/>
      <c r="C49" s="150"/>
      <c r="D49" s="212"/>
      <c r="E49" s="214"/>
      <c r="F49" s="184"/>
    </row>
    <row r="50" spans="2:8" s="306" customFormat="1" ht="22.95" customHeight="1" thickBot="1">
      <c r="B50" s="104"/>
      <c r="C50" s="1184" t="s">
        <v>586</v>
      </c>
      <c r="D50" s="1185"/>
      <c r="E50" s="305">
        <f>E40+E44+E48</f>
        <v>9264460.120000001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5" customHeight="1" thickBot="1">
      <c r="B52" s="114"/>
      <c r="C52" s="1086"/>
      <c r="D52" s="1086"/>
      <c r="E52" s="115"/>
      <c r="F52" s="116"/>
      <c r="H52" s="185"/>
    </row>
    <row r="53" spans="2:8" ht="22.95" customHeight="1">
      <c r="C53" s="97"/>
      <c r="D53" s="97"/>
      <c r="E53" s="98"/>
    </row>
    <row r="54" spans="2:8" ht="13.2">
      <c r="C54" s="117" t="s">
        <v>77</v>
      </c>
      <c r="D54" s="97"/>
      <c r="E54" s="88" t="s">
        <v>72</v>
      </c>
    </row>
    <row r="55" spans="2:8" ht="13.2">
      <c r="C55" s="118" t="s">
        <v>78</v>
      </c>
      <c r="D55" s="97"/>
      <c r="E55" s="98"/>
    </row>
    <row r="56" spans="2:8" ht="13.2">
      <c r="C56" s="118" t="s">
        <v>79</v>
      </c>
      <c r="D56" s="97"/>
      <c r="E56" s="98"/>
    </row>
    <row r="57" spans="2:8" ht="13.2">
      <c r="C57" s="118" t="s">
        <v>80</v>
      </c>
      <c r="D57" s="97"/>
      <c r="E57" s="98"/>
    </row>
    <row r="58" spans="2:8" ht="13.2">
      <c r="C58" s="118" t="s">
        <v>81</v>
      </c>
      <c r="D58" s="97"/>
      <c r="E58" s="98"/>
    </row>
    <row r="59" spans="2:8" ht="22.95" customHeight="1">
      <c r="C59" s="97"/>
      <c r="D59" s="97"/>
      <c r="E59" s="98"/>
    </row>
    <row r="60" spans="2:8" ht="22.95" customHeight="1">
      <c r="C60" s="97"/>
      <c r="D60" s="97"/>
      <c r="E60" s="98"/>
    </row>
    <row r="61" spans="2:8" ht="22.95" customHeight="1">
      <c r="C61" s="97"/>
      <c r="D61" s="97"/>
      <c r="E61" s="98"/>
    </row>
    <row r="62" spans="2:8" ht="22.95" customHeight="1">
      <c r="C62" s="97"/>
      <c r="D62" s="97"/>
      <c r="E62" s="98"/>
    </row>
    <row r="63" spans="2:8" ht="22.95" customHeight="1">
      <c r="E63" s="98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E59" sqref="E59"/>
    </sheetView>
  </sheetViews>
  <sheetFormatPr baseColWidth="10" defaultColWidth="10.81640625" defaultRowHeight="22.95" customHeight="1"/>
  <cols>
    <col min="1" max="2" width="3.1796875" style="90" customWidth="1"/>
    <col min="3" max="3" width="13.1796875" style="90" customWidth="1"/>
    <col min="4" max="4" width="68" style="90" customWidth="1"/>
    <col min="5" max="5" width="16.81640625" style="91" customWidth="1"/>
    <col min="6" max="6" width="3.1796875" style="90" customWidth="1"/>
    <col min="7" max="16384" width="10.81640625" style="90"/>
  </cols>
  <sheetData>
    <row r="2" spans="2:6" ht="22.95" customHeight="1">
      <c r="D2" s="212" t="s">
        <v>321</v>
      </c>
    </row>
    <row r="3" spans="2:6" ht="22.95" customHeight="1">
      <c r="D3" s="212" t="s">
        <v>322</v>
      </c>
    </row>
    <row r="4" spans="2:6" ht="22.95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65">
        <f>ejercicio</f>
        <v>2018</v>
      </c>
      <c r="F6" s="99"/>
    </row>
    <row r="7" spans="2:6" ht="30" customHeight="1">
      <c r="B7" s="96"/>
      <c r="C7" s="69" t="s">
        <v>1</v>
      </c>
      <c r="D7" s="97"/>
      <c r="E7" s="106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87" t="str">
        <f>Entidad</f>
        <v>PARQUE CIENTÍFICO Y TECNOLÓGICO DE TENERIFE, S.A.</v>
      </c>
      <c r="E9" s="1087"/>
      <c r="F9" s="184"/>
    </row>
    <row r="10" spans="2:6" ht="7.2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562</v>
      </c>
      <c r="D11" s="105"/>
      <c r="E11" s="106"/>
      <c r="F11" s="107"/>
    </row>
    <row r="12" spans="2:6" s="108" customFormat="1" ht="30" customHeight="1">
      <c r="B12" s="104"/>
      <c r="C12" s="1127"/>
      <c r="D12" s="1127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118" t="s">
        <v>577</v>
      </c>
      <c r="D14" s="1120"/>
      <c r="E14" s="266" t="s">
        <v>422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5" customHeight="1">
      <c r="B16" s="183"/>
      <c r="C16" s="289" t="s">
        <v>189</v>
      </c>
      <c r="D16" s="227" t="s">
        <v>563</v>
      </c>
      <c r="E16" s="168">
        <v>0</v>
      </c>
      <c r="F16" s="184"/>
    </row>
    <row r="17" spans="2:6" s="185" customFormat="1" ht="22.95" customHeight="1">
      <c r="B17" s="183"/>
      <c r="C17" s="189" t="s">
        <v>199</v>
      </c>
      <c r="D17" s="262" t="s">
        <v>564</v>
      </c>
      <c r="E17" s="190">
        <v>0</v>
      </c>
      <c r="F17" s="184"/>
    </row>
    <row r="18" spans="2:6" s="185" customFormat="1" ht="22.95" customHeight="1">
      <c r="B18" s="183"/>
      <c r="C18" s="189" t="s">
        <v>204</v>
      </c>
      <c r="D18" s="262" t="s">
        <v>565</v>
      </c>
      <c r="E18" s="190">
        <f>+'FC-3_CPyG'!G16+'FC-3_1_INF_ADIC_CPyG'!G76+'FC-3_1_INF_ADIC_CPyG'!G78</f>
        <v>74552</v>
      </c>
      <c r="F18" s="184"/>
    </row>
    <row r="19" spans="2:6" s="185" customFormat="1" ht="22.95" customHeight="1">
      <c r="B19" s="183"/>
      <c r="C19" s="189" t="s">
        <v>208</v>
      </c>
      <c r="D19" s="262" t="s">
        <v>566</v>
      </c>
      <c r="E19" s="190">
        <f>'FC-3_CPyG'!G29</f>
        <v>3064600</v>
      </c>
      <c r="F19" s="184"/>
    </row>
    <row r="20" spans="2:6" s="185" customFormat="1" ht="22.95" customHeight="1">
      <c r="B20" s="183"/>
      <c r="C20" s="279" t="s">
        <v>216</v>
      </c>
      <c r="D20" s="263" t="s">
        <v>567</v>
      </c>
      <c r="E20" s="169">
        <f>'FC-3_1_INF_ADIC_CPyG'!G77+'FC-3_CPyG'!G52+'FC-3_CPyG'!G55+'FC-3_CPyG'!G72+'FC-3_CPyG'!G73</f>
        <v>0</v>
      </c>
      <c r="F20" s="184"/>
    </row>
    <row r="21" spans="2:6" s="185" customFormat="1" ht="22.95" customHeight="1">
      <c r="B21" s="183"/>
      <c r="C21" s="1180" t="s">
        <v>568</v>
      </c>
      <c r="D21" s="1181"/>
      <c r="E21" s="296">
        <f>SUM(E16:E20)</f>
        <v>3139152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5" customHeight="1">
      <c r="B23" s="183"/>
      <c r="C23" s="289" t="s">
        <v>219</v>
      </c>
      <c r="D23" s="227" t="s">
        <v>569</v>
      </c>
      <c r="E23" s="168"/>
      <c r="F23" s="184"/>
    </row>
    <row r="24" spans="2:6" s="185" customFormat="1" ht="22.95" customHeight="1">
      <c r="B24" s="183"/>
      <c r="C24" s="189" t="s">
        <v>221</v>
      </c>
      <c r="D24" s="262" t="s">
        <v>570</v>
      </c>
      <c r="E24" s="190"/>
      <c r="F24" s="184"/>
    </row>
    <row r="25" spans="2:6" s="185" customFormat="1" ht="22.95" customHeight="1">
      <c r="B25" s="183"/>
      <c r="C25" s="1180" t="s">
        <v>571</v>
      </c>
      <c r="D25" s="1181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5" customHeight="1">
      <c r="B27" s="183"/>
      <c r="C27" s="289" t="s">
        <v>272</v>
      </c>
      <c r="D27" s="227" t="s">
        <v>572</v>
      </c>
      <c r="E27" s="168"/>
      <c r="F27" s="184"/>
    </row>
    <row r="28" spans="2:6" s="185" customFormat="1" ht="22.95" customHeight="1">
      <c r="B28" s="183"/>
      <c r="C28" s="189" t="s">
        <v>274</v>
      </c>
      <c r="D28" s="262" t="s">
        <v>573</v>
      </c>
      <c r="E28" s="190"/>
      <c r="F28" s="184"/>
    </row>
    <row r="29" spans="2:6" s="185" customFormat="1" ht="22.95" customHeight="1">
      <c r="B29" s="183"/>
      <c r="C29" s="1180" t="s">
        <v>574</v>
      </c>
      <c r="D29" s="1181"/>
      <c r="E29" s="296">
        <f>SUM(E27:E28)</f>
        <v>0</v>
      </c>
      <c r="F29" s="184"/>
    </row>
    <row r="30" spans="2:6" s="185" customFormat="1" ht="22.95" customHeight="1">
      <c r="B30" s="183"/>
      <c r="C30" s="150"/>
      <c r="D30" s="212"/>
      <c r="E30" s="214"/>
      <c r="F30" s="184"/>
    </row>
    <row r="31" spans="2:6" s="306" customFormat="1" ht="22.95" customHeight="1" thickBot="1">
      <c r="B31" s="104"/>
      <c r="C31" s="1184" t="s">
        <v>575</v>
      </c>
      <c r="D31" s="1185"/>
      <c r="E31" s="305">
        <f>E21+E25+E29</f>
        <v>3139152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5" customHeight="1">
      <c r="B33" s="183"/>
      <c r="C33" s="1180" t="s">
        <v>576</v>
      </c>
      <c r="D33" s="1181"/>
      <c r="E33" s="296">
        <f>IF('FC-3_CPyG'!G20&gt;0,'FC-3_CPyG'!G20,0)+'FC-3_CPyG'!G21+'FC-3_CPyG'!G41+'FC-3_CPyG'!G42+'FC-3_CPyG'!G45+'FC-3_CPyG'!G47+'FC-3_CPyG'!G58+'FC-3_CPyG'!G63</f>
        <v>506897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5" customHeight="1" thickBot="1">
      <c r="B35" s="183"/>
      <c r="C35" s="1184" t="s">
        <v>592</v>
      </c>
      <c r="D35" s="1185"/>
      <c r="E35" s="305">
        <f>+E31+E33</f>
        <v>3646049</v>
      </c>
      <c r="F35" s="184"/>
    </row>
    <row r="36" spans="2:6" s="185" customFormat="1" ht="22.95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118" t="s">
        <v>578</v>
      </c>
      <c r="D37" s="1120"/>
      <c r="E37" s="266" t="s">
        <v>422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5" customHeight="1">
      <c r="B39" s="183"/>
      <c r="C39" s="289" t="s">
        <v>189</v>
      </c>
      <c r="D39" s="227" t="s">
        <v>579</v>
      </c>
      <c r="E39" s="168">
        <f>-'FC-3_CPyG'!G30+'FC-3_CPyG'!G33</f>
        <v>687726.57000000007</v>
      </c>
      <c r="F39" s="184"/>
    </row>
    <row r="40" spans="2:6" s="185" customFormat="1" ht="22.95" customHeight="1">
      <c r="B40" s="183"/>
      <c r="C40" s="189" t="s">
        <v>199</v>
      </c>
      <c r="D40" s="262" t="s">
        <v>580</v>
      </c>
      <c r="E40" s="190">
        <f>-'FC-3_CPyG'!G22+'FC-3_CPyG'!G26-'FC-3_CPyG'!G35-'FC-3_CPyG'!G36-'FC-3_CPyG'!G38-'FC-3_CPyG'!G77-'FC-3_1_INF_ADIC_CPyG'!G59-E42</f>
        <v>3113000</v>
      </c>
      <c r="F40" s="184"/>
    </row>
    <row r="41" spans="2:6" s="185" customFormat="1" ht="22.95" customHeight="1">
      <c r="B41" s="183"/>
      <c r="C41" s="189" t="s">
        <v>204</v>
      </c>
      <c r="D41" s="262" t="s">
        <v>333</v>
      </c>
      <c r="E41" s="190">
        <f>-'FC-3_CPyG'!G60-'FC-3_CPyG'!G61-'FC-3_CPyG'!G70</f>
        <v>271658.5</v>
      </c>
      <c r="F41" s="184"/>
    </row>
    <row r="42" spans="2:6" s="185" customFormat="1" ht="22.95" customHeight="1">
      <c r="B42" s="183"/>
      <c r="C42" s="189" t="s">
        <v>208</v>
      </c>
      <c r="D42" s="262" t="s">
        <v>581</v>
      </c>
      <c r="E42" s="169">
        <f>+'FC-3_1_INF_ADIC_CPyG'!G89</f>
        <v>0</v>
      </c>
      <c r="F42" s="184"/>
    </row>
    <row r="43" spans="2:6" s="185" customFormat="1" ht="22.95" customHeight="1">
      <c r="B43" s="183"/>
      <c r="C43" s="1180" t="s">
        <v>582</v>
      </c>
      <c r="D43" s="1181"/>
      <c r="E43" s="296">
        <f>SUM(E39:E42)</f>
        <v>4072385.0700000003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5" customHeight="1">
      <c r="B45" s="183"/>
      <c r="C45" s="289" t="s">
        <v>219</v>
      </c>
      <c r="D45" s="227" t="s">
        <v>583</v>
      </c>
      <c r="E45" s="168"/>
      <c r="F45" s="184"/>
    </row>
    <row r="46" spans="2:6" s="185" customFormat="1" ht="22.95" customHeight="1">
      <c r="B46" s="183"/>
      <c r="C46" s="189" t="s">
        <v>221</v>
      </c>
      <c r="D46" s="262" t="s">
        <v>570</v>
      </c>
      <c r="E46" s="190"/>
      <c r="F46" s="184"/>
    </row>
    <row r="47" spans="2:6" s="185" customFormat="1" ht="22.95" customHeight="1">
      <c r="B47" s="183"/>
      <c r="C47" s="1180" t="s">
        <v>584</v>
      </c>
      <c r="D47" s="1181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5" customHeight="1">
      <c r="B49" s="183"/>
      <c r="C49" s="289" t="s">
        <v>272</v>
      </c>
      <c r="D49" s="227" t="s">
        <v>572</v>
      </c>
      <c r="E49" s="168"/>
      <c r="F49" s="184"/>
    </row>
    <row r="50" spans="2:8" s="185" customFormat="1" ht="22.95" customHeight="1">
      <c r="B50" s="183"/>
      <c r="C50" s="189" t="s">
        <v>274</v>
      </c>
      <c r="D50" s="262" t="s">
        <v>573</v>
      </c>
      <c r="E50" s="190"/>
      <c r="F50" s="184"/>
    </row>
    <row r="51" spans="2:8" s="185" customFormat="1" ht="22.95" customHeight="1">
      <c r="B51" s="183"/>
      <c r="C51" s="1180" t="s">
        <v>585</v>
      </c>
      <c r="D51" s="1181"/>
      <c r="E51" s="296">
        <f>SUM(E49:E50)</f>
        <v>0</v>
      </c>
      <c r="F51" s="184"/>
    </row>
    <row r="52" spans="2:8" s="185" customFormat="1" ht="22.95" customHeight="1">
      <c r="B52" s="183"/>
      <c r="C52" s="150"/>
      <c r="D52" s="212"/>
      <c r="E52" s="214"/>
      <c r="F52" s="184"/>
    </row>
    <row r="53" spans="2:8" s="306" customFormat="1" ht="22.95" customHeight="1" thickBot="1">
      <c r="B53" s="104"/>
      <c r="C53" s="1184" t="s">
        <v>586</v>
      </c>
      <c r="D53" s="1185"/>
      <c r="E53" s="305">
        <f>E43+E47+E51</f>
        <v>4072385.0700000003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5" customHeight="1">
      <c r="B55" s="183"/>
      <c r="C55" s="1180" t="s">
        <v>587</v>
      </c>
      <c r="D55" s="1181"/>
      <c r="E55" s="296">
        <f>IF('FC-3_CPyG'!G20&lt;0,-'FC-3_CPyG'!G20,0)-'FC-3_CPyG'!G26-'FC-3_CPyG'!G33-'FC-3_CPyG'!G37-'FC-3_CPyG'!G40-'FC-3_CPyG'!G44-'FC-3_CPyG'!G62-'FC-3_CPyG'!G66-'FC-3_CPyG'!G67</f>
        <v>446702.89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5" customHeight="1" thickBot="1">
      <c r="B57" s="183"/>
      <c r="C57" s="1184" t="s">
        <v>593</v>
      </c>
      <c r="D57" s="1185"/>
      <c r="E57" s="305">
        <f>+E53+E55</f>
        <v>4519087.96</v>
      </c>
      <c r="F57" s="184"/>
    </row>
    <row r="58" spans="2:8" s="185" customFormat="1" ht="22.95" customHeight="1">
      <c r="B58" s="183"/>
      <c r="C58" s="307"/>
      <c r="D58" s="307"/>
      <c r="E58" s="308"/>
      <c r="F58" s="184"/>
    </row>
    <row r="59" spans="2:8" s="306" customFormat="1" ht="22.95" customHeight="1" thickBot="1">
      <c r="B59" s="104"/>
      <c r="C59" s="309" t="s">
        <v>588</v>
      </c>
      <c r="D59" s="310"/>
      <c r="E59" s="311">
        <f>+E35-E57</f>
        <v>-873038.96</v>
      </c>
      <c r="F59" s="107"/>
      <c r="H59" s="185"/>
    </row>
    <row r="60" spans="2:8" s="185" customFormat="1" ht="22.95" customHeight="1" thickTop="1">
      <c r="B60" s="183"/>
      <c r="C60" s="22"/>
      <c r="D60" s="150"/>
      <c r="E60" s="146"/>
      <c r="F60" s="184"/>
    </row>
    <row r="61" spans="2:8" ht="22.95" customHeight="1" thickBot="1">
      <c r="B61" s="114"/>
      <c r="C61" s="1086"/>
      <c r="D61" s="1086"/>
      <c r="E61" s="115"/>
      <c r="F61" s="116"/>
      <c r="H61" s="185"/>
    </row>
    <row r="62" spans="2:8" ht="22.95" customHeight="1">
      <c r="C62" s="97"/>
      <c r="D62" s="97"/>
      <c r="E62" s="98"/>
    </row>
    <row r="63" spans="2:8" ht="13.2">
      <c r="C63" s="117" t="s">
        <v>77</v>
      </c>
      <c r="D63" s="97"/>
      <c r="E63" s="88" t="s">
        <v>74</v>
      </c>
    </row>
    <row r="64" spans="2:8" ht="13.2">
      <c r="C64" s="118" t="s">
        <v>78</v>
      </c>
      <c r="D64" s="97"/>
      <c r="E64" s="98"/>
    </row>
    <row r="65" spans="3:5" ht="13.2">
      <c r="C65" s="118" t="s">
        <v>79</v>
      </c>
      <c r="D65" s="97"/>
      <c r="E65" s="98"/>
    </row>
    <row r="66" spans="3:5" ht="13.2">
      <c r="C66" s="118" t="s">
        <v>80</v>
      </c>
      <c r="D66" s="97"/>
      <c r="E66" s="98"/>
    </row>
    <row r="67" spans="3:5" ht="13.2">
      <c r="C67" s="118" t="s">
        <v>81</v>
      </c>
      <c r="D67" s="97"/>
      <c r="E67" s="98"/>
    </row>
    <row r="68" spans="3:5" ht="22.95" customHeight="1">
      <c r="C68" s="97"/>
      <c r="D68" s="97"/>
      <c r="E68" s="98"/>
    </row>
    <row r="69" spans="3:5" ht="22.95" customHeight="1">
      <c r="C69" s="97"/>
      <c r="D69" s="97"/>
      <c r="E69" s="98"/>
    </row>
    <row r="70" spans="3:5" ht="22.95" customHeight="1">
      <c r="C70" s="97"/>
      <c r="D70" s="97"/>
      <c r="E70" s="98"/>
    </row>
    <row r="71" spans="3:5" ht="22.95" customHeight="1">
      <c r="C71" s="97"/>
      <c r="D71" s="97"/>
      <c r="E71" s="98"/>
    </row>
    <row r="72" spans="3:5" ht="22.95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zoomScale="71" zoomScaleNormal="71" zoomScalePageLayoutView="80" workbookViewId="0">
      <selection activeCell="H18" sqref="H18"/>
    </sheetView>
  </sheetViews>
  <sheetFormatPr baseColWidth="10" defaultColWidth="10.8164062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1796875" style="2" customWidth="1"/>
    <col min="6" max="7" width="18.1796875" style="2" customWidth="1"/>
    <col min="8" max="8" width="13" style="2" customWidth="1"/>
    <col min="9" max="9" width="3.54296875" style="2" customWidth="1"/>
    <col min="10" max="16384" width="10.81640625" style="2"/>
  </cols>
  <sheetData>
    <row r="1" spans="2:24" ht="22.95" customHeight="1">
      <c r="E1" s="3"/>
    </row>
    <row r="2" spans="2:24" ht="22.95" customHeight="1">
      <c r="D2" s="63" t="s">
        <v>31</v>
      </c>
    </row>
    <row r="3" spans="2:24" ht="22.95" customHeight="1">
      <c r="D3" s="63" t="s">
        <v>32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65">
        <f>ejercicio</f>
        <v>2018</v>
      </c>
      <c r="I6" s="9"/>
      <c r="K6" s="402"/>
      <c r="L6" s="403" t="s">
        <v>643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65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70" t="str">
        <f>Entidad</f>
        <v>PARQUE CIENTÍFICO Y TECNOLÓGICO DE TENERIFE, S.A.</v>
      </c>
      <c r="E9" s="1070"/>
      <c r="F9" s="1070"/>
      <c r="G9" s="1070"/>
      <c r="H9" s="1070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2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5" customHeight="1">
      <c r="B13" s="8"/>
      <c r="C13" s="13" t="s">
        <v>621</v>
      </c>
      <c r="D13" s="13"/>
      <c r="E13" s="13"/>
      <c r="F13" s="13"/>
      <c r="G13" s="13"/>
      <c r="H13" s="538">
        <f>+H15+H19</f>
        <v>11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5" customHeight="1">
      <c r="B15" s="8"/>
      <c r="C15" s="3"/>
      <c r="D15" s="539" t="s">
        <v>622</v>
      </c>
      <c r="E15" s="539"/>
      <c r="F15" s="539"/>
      <c r="G15" s="539"/>
      <c r="H15" s="540">
        <f>H16+H17</f>
        <v>11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5" customHeight="1">
      <c r="B16" s="8"/>
      <c r="C16" s="3"/>
      <c r="D16" s="3"/>
      <c r="E16" s="26" t="s">
        <v>3</v>
      </c>
      <c r="F16" s="26"/>
      <c r="G16" s="26"/>
      <c r="H16" s="431">
        <v>8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5" customHeight="1">
      <c r="B17" s="8"/>
      <c r="C17" s="3"/>
      <c r="D17" s="3"/>
      <c r="E17" s="26" t="s">
        <v>4</v>
      </c>
      <c r="F17" s="26"/>
      <c r="G17" s="26"/>
      <c r="H17" s="431">
        <v>3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5" customHeight="1">
      <c r="B19" s="8"/>
      <c r="C19" s="3"/>
      <c r="D19" s="539" t="s">
        <v>623</v>
      </c>
      <c r="E19" s="539"/>
      <c r="F19" s="539"/>
      <c r="G19" s="539"/>
      <c r="H19" s="541">
        <v>0</v>
      </c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2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5" customHeight="1">
      <c r="B23" s="8"/>
      <c r="C23" s="29" t="s">
        <v>624</v>
      </c>
      <c r="D23" s="542" t="s">
        <v>816</v>
      </c>
      <c r="E23" s="542"/>
      <c r="F23" s="542"/>
      <c r="G23" s="542"/>
      <c r="H23" s="432">
        <v>42272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5" customHeight="1">
      <c r="B24" s="8"/>
      <c r="C24" s="30" t="s">
        <v>625</v>
      </c>
      <c r="D24" s="543" t="s">
        <v>817</v>
      </c>
      <c r="E24" s="543"/>
      <c r="F24" s="543"/>
      <c r="G24" s="543"/>
      <c r="H24" s="433">
        <v>42272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5" customHeight="1">
      <c r="B25" s="8"/>
      <c r="C25" s="30" t="s">
        <v>626</v>
      </c>
      <c r="D25" s="543" t="s">
        <v>818</v>
      </c>
      <c r="E25" s="543"/>
      <c r="F25" s="543"/>
      <c r="G25" s="543"/>
      <c r="H25" s="433"/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5" customHeight="1">
      <c r="B26" s="8"/>
      <c r="C26" s="30" t="s">
        <v>627</v>
      </c>
      <c r="D26" s="543"/>
      <c r="E26" s="543"/>
      <c r="F26" s="543"/>
      <c r="G26" s="543"/>
      <c r="H26" s="433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5" customHeight="1">
      <c r="B27" s="8"/>
      <c r="C27" s="30" t="s">
        <v>8</v>
      </c>
      <c r="D27" s="543" t="s">
        <v>819</v>
      </c>
      <c r="E27" s="543"/>
      <c r="F27" s="543"/>
      <c r="G27" s="543"/>
      <c r="H27" s="433"/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5" customHeight="1">
      <c r="B28" s="8"/>
      <c r="C28" s="30" t="s">
        <v>9</v>
      </c>
      <c r="D28" s="543" t="s">
        <v>820</v>
      </c>
      <c r="E28" s="543"/>
      <c r="F28" s="543"/>
      <c r="G28" s="543"/>
      <c r="H28" s="433">
        <v>42272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5" customHeight="1">
      <c r="B29" s="8"/>
      <c r="C29" s="30" t="s">
        <v>10</v>
      </c>
      <c r="D29" s="543" t="s">
        <v>821</v>
      </c>
      <c r="E29" s="543"/>
      <c r="F29" s="543"/>
      <c r="G29" s="543"/>
      <c r="H29" s="433">
        <v>42272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5" customHeight="1">
      <c r="B30" s="8"/>
      <c r="C30" s="30" t="s">
        <v>11</v>
      </c>
      <c r="D30" s="543" t="s">
        <v>822</v>
      </c>
      <c r="E30" s="543"/>
      <c r="F30" s="543"/>
      <c r="G30" s="543"/>
      <c r="H30" s="433">
        <v>42272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5" customHeight="1">
      <c r="B31" s="8"/>
      <c r="C31" s="30" t="s">
        <v>12</v>
      </c>
      <c r="D31" s="543" t="s">
        <v>823</v>
      </c>
      <c r="E31" s="543"/>
      <c r="F31" s="543"/>
      <c r="G31" s="543"/>
      <c r="H31" s="433">
        <v>42272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5" customHeight="1">
      <c r="B32" s="8"/>
      <c r="C32" s="30" t="s">
        <v>13</v>
      </c>
      <c r="D32" s="543" t="s">
        <v>824</v>
      </c>
      <c r="E32" s="543"/>
      <c r="F32" s="543"/>
      <c r="G32" s="543"/>
      <c r="H32" s="433">
        <v>42272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5" customHeight="1">
      <c r="B33" s="8"/>
      <c r="C33" s="30" t="s">
        <v>14</v>
      </c>
      <c r="D33" s="543" t="s">
        <v>825</v>
      </c>
      <c r="E33" s="543"/>
      <c r="F33" s="543"/>
      <c r="G33" s="543"/>
      <c r="H33" s="433">
        <v>42272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5" customHeight="1">
      <c r="B34" s="8"/>
      <c r="C34" s="30" t="s">
        <v>15</v>
      </c>
      <c r="D34" s="543" t="s">
        <v>826</v>
      </c>
      <c r="E34" s="543"/>
      <c r="F34" s="543"/>
      <c r="G34" s="543"/>
      <c r="H34" s="433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5" customHeight="1">
      <c r="B35" s="8"/>
      <c r="C35" s="30" t="s">
        <v>16</v>
      </c>
      <c r="D35" s="543"/>
      <c r="E35" s="543"/>
      <c r="F35" s="543"/>
      <c r="G35" s="543"/>
      <c r="H35" s="433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5" customHeight="1">
      <c r="B36" s="8"/>
      <c r="C36" s="30" t="s">
        <v>17</v>
      </c>
      <c r="D36" s="543"/>
      <c r="E36" s="543"/>
      <c r="F36" s="543"/>
      <c r="G36" s="543"/>
      <c r="H36" s="433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5" customHeight="1">
      <c r="B37" s="8"/>
      <c r="C37" s="30" t="s">
        <v>18</v>
      </c>
      <c r="D37" s="543"/>
      <c r="E37" s="543"/>
      <c r="F37" s="543"/>
      <c r="G37" s="543"/>
      <c r="H37" s="433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5" customHeight="1">
      <c r="B38" s="8"/>
      <c r="C38" s="30" t="s">
        <v>19</v>
      </c>
      <c r="D38" s="543"/>
      <c r="E38" s="543"/>
      <c r="F38" s="543"/>
      <c r="G38" s="543"/>
      <c r="H38" s="433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5" customHeight="1">
      <c r="B40" s="8"/>
      <c r="C40" s="34" t="s">
        <v>628</v>
      </c>
      <c r="D40" s="544"/>
      <c r="E40" s="544"/>
      <c r="F40" s="544"/>
      <c r="G40" s="544"/>
      <c r="H40" s="434"/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5" customHeight="1">
      <c r="B41" s="8"/>
      <c r="C41" s="34" t="s">
        <v>36</v>
      </c>
      <c r="D41" s="543" t="s">
        <v>827</v>
      </c>
      <c r="E41" s="543"/>
      <c r="F41" s="543"/>
      <c r="G41" s="543"/>
      <c r="H41" s="434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5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64" zoomScaleNormal="64" zoomScalePageLayoutView="80" workbookViewId="0">
      <selection activeCell="G58" sqref="G58"/>
    </sheetView>
  </sheetViews>
  <sheetFormatPr baseColWidth="10" defaultColWidth="10.81640625" defaultRowHeight="22.95" customHeight="1"/>
  <cols>
    <col min="1" max="2" width="3.1796875" style="734" customWidth="1"/>
    <col min="3" max="3" width="13.54296875" style="734" customWidth="1"/>
    <col min="4" max="4" width="16.1796875" style="734" customWidth="1"/>
    <col min="5" max="5" width="14" style="734" customWidth="1"/>
    <col min="6" max="7" width="16.1796875" style="734" customWidth="1"/>
    <col min="8" max="8" width="10.1796875" style="734" customWidth="1"/>
    <col min="9" max="9" width="13" style="734" customWidth="1"/>
    <col min="10" max="10" width="10.81640625" style="734"/>
    <col min="11" max="11" width="2" style="734" customWidth="1"/>
    <col min="12" max="15" width="10.81640625" style="734"/>
    <col min="16" max="16" width="30.453125" style="734" customWidth="1"/>
    <col min="17" max="17" width="3.1796875" style="734" customWidth="1"/>
    <col min="18" max="16384" width="10.81640625" style="734"/>
  </cols>
  <sheetData>
    <row r="1" spans="2:32" ht="22.95" customHeight="1">
      <c r="D1" s="735"/>
    </row>
    <row r="2" spans="2:32" ht="22.95" customHeight="1">
      <c r="D2" s="736" t="s">
        <v>31</v>
      </c>
    </row>
    <row r="3" spans="2:32" ht="22.95" customHeight="1">
      <c r="D3" s="736" t="s">
        <v>32</v>
      </c>
    </row>
    <row r="4" spans="2:32" ht="22.95" customHeight="1" thickBot="1"/>
    <row r="5" spans="2:32" ht="9" customHeight="1">
      <c r="B5" s="737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9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40"/>
      <c r="C6" s="741" t="s">
        <v>0</v>
      </c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735"/>
      <c r="P6" s="1071">
        <f>ejercicio</f>
        <v>2018</v>
      </c>
      <c r="Q6" s="742"/>
      <c r="S6" s="402"/>
      <c r="T6" s="403" t="s">
        <v>643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40"/>
      <c r="C7" s="741" t="s">
        <v>1</v>
      </c>
      <c r="D7" s="735"/>
      <c r="E7" s="735"/>
      <c r="F7" s="735"/>
      <c r="G7" s="735"/>
      <c r="H7" s="735"/>
      <c r="I7" s="735"/>
      <c r="J7" s="735"/>
      <c r="K7" s="735"/>
      <c r="L7" s="735"/>
      <c r="M7" s="743"/>
      <c r="N7" s="735"/>
      <c r="P7" s="1071"/>
      <c r="Q7" s="742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40"/>
      <c r="C8" s="744"/>
      <c r="D8" s="735"/>
      <c r="E8" s="735"/>
      <c r="F8" s="735"/>
      <c r="G8" s="735"/>
      <c r="H8" s="735"/>
      <c r="I8" s="735"/>
      <c r="J8" s="735"/>
      <c r="K8" s="735"/>
      <c r="L8" s="735"/>
      <c r="M8" s="743"/>
      <c r="N8" s="735"/>
      <c r="O8" s="745"/>
      <c r="P8" s="745"/>
      <c r="Q8" s="742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9" customFormat="1" ht="30" customHeight="1">
      <c r="B9" s="746"/>
      <c r="C9" s="747" t="s">
        <v>2</v>
      </c>
      <c r="D9" s="1073" t="str">
        <f>Entidad</f>
        <v>PARQUE CIENTÍFICO Y TECNOLÓGICO DE TENERIFE, S.A.</v>
      </c>
      <c r="E9" s="1073"/>
      <c r="F9" s="1073"/>
      <c r="G9" s="1073"/>
      <c r="H9" s="1073"/>
      <c r="I9" s="1073"/>
      <c r="J9" s="1073"/>
      <c r="K9" s="1073"/>
      <c r="L9" s="1073"/>
      <c r="M9" s="1073"/>
      <c r="N9" s="1073"/>
      <c r="O9" s="1073"/>
      <c r="P9" s="724"/>
      <c r="Q9" s="748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2" customHeight="1">
      <c r="B10" s="740"/>
      <c r="C10" s="735"/>
      <c r="D10" s="735"/>
      <c r="E10" s="735"/>
      <c r="F10" s="735"/>
      <c r="G10" s="735"/>
      <c r="H10" s="735"/>
      <c r="I10" s="743"/>
      <c r="J10" s="735"/>
      <c r="K10" s="735"/>
      <c r="L10" s="735"/>
      <c r="M10" s="735"/>
      <c r="N10" s="735"/>
      <c r="O10" s="735"/>
      <c r="P10" s="735"/>
      <c r="Q10" s="742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3" customFormat="1" ht="30" customHeight="1">
      <c r="B11" s="750"/>
      <c r="C11" s="751" t="s">
        <v>83</v>
      </c>
      <c r="D11" s="751"/>
      <c r="E11" s="751"/>
      <c r="F11" s="751"/>
      <c r="G11" s="751"/>
      <c r="H11" s="751"/>
      <c r="I11" s="751"/>
      <c r="J11" s="751"/>
      <c r="K11" s="751"/>
      <c r="L11" s="751"/>
      <c r="M11" s="751"/>
      <c r="N11" s="751"/>
      <c r="O11" s="751"/>
      <c r="P11" s="751"/>
      <c r="Q11" s="752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5" customHeight="1">
      <c r="B12" s="740"/>
      <c r="C12" s="735"/>
      <c r="D12" s="735"/>
      <c r="E12" s="735"/>
      <c r="F12" s="735"/>
      <c r="G12" s="735"/>
      <c r="H12" s="735"/>
      <c r="I12" s="735"/>
      <c r="J12" s="735"/>
      <c r="K12" s="735"/>
      <c r="L12" s="735"/>
      <c r="M12" s="735"/>
      <c r="N12" s="735"/>
      <c r="O12" s="735"/>
      <c r="P12" s="735"/>
      <c r="Q12" s="742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5" customHeight="1">
      <c r="B13" s="740"/>
      <c r="C13" s="754" t="s">
        <v>691</v>
      </c>
      <c r="D13" s="754"/>
      <c r="E13" s="754"/>
      <c r="F13" s="754"/>
      <c r="G13" s="754"/>
      <c r="H13" s="754"/>
      <c r="I13" s="754"/>
      <c r="J13" s="754"/>
      <c r="K13" s="754"/>
      <c r="L13" s="754"/>
      <c r="M13" s="754"/>
      <c r="N13" s="754"/>
      <c r="O13" s="754"/>
      <c r="P13" s="754"/>
      <c r="Q13" s="742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5" customHeight="1">
      <c r="B14" s="740"/>
      <c r="C14" s="744"/>
      <c r="D14" s="744"/>
      <c r="E14" s="744"/>
      <c r="F14" s="744"/>
      <c r="G14" s="744"/>
      <c r="H14" s="744"/>
      <c r="I14" s="744"/>
      <c r="J14" s="744"/>
      <c r="K14" s="744"/>
      <c r="L14" s="744"/>
      <c r="M14" s="744"/>
      <c r="N14" s="744"/>
      <c r="O14" s="744"/>
      <c r="P14" s="744"/>
      <c r="Q14" s="742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5" customHeight="1">
      <c r="B15" s="740"/>
      <c r="C15" s="735"/>
      <c r="D15" s="735"/>
      <c r="E15" s="735"/>
      <c r="F15" s="1076" t="s">
        <v>690</v>
      </c>
      <c r="G15" s="1076"/>
      <c r="H15" s="1076"/>
      <c r="I15" s="755">
        <f>ejercicio-2</f>
        <v>2016</v>
      </c>
      <c r="J15" s="756"/>
      <c r="K15" s="735"/>
      <c r="L15" s="1076" t="s">
        <v>689</v>
      </c>
      <c r="M15" s="1076"/>
      <c r="N15" s="1076"/>
      <c r="O15" s="757">
        <f>ejercicio-1</f>
        <v>2017</v>
      </c>
      <c r="P15" s="758"/>
      <c r="Q15" s="742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6" customFormat="1" ht="51" customHeight="1">
      <c r="B16" s="759"/>
      <c r="C16" s="760" t="s">
        <v>20</v>
      </c>
      <c r="D16" s="760"/>
      <c r="E16" s="761" t="s">
        <v>21</v>
      </c>
      <c r="F16" s="761" t="s">
        <v>22</v>
      </c>
      <c r="G16" s="761" t="s">
        <v>686</v>
      </c>
      <c r="H16" s="762" t="s">
        <v>685</v>
      </c>
      <c r="I16" s="761" t="s">
        <v>693</v>
      </c>
      <c r="J16" s="761" t="s">
        <v>694</v>
      </c>
      <c r="K16" s="761"/>
      <c r="L16" s="763" t="s">
        <v>696</v>
      </c>
      <c r="M16" s="763" t="s">
        <v>24</v>
      </c>
      <c r="N16" s="763" t="s">
        <v>697</v>
      </c>
      <c r="O16" s="763" t="s">
        <v>26</v>
      </c>
      <c r="P16" s="764" t="s">
        <v>523</v>
      </c>
      <c r="Q16" s="765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5" customHeight="1">
      <c r="B17" s="740"/>
      <c r="C17" s="435" t="s">
        <v>828</v>
      </c>
      <c r="D17" s="435"/>
      <c r="E17" s="777"/>
      <c r="F17" s="436">
        <v>0.99199999999999999</v>
      </c>
      <c r="G17" s="775">
        <v>237305</v>
      </c>
      <c r="H17" s="775" t="s">
        <v>829</v>
      </c>
      <c r="I17" s="438">
        <v>60</v>
      </c>
      <c r="J17" s="438">
        <v>60</v>
      </c>
      <c r="K17" s="438"/>
      <c r="L17" s="438"/>
      <c r="M17" s="438"/>
      <c r="N17" s="438"/>
      <c r="O17" s="438"/>
      <c r="P17" s="438"/>
      <c r="Q17" s="742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5" customHeight="1">
      <c r="B18" s="740"/>
      <c r="C18" s="439" t="s">
        <v>830</v>
      </c>
      <c r="D18" s="439"/>
      <c r="E18" s="778"/>
      <c r="F18" s="440">
        <v>2.0999999999999999E-3</v>
      </c>
      <c r="G18" s="776">
        <v>500</v>
      </c>
      <c r="H18" s="776" t="s">
        <v>831</v>
      </c>
      <c r="I18" s="442">
        <v>60</v>
      </c>
      <c r="J18" s="442">
        <v>60</v>
      </c>
      <c r="K18" s="442"/>
      <c r="L18" s="442"/>
      <c r="M18" s="442"/>
      <c r="N18" s="442"/>
      <c r="O18" s="442"/>
      <c r="P18" s="442"/>
      <c r="Q18" s="742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5" customHeight="1">
      <c r="B19" s="740"/>
      <c r="C19" s="439" t="s">
        <v>832</v>
      </c>
      <c r="D19" s="439"/>
      <c r="E19" s="778"/>
      <c r="F19" s="440">
        <v>6.9999999999999999E-4</v>
      </c>
      <c r="G19" s="776">
        <v>167</v>
      </c>
      <c r="H19" s="776" t="s">
        <v>831</v>
      </c>
      <c r="I19" s="442">
        <v>60</v>
      </c>
      <c r="J19" s="442">
        <v>60</v>
      </c>
      <c r="K19" s="442"/>
      <c r="L19" s="442"/>
      <c r="M19" s="442"/>
      <c r="N19" s="442"/>
      <c r="O19" s="442"/>
      <c r="P19" s="442"/>
      <c r="Q19" s="742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5" customHeight="1">
      <c r="B20" s="740"/>
      <c r="C20" s="439" t="s">
        <v>833</v>
      </c>
      <c r="D20" s="439"/>
      <c r="E20" s="778"/>
      <c r="F20" s="440">
        <v>2.5999999999999999E-3</v>
      </c>
      <c r="G20" s="776">
        <v>625</v>
      </c>
      <c r="H20" s="776" t="s">
        <v>831</v>
      </c>
      <c r="I20" s="442">
        <v>60</v>
      </c>
      <c r="J20" s="442">
        <v>60</v>
      </c>
      <c r="K20" s="442"/>
      <c r="L20" s="442"/>
      <c r="M20" s="442"/>
      <c r="N20" s="442"/>
      <c r="O20" s="442"/>
      <c r="P20" s="442"/>
      <c r="Q20" s="742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5" customHeight="1">
      <c r="B21" s="740"/>
      <c r="C21" s="439" t="s">
        <v>834</v>
      </c>
      <c r="D21" s="439"/>
      <c r="E21" s="778"/>
      <c r="F21" s="440">
        <v>2.5999999999999999E-3</v>
      </c>
      <c r="G21" s="776">
        <v>625</v>
      </c>
      <c r="H21" s="776" t="s">
        <v>831</v>
      </c>
      <c r="I21" s="442">
        <v>60</v>
      </c>
      <c r="J21" s="442">
        <v>60</v>
      </c>
      <c r="K21" s="442"/>
      <c r="L21" s="442"/>
      <c r="M21" s="442"/>
      <c r="N21" s="442"/>
      <c r="O21" s="442"/>
      <c r="P21" s="442"/>
      <c r="Q21" s="742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5" customHeight="1">
      <c r="B22" s="740"/>
      <c r="C22" s="439"/>
      <c r="D22" s="439"/>
      <c r="E22" s="778"/>
      <c r="F22" s="440"/>
      <c r="G22" s="776"/>
      <c r="H22" s="776"/>
      <c r="I22" s="442"/>
      <c r="J22" s="442"/>
      <c r="K22" s="442"/>
      <c r="L22" s="442"/>
      <c r="M22" s="442"/>
      <c r="N22" s="442"/>
      <c r="O22" s="442"/>
      <c r="P22" s="442"/>
      <c r="Q22" s="742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5" customHeight="1">
      <c r="B23" s="740"/>
      <c r="C23" s="439"/>
      <c r="D23" s="439"/>
      <c r="E23" s="778"/>
      <c r="F23" s="440"/>
      <c r="G23" s="776"/>
      <c r="H23" s="776"/>
      <c r="I23" s="442"/>
      <c r="J23" s="442"/>
      <c r="K23" s="442"/>
      <c r="L23" s="442"/>
      <c r="M23" s="442"/>
      <c r="N23" s="442"/>
      <c r="O23" s="442"/>
      <c r="P23" s="442"/>
      <c r="Q23" s="742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5" customHeight="1">
      <c r="B24" s="740"/>
      <c r="C24" s="439"/>
      <c r="D24" s="439"/>
      <c r="E24" s="778"/>
      <c r="F24" s="440"/>
      <c r="G24" s="776"/>
      <c r="H24" s="776"/>
      <c r="I24" s="442"/>
      <c r="J24" s="442"/>
      <c r="K24" s="442"/>
      <c r="L24" s="442"/>
      <c r="M24" s="442"/>
      <c r="N24" s="442"/>
      <c r="O24" s="442"/>
      <c r="P24" s="442"/>
      <c r="Q24" s="742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5" customHeight="1">
      <c r="B25" s="740"/>
      <c r="C25" s="439"/>
      <c r="D25" s="439"/>
      <c r="E25" s="778"/>
      <c r="F25" s="440"/>
      <c r="G25" s="776"/>
      <c r="H25" s="776"/>
      <c r="I25" s="442"/>
      <c r="J25" s="442"/>
      <c r="K25" s="442"/>
      <c r="L25" s="442"/>
      <c r="M25" s="442"/>
      <c r="N25" s="442"/>
      <c r="O25" s="442"/>
      <c r="P25" s="442"/>
      <c r="Q25" s="742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5" customHeight="1">
      <c r="B26" s="740"/>
      <c r="C26" s="439"/>
      <c r="D26" s="439"/>
      <c r="E26" s="778"/>
      <c r="F26" s="440"/>
      <c r="G26" s="776"/>
      <c r="H26" s="776"/>
      <c r="I26" s="442"/>
      <c r="J26" s="442"/>
      <c r="K26" s="442"/>
      <c r="L26" s="442"/>
      <c r="M26" s="442"/>
      <c r="N26" s="442"/>
      <c r="O26" s="442"/>
      <c r="P26" s="442"/>
      <c r="Q26" s="742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5" customHeight="1">
      <c r="B27" s="740"/>
      <c r="C27" s="439"/>
      <c r="D27" s="439"/>
      <c r="E27" s="778"/>
      <c r="F27" s="440"/>
      <c r="G27" s="776"/>
      <c r="H27" s="776"/>
      <c r="I27" s="442"/>
      <c r="J27" s="442"/>
      <c r="K27" s="442"/>
      <c r="L27" s="442"/>
      <c r="M27" s="442"/>
      <c r="N27" s="442"/>
      <c r="O27" s="442"/>
      <c r="P27" s="442"/>
      <c r="Q27" s="742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5" customHeight="1">
      <c r="B28" s="740"/>
      <c r="C28" s="735"/>
      <c r="D28" s="735"/>
      <c r="E28" s="735"/>
      <c r="F28" s="735"/>
      <c r="G28" s="735"/>
      <c r="H28" s="735"/>
      <c r="I28" s="735"/>
      <c r="J28" s="735"/>
      <c r="K28" s="735"/>
      <c r="L28" s="735"/>
      <c r="M28" s="735"/>
      <c r="N28" s="735"/>
      <c r="O28" s="735"/>
      <c r="P28" s="735"/>
      <c r="Q28" s="742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5" customHeight="1">
      <c r="B29" s="740"/>
      <c r="C29" s="754" t="s">
        <v>27</v>
      </c>
      <c r="D29" s="754"/>
      <c r="E29" s="754"/>
      <c r="F29" s="754"/>
      <c r="G29" s="754"/>
      <c r="H29" s="754"/>
      <c r="I29" s="754"/>
      <c r="J29" s="754"/>
      <c r="K29" s="754"/>
      <c r="L29" s="754"/>
      <c r="M29" s="754"/>
      <c r="N29" s="754"/>
      <c r="O29" s="754"/>
      <c r="P29" s="754"/>
      <c r="Q29" s="742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5" customHeight="1">
      <c r="B30" s="740"/>
      <c r="C30" s="744"/>
      <c r="D30" s="744"/>
      <c r="E30" s="744"/>
      <c r="F30" s="744"/>
      <c r="G30" s="744"/>
      <c r="H30" s="744"/>
      <c r="I30" s="744"/>
      <c r="J30" s="744"/>
      <c r="K30" s="744"/>
      <c r="L30" s="744"/>
      <c r="M30" s="744"/>
      <c r="N30" s="744"/>
      <c r="O30" s="744"/>
      <c r="P30" s="744"/>
      <c r="Q30" s="742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5" customHeight="1">
      <c r="B31" s="740"/>
      <c r="C31" s="735"/>
      <c r="D31" s="735"/>
      <c r="E31" s="735"/>
      <c r="F31" s="1076" t="s">
        <v>690</v>
      </c>
      <c r="G31" s="1076"/>
      <c r="H31" s="1076"/>
      <c r="I31" s="755">
        <f>ejercicio-2</f>
        <v>2016</v>
      </c>
      <c r="J31" s="756"/>
      <c r="K31" s="735"/>
      <c r="L31" s="1077" t="s">
        <v>689</v>
      </c>
      <c r="M31" s="1077"/>
      <c r="N31" s="1077"/>
      <c r="O31" s="767">
        <f>ejercicio-1</f>
        <v>2017</v>
      </c>
      <c r="Q31" s="742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5" customHeight="1">
      <c r="B32" s="740"/>
      <c r="C32" s="760" t="s">
        <v>20</v>
      </c>
      <c r="D32" s="760"/>
      <c r="E32" s="761" t="s">
        <v>21</v>
      </c>
      <c r="F32" s="761" t="s">
        <v>22</v>
      </c>
      <c r="G32" s="761" t="s">
        <v>686</v>
      </c>
      <c r="H32" s="762" t="s">
        <v>685</v>
      </c>
      <c r="I32" s="761" t="s">
        <v>693</v>
      </c>
      <c r="J32" s="761" t="s">
        <v>28</v>
      </c>
      <c r="K32" s="761"/>
      <c r="L32" s="761" t="s">
        <v>23</v>
      </c>
      <c r="M32" s="761" t="s">
        <v>24</v>
      </c>
      <c r="N32" s="761" t="s">
        <v>25</v>
      </c>
      <c r="O32" s="761" t="s">
        <v>26</v>
      </c>
      <c r="P32" s="764" t="s">
        <v>523</v>
      </c>
      <c r="Q32" s="742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5" customHeight="1">
      <c r="B33" s="740"/>
      <c r="C33" s="435"/>
      <c r="D33" s="435"/>
      <c r="E33" s="777"/>
      <c r="F33" s="545"/>
      <c r="G33" s="775"/>
      <c r="H33" s="437"/>
      <c r="I33" s="438"/>
      <c r="J33" s="438"/>
      <c r="K33" s="438"/>
      <c r="L33" s="438"/>
      <c r="M33" s="438"/>
      <c r="N33" s="438"/>
      <c r="O33" s="438"/>
      <c r="P33" s="438"/>
      <c r="Q33" s="742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5" customHeight="1">
      <c r="B34" s="740"/>
      <c r="C34" s="439"/>
      <c r="D34" s="439"/>
      <c r="E34" s="778"/>
      <c r="F34" s="546"/>
      <c r="G34" s="776"/>
      <c r="H34" s="441"/>
      <c r="I34" s="442"/>
      <c r="J34" s="442"/>
      <c r="K34" s="442"/>
      <c r="L34" s="442"/>
      <c r="M34" s="442"/>
      <c r="N34" s="442"/>
      <c r="O34" s="442"/>
      <c r="P34" s="442"/>
      <c r="Q34" s="742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5" customHeight="1">
      <c r="B35" s="740"/>
      <c r="C35" s="439"/>
      <c r="D35" s="439"/>
      <c r="E35" s="778"/>
      <c r="F35" s="546"/>
      <c r="G35" s="776"/>
      <c r="H35" s="441"/>
      <c r="I35" s="442"/>
      <c r="J35" s="442"/>
      <c r="K35" s="442"/>
      <c r="L35" s="442"/>
      <c r="M35" s="442"/>
      <c r="N35" s="442"/>
      <c r="O35" s="442"/>
      <c r="P35" s="442"/>
      <c r="Q35" s="742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5" customHeight="1">
      <c r="B36" s="740"/>
      <c r="C36" s="439"/>
      <c r="D36" s="439"/>
      <c r="E36" s="778"/>
      <c r="F36" s="546"/>
      <c r="G36" s="776"/>
      <c r="H36" s="441"/>
      <c r="I36" s="442"/>
      <c r="J36" s="442"/>
      <c r="K36" s="442"/>
      <c r="L36" s="442"/>
      <c r="M36" s="442"/>
      <c r="N36" s="442"/>
      <c r="O36" s="442"/>
      <c r="P36" s="442"/>
      <c r="Q36" s="742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5" customHeight="1">
      <c r="B37" s="740"/>
      <c r="C37" s="439"/>
      <c r="D37" s="439"/>
      <c r="E37" s="778"/>
      <c r="F37" s="546"/>
      <c r="G37" s="776"/>
      <c r="H37" s="441"/>
      <c r="I37" s="442"/>
      <c r="J37" s="442"/>
      <c r="K37" s="442"/>
      <c r="L37" s="442"/>
      <c r="M37" s="442"/>
      <c r="N37" s="442"/>
      <c r="O37" s="442"/>
      <c r="P37" s="442"/>
      <c r="Q37" s="742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5" customHeight="1">
      <c r="B38" s="740"/>
      <c r="C38" s="439"/>
      <c r="D38" s="439"/>
      <c r="E38" s="778"/>
      <c r="F38" s="546"/>
      <c r="G38" s="776"/>
      <c r="H38" s="441"/>
      <c r="I38" s="442"/>
      <c r="J38" s="442"/>
      <c r="K38" s="442"/>
      <c r="L38" s="442"/>
      <c r="M38" s="442"/>
      <c r="N38" s="442"/>
      <c r="O38" s="442"/>
      <c r="P38" s="442"/>
      <c r="Q38" s="742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5" customHeight="1">
      <c r="B39" s="740"/>
      <c r="C39" s="439"/>
      <c r="D39" s="439"/>
      <c r="E39" s="778"/>
      <c r="F39" s="546"/>
      <c r="G39" s="776"/>
      <c r="H39" s="441"/>
      <c r="I39" s="442"/>
      <c r="J39" s="442"/>
      <c r="K39" s="442"/>
      <c r="L39" s="442"/>
      <c r="M39" s="442"/>
      <c r="N39" s="442"/>
      <c r="O39" s="442"/>
      <c r="P39" s="442"/>
      <c r="Q39" s="742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5" customHeight="1">
      <c r="B40" s="740"/>
      <c r="C40" s="439"/>
      <c r="D40" s="439"/>
      <c r="E40" s="778"/>
      <c r="F40" s="546"/>
      <c r="G40" s="776"/>
      <c r="H40" s="441"/>
      <c r="I40" s="442"/>
      <c r="J40" s="442"/>
      <c r="K40" s="442"/>
      <c r="L40" s="442"/>
      <c r="M40" s="442"/>
      <c r="N40" s="442"/>
      <c r="O40" s="442"/>
      <c r="P40" s="442"/>
      <c r="Q40" s="742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5" customHeight="1">
      <c r="B41" s="740"/>
      <c r="C41" s="439"/>
      <c r="D41" s="439"/>
      <c r="E41" s="778"/>
      <c r="F41" s="546"/>
      <c r="G41" s="776"/>
      <c r="H41" s="441"/>
      <c r="I41" s="442"/>
      <c r="J41" s="442"/>
      <c r="K41" s="442"/>
      <c r="L41" s="442"/>
      <c r="M41" s="442"/>
      <c r="N41" s="442"/>
      <c r="O41" s="442"/>
      <c r="P41" s="442"/>
      <c r="Q41" s="742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5" customHeight="1">
      <c r="B42" s="740"/>
      <c r="C42" s="439"/>
      <c r="D42" s="439"/>
      <c r="E42" s="778"/>
      <c r="F42" s="546"/>
      <c r="G42" s="776"/>
      <c r="H42" s="441"/>
      <c r="I42" s="442"/>
      <c r="J42" s="442"/>
      <c r="K42" s="442"/>
      <c r="L42" s="442"/>
      <c r="M42" s="442"/>
      <c r="N42" s="442"/>
      <c r="O42" s="442"/>
      <c r="P42" s="442"/>
      <c r="Q42" s="742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5" customHeight="1">
      <c r="B43" s="740"/>
      <c r="C43" s="439"/>
      <c r="D43" s="439"/>
      <c r="E43" s="778"/>
      <c r="F43" s="546"/>
      <c r="G43" s="776"/>
      <c r="H43" s="441"/>
      <c r="I43" s="442"/>
      <c r="J43" s="442"/>
      <c r="K43" s="442"/>
      <c r="L43" s="442"/>
      <c r="M43" s="442"/>
      <c r="N43" s="442"/>
      <c r="O43" s="442"/>
      <c r="P43" s="442"/>
      <c r="Q43" s="742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5" customHeight="1">
      <c r="B44" s="740"/>
      <c r="C44" s="735"/>
      <c r="D44" s="735"/>
      <c r="E44" s="735"/>
      <c r="F44" s="735"/>
      <c r="G44" s="735"/>
      <c r="H44" s="735"/>
      <c r="I44" s="735"/>
      <c r="J44" s="735"/>
      <c r="K44" s="735"/>
      <c r="L44" s="735"/>
      <c r="M44" s="735"/>
      <c r="N44" s="735"/>
      <c r="O44" s="735"/>
      <c r="P44" s="735"/>
      <c r="Q44" s="742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5" customHeight="1">
      <c r="B45" s="740"/>
      <c r="C45" s="754" t="s">
        <v>29</v>
      </c>
      <c r="D45" s="754"/>
      <c r="E45" s="754"/>
      <c r="F45" s="754"/>
      <c r="G45" s="754"/>
      <c r="H45" s="754"/>
      <c r="I45" s="754"/>
      <c r="J45" s="754"/>
      <c r="K45" s="754"/>
      <c r="L45" s="754"/>
      <c r="M45" s="754"/>
      <c r="N45" s="754"/>
      <c r="O45" s="754"/>
      <c r="P45" s="741"/>
      <c r="Q45" s="742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5" customHeight="1">
      <c r="B46" s="740"/>
      <c r="C46" s="741"/>
      <c r="D46" s="741"/>
      <c r="E46" s="741"/>
      <c r="F46" s="741"/>
      <c r="G46" s="741"/>
      <c r="H46" s="741"/>
      <c r="I46" s="741"/>
      <c r="J46" s="741"/>
      <c r="K46" s="741"/>
      <c r="L46" s="741"/>
      <c r="M46" s="741"/>
      <c r="N46" s="741"/>
      <c r="O46" s="741"/>
      <c r="P46" s="741"/>
      <c r="Q46" s="742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5" customHeight="1">
      <c r="B47" s="740"/>
      <c r="C47" s="1074" t="s">
        <v>30</v>
      </c>
      <c r="D47" s="1074"/>
      <c r="E47" s="760"/>
      <c r="F47" s="761"/>
      <c r="G47" s="768"/>
      <c r="H47" s="768"/>
      <c r="I47" s="768"/>
      <c r="J47" s="768"/>
      <c r="K47" s="768"/>
      <c r="L47" s="768"/>
      <c r="M47" s="768"/>
      <c r="N47" s="768"/>
      <c r="O47" s="768"/>
      <c r="P47" s="768"/>
      <c r="Q47" s="742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5" customHeight="1">
      <c r="B48" s="740"/>
      <c r="C48" s="1075" t="s">
        <v>835</v>
      </c>
      <c r="D48" s="1075"/>
      <c r="E48" s="1075"/>
      <c r="F48" s="1075"/>
      <c r="G48" s="735"/>
      <c r="H48" s="735"/>
      <c r="I48" s="735"/>
      <c r="J48" s="735"/>
      <c r="K48" s="735"/>
      <c r="L48" s="735"/>
      <c r="M48" s="735"/>
      <c r="N48" s="735"/>
      <c r="O48" s="735"/>
      <c r="P48" s="735"/>
      <c r="Q48" s="742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5" customHeight="1">
      <c r="B49" s="740"/>
      <c r="C49" s="628"/>
      <c r="D49" s="628"/>
      <c r="E49" s="628"/>
      <c r="F49" s="628"/>
      <c r="G49" s="735"/>
      <c r="H49" s="735"/>
      <c r="I49" s="735"/>
      <c r="J49" s="735"/>
      <c r="K49" s="735"/>
      <c r="L49" s="735"/>
      <c r="M49" s="735"/>
      <c r="N49" s="735"/>
      <c r="O49" s="735"/>
      <c r="P49" s="735"/>
      <c r="Q49" s="742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5" customHeight="1">
      <c r="B50" s="740"/>
      <c r="C50" s="628"/>
      <c r="D50" s="628"/>
      <c r="E50" s="628"/>
      <c r="F50" s="628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42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5" customHeight="1">
      <c r="B51" s="740"/>
      <c r="C51" s="698" t="s">
        <v>354</v>
      </c>
      <c r="D51" s="628"/>
      <c r="E51" s="628"/>
      <c r="F51" s="628"/>
      <c r="G51" s="735"/>
      <c r="H51" s="735"/>
      <c r="I51" s="735"/>
      <c r="J51" s="735"/>
      <c r="K51" s="735"/>
      <c r="L51" s="735"/>
      <c r="M51" s="735"/>
      <c r="N51" s="735"/>
      <c r="O51" s="735"/>
      <c r="P51" s="735"/>
      <c r="Q51" s="742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5" customHeight="1">
      <c r="B52" s="740"/>
      <c r="C52" s="699" t="s">
        <v>692</v>
      </c>
      <c r="D52" s="628"/>
      <c r="E52" s="628"/>
      <c r="F52" s="628"/>
      <c r="G52" s="735"/>
      <c r="H52" s="735"/>
      <c r="I52" s="735"/>
      <c r="J52" s="735"/>
      <c r="K52" s="735"/>
      <c r="L52" s="735"/>
      <c r="M52" s="735"/>
      <c r="N52" s="735"/>
      <c r="O52" s="735"/>
      <c r="P52" s="735"/>
      <c r="Q52" s="742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5" customHeight="1">
      <c r="B53" s="740"/>
      <c r="C53" s="769" t="s">
        <v>695</v>
      </c>
      <c r="D53" s="628"/>
      <c r="E53" s="628"/>
      <c r="F53" s="628"/>
      <c r="G53" s="735"/>
      <c r="H53" s="735"/>
      <c r="I53" s="735"/>
      <c r="J53" s="735"/>
      <c r="K53" s="735"/>
      <c r="L53" s="735"/>
      <c r="M53" s="735"/>
      <c r="N53" s="735"/>
      <c r="O53" s="735"/>
      <c r="P53" s="735"/>
      <c r="Q53" s="742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5" customHeight="1">
      <c r="B54" s="740"/>
      <c r="C54" s="769" t="s">
        <v>763</v>
      </c>
      <c r="D54" s="628"/>
      <c r="E54" s="628"/>
      <c r="F54" s="628"/>
      <c r="G54" s="735"/>
      <c r="H54" s="735"/>
      <c r="I54" s="735"/>
      <c r="J54" s="735"/>
      <c r="K54" s="735"/>
      <c r="L54" s="735"/>
      <c r="M54" s="735"/>
      <c r="N54" s="735"/>
      <c r="O54" s="735"/>
      <c r="P54" s="735"/>
      <c r="Q54" s="742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5" customHeight="1" thickBot="1">
      <c r="B55" s="770"/>
      <c r="C55" s="1072"/>
      <c r="D55" s="1072"/>
      <c r="E55" s="1072"/>
      <c r="F55" s="1072"/>
      <c r="G55" s="771"/>
      <c r="H55" s="771"/>
      <c r="I55" s="771"/>
      <c r="J55" s="771"/>
      <c r="K55" s="771"/>
      <c r="L55" s="771"/>
      <c r="M55" s="771"/>
      <c r="N55" s="771"/>
      <c r="O55" s="771"/>
      <c r="P55" s="771"/>
      <c r="Q55" s="772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5" customHeight="1">
      <c r="C56" s="735"/>
      <c r="D56" s="735"/>
      <c r="E56" s="735"/>
      <c r="F56" s="735"/>
      <c r="G56" s="735"/>
      <c r="H56" s="735"/>
      <c r="I56" s="735"/>
      <c r="J56" s="735"/>
      <c r="K56" s="735"/>
      <c r="L56" s="735"/>
      <c r="M56" s="735"/>
      <c r="N56" s="735"/>
      <c r="O56" s="735"/>
      <c r="P56" s="735"/>
    </row>
    <row r="57" spans="2:32" ht="13.2">
      <c r="C57" s="773" t="s">
        <v>77</v>
      </c>
      <c r="D57" s="735"/>
      <c r="E57" s="735"/>
      <c r="F57" s="735"/>
      <c r="G57" s="735"/>
      <c r="H57" s="735"/>
      <c r="I57" s="735"/>
      <c r="J57" s="735"/>
      <c r="K57" s="735"/>
      <c r="L57" s="735"/>
      <c r="M57" s="735"/>
      <c r="N57" s="735"/>
      <c r="P57" s="705" t="s">
        <v>84</v>
      </c>
    </row>
    <row r="58" spans="2:32" ht="13.2">
      <c r="C58" s="774" t="s">
        <v>78</v>
      </c>
      <c r="D58" s="735"/>
      <c r="E58" s="735"/>
      <c r="F58" s="735"/>
      <c r="G58" s="735"/>
      <c r="H58" s="735"/>
      <c r="I58" s="735"/>
      <c r="J58" s="735"/>
      <c r="K58" s="735"/>
      <c r="L58" s="735"/>
      <c r="M58" s="735"/>
      <c r="N58" s="735"/>
      <c r="O58" s="735"/>
      <c r="P58" s="735"/>
    </row>
    <row r="59" spans="2:32" ht="13.2">
      <c r="C59" s="774" t="s">
        <v>79</v>
      </c>
      <c r="D59" s="735"/>
      <c r="E59" s="735"/>
      <c r="F59" s="735"/>
      <c r="G59" s="735"/>
      <c r="H59" s="735"/>
      <c r="I59" s="735"/>
      <c r="J59" s="735"/>
      <c r="K59" s="735"/>
      <c r="L59" s="735"/>
      <c r="M59" s="735"/>
      <c r="N59" s="735"/>
      <c r="O59" s="735"/>
      <c r="P59" s="735"/>
    </row>
    <row r="60" spans="2:32" ht="13.2">
      <c r="C60" s="774" t="s">
        <v>80</v>
      </c>
      <c r="D60" s="735"/>
      <c r="E60" s="735"/>
      <c r="F60" s="735"/>
      <c r="G60" s="735"/>
      <c r="H60" s="735"/>
      <c r="I60" s="735"/>
      <c r="J60" s="735"/>
      <c r="K60" s="735"/>
      <c r="L60" s="735"/>
      <c r="M60" s="735"/>
      <c r="N60" s="735"/>
      <c r="O60" s="735"/>
      <c r="P60" s="735"/>
    </row>
    <row r="61" spans="2:32" ht="13.2">
      <c r="C61" s="774" t="s">
        <v>81</v>
      </c>
      <c r="D61" s="735"/>
      <c r="E61" s="735"/>
      <c r="F61" s="735"/>
      <c r="G61" s="735"/>
      <c r="H61" s="735"/>
      <c r="I61" s="735"/>
      <c r="J61" s="735"/>
      <c r="K61" s="735"/>
      <c r="L61" s="735"/>
      <c r="M61" s="735"/>
      <c r="N61" s="735"/>
      <c r="O61" s="735"/>
      <c r="P61" s="735"/>
    </row>
    <row r="62" spans="2:32" ht="22.95" customHeight="1">
      <c r="C62" s="735"/>
      <c r="D62" s="735"/>
      <c r="E62" s="735"/>
      <c r="F62" s="735"/>
      <c r="G62" s="735"/>
      <c r="H62" s="735"/>
      <c r="I62" s="735"/>
      <c r="J62" s="735"/>
      <c r="K62" s="735"/>
      <c r="L62" s="735"/>
      <c r="M62" s="735"/>
      <c r="N62" s="735"/>
      <c r="O62" s="735"/>
      <c r="P62" s="735"/>
    </row>
    <row r="63" spans="2:32" ht="22.95" customHeight="1">
      <c r="C63" s="735"/>
      <c r="D63" s="735"/>
      <c r="E63" s="735"/>
      <c r="F63" s="735"/>
      <c r="G63" s="735"/>
      <c r="H63" s="735"/>
      <c r="I63" s="735"/>
      <c r="J63" s="735"/>
      <c r="K63" s="735"/>
      <c r="L63" s="735"/>
      <c r="M63" s="735"/>
      <c r="N63" s="735"/>
      <c r="O63" s="735"/>
      <c r="P63" s="735"/>
    </row>
    <row r="64" spans="2:32" ht="22.95" customHeight="1"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</row>
    <row r="65" spans="3:16" ht="22.95" customHeight="1">
      <c r="C65" s="735"/>
      <c r="D65" s="735"/>
      <c r="E65" s="735"/>
      <c r="F65" s="735"/>
      <c r="G65" s="735"/>
      <c r="H65" s="735"/>
      <c r="I65" s="735"/>
      <c r="J65" s="735"/>
      <c r="K65" s="735"/>
      <c r="L65" s="735"/>
      <c r="M65" s="735"/>
      <c r="N65" s="735"/>
      <c r="O65" s="735"/>
      <c r="P65" s="735"/>
    </row>
    <row r="66" spans="3:16" ht="22.95" customHeight="1"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31" zoomScale="60" zoomScaleNormal="60" zoomScalePageLayoutView="60" workbookViewId="0">
      <selection activeCell="J47" sqref="J47"/>
    </sheetView>
  </sheetViews>
  <sheetFormatPr baseColWidth="10" defaultColWidth="10.81640625" defaultRowHeight="22.95" customHeight="1"/>
  <cols>
    <col min="1" max="2" width="3.1796875" style="734" customWidth="1"/>
    <col min="3" max="4" width="14.81640625" style="734" customWidth="1"/>
    <col min="5" max="6" width="15.453125" style="734" customWidth="1"/>
    <col min="7" max="9" width="14.81640625" style="734" customWidth="1"/>
    <col min="10" max="10" width="20.81640625" style="734" customWidth="1"/>
    <col min="11" max="11" width="16.453125" style="734" customWidth="1"/>
    <col min="12" max="12" width="16.1796875" style="734" customWidth="1"/>
    <col min="13" max="13" width="60.81640625" style="734" customWidth="1"/>
    <col min="14" max="14" width="16.54296875" style="734" customWidth="1"/>
    <col min="15" max="15" width="4" style="734" customWidth="1"/>
    <col min="16" max="16384" width="10.81640625" style="734"/>
  </cols>
  <sheetData>
    <row r="1" spans="2:30" ht="22.95" customHeight="1">
      <c r="D1" s="735"/>
      <c r="E1" s="735"/>
    </row>
    <row r="2" spans="2:30" ht="22.95" customHeight="1">
      <c r="D2" s="736" t="s">
        <v>31</v>
      </c>
      <c r="E2" s="736"/>
    </row>
    <row r="3" spans="2:30" ht="22.95" customHeight="1">
      <c r="D3" s="736" t="s">
        <v>32</v>
      </c>
      <c r="E3" s="736"/>
    </row>
    <row r="4" spans="2:30" ht="22.95" customHeight="1" thickBot="1"/>
    <row r="5" spans="2:30" ht="9" customHeight="1">
      <c r="B5" s="737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738"/>
      <c r="N5" s="738"/>
      <c r="O5" s="739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40"/>
      <c r="C6" s="741" t="s">
        <v>0</v>
      </c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1071">
        <f>ejercicio</f>
        <v>2018</v>
      </c>
      <c r="O6" s="742"/>
      <c r="Q6" s="402"/>
      <c r="R6" s="403" t="s">
        <v>643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40"/>
      <c r="C7" s="741" t="s">
        <v>1</v>
      </c>
      <c r="D7" s="735"/>
      <c r="E7" s="735"/>
      <c r="F7" s="735"/>
      <c r="G7" s="735"/>
      <c r="H7" s="735"/>
      <c r="I7" s="735"/>
      <c r="J7" s="735"/>
      <c r="K7" s="735"/>
      <c r="L7" s="735"/>
      <c r="M7" s="735"/>
      <c r="N7" s="1071"/>
      <c r="O7" s="742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40"/>
      <c r="C8" s="744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45"/>
      <c r="O8" s="742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9" customFormat="1" ht="30" customHeight="1">
      <c r="B9" s="746"/>
      <c r="C9" s="747" t="s">
        <v>2</v>
      </c>
      <c r="D9" s="1073" t="str">
        <f>Entidad</f>
        <v>PARQUE CIENTÍFICO Y TECNOLÓGICO DE TENERIFE, S.A.</v>
      </c>
      <c r="E9" s="1073"/>
      <c r="F9" s="1073"/>
      <c r="G9" s="1073"/>
      <c r="H9" s="1073"/>
      <c r="I9" s="1073"/>
      <c r="J9" s="1073"/>
      <c r="K9" s="1073"/>
      <c r="L9" s="1073"/>
      <c r="M9" s="1073"/>
      <c r="N9" s="724"/>
      <c r="O9" s="748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2" customHeight="1">
      <c r="B10" s="740"/>
      <c r="C10" s="735"/>
      <c r="D10" s="735"/>
      <c r="E10" s="735"/>
      <c r="F10" s="735"/>
      <c r="G10" s="735"/>
      <c r="H10" s="735"/>
      <c r="I10" s="735"/>
      <c r="J10" s="743"/>
      <c r="K10" s="735"/>
      <c r="L10" s="735"/>
      <c r="M10" s="735"/>
      <c r="N10" s="735"/>
      <c r="O10" s="742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3" customFormat="1" ht="30" customHeight="1">
      <c r="B11" s="750"/>
      <c r="C11" s="751" t="s">
        <v>705</v>
      </c>
      <c r="D11" s="751"/>
      <c r="E11" s="751"/>
      <c r="F11" s="751"/>
      <c r="G11" s="751"/>
      <c r="H11" s="751"/>
      <c r="I11" s="751"/>
      <c r="J11" s="751"/>
      <c r="K11" s="751"/>
      <c r="L11" s="751"/>
      <c r="M11" s="751"/>
      <c r="N11" s="751"/>
      <c r="O11" s="752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2" customFormat="1" ht="22.95" customHeight="1">
      <c r="B12" s="779"/>
      <c r="C12" s="780"/>
      <c r="D12" s="780"/>
      <c r="E12" s="780"/>
      <c r="F12" s="780"/>
      <c r="G12" s="780"/>
      <c r="H12" s="780"/>
      <c r="I12" s="780"/>
      <c r="J12" s="780"/>
      <c r="K12" s="780"/>
      <c r="L12" s="780"/>
      <c r="M12" s="780"/>
      <c r="N12" s="780"/>
      <c r="O12" s="781"/>
      <c r="Q12" s="783"/>
      <c r="R12" s="784"/>
      <c r="S12" s="784"/>
      <c r="T12" s="784"/>
      <c r="U12" s="784"/>
      <c r="V12" s="784"/>
      <c r="W12" s="784"/>
      <c r="X12" s="784"/>
      <c r="Y12" s="784"/>
      <c r="Z12" s="784"/>
      <c r="AA12" s="784"/>
      <c r="AB12" s="784"/>
      <c r="AC12" s="784"/>
      <c r="AD12" s="785"/>
    </row>
    <row r="13" spans="2:30" s="782" customFormat="1" ht="51" customHeight="1">
      <c r="B13" s="779"/>
      <c r="C13" s="798" t="s">
        <v>699</v>
      </c>
      <c r="D13" s="798" t="s">
        <v>698</v>
      </c>
      <c r="E13" s="1080" t="s">
        <v>702</v>
      </c>
      <c r="F13" s="1081"/>
      <c r="G13" s="798" t="s">
        <v>685</v>
      </c>
      <c r="H13" s="798" t="s">
        <v>700</v>
      </c>
      <c r="I13" s="798" t="s">
        <v>701</v>
      </c>
      <c r="J13" s="798" t="s">
        <v>704</v>
      </c>
      <c r="K13" s="798" t="s">
        <v>707</v>
      </c>
      <c r="L13" s="798" t="s">
        <v>703</v>
      </c>
      <c r="M13" s="1080" t="s">
        <v>710</v>
      </c>
      <c r="N13" s="1081"/>
      <c r="O13" s="781"/>
      <c r="Q13" s="787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9"/>
    </row>
    <row r="14" spans="2:30" s="782" customFormat="1" ht="22.95" customHeight="1">
      <c r="B14" s="779"/>
      <c r="C14" s="809">
        <v>38729</v>
      </c>
      <c r="D14" s="810">
        <v>8983</v>
      </c>
      <c r="E14" s="811">
        <v>1</v>
      </c>
      <c r="F14" s="812">
        <v>8983</v>
      </c>
      <c r="G14" s="1020" t="s">
        <v>829</v>
      </c>
      <c r="H14" s="813">
        <v>60</v>
      </c>
      <c r="I14" s="813"/>
      <c r="J14" s="799">
        <f>(D14*(H14+I14))</f>
        <v>538980</v>
      </c>
      <c r="K14" s="833"/>
      <c r="L14" s="834"/>
      <c r="M14" s="1082"/>
      <c r="N14" s="1083"/>
      <c r="O14" s="781"/>
      <c r="Q14" s="787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  <c r="AC14" s="788"/>
      <c r="AD14" s="789"/>
    </row>
    <row r="15" spans="2:30" s="792" customFormat="1" ht="22.95" customHeight="1">
      <c r="B15" s="790"/>
      <c r="C15" s="814">
        <v>39050</v>
      </c>
      <c r="D15" s="815">
        <v>20279</v>
      </c>
      <c r="E15" s="816">
        <v>9151</v>
      </c>
      <c r="F15" s="817">
        <v>29429</v>
      </c>
      <c r="G15" s="1021" t="s">
        <v>829</v>
      </c>
      <c r="H15" s="818">
        <v>60</v>
      </c>
      <c r="I15" s="818"/>
      <c r="J15" s="800">
        <f t="shared" ref="J15:J43" si="0">(D15*(H15+I15))</f>
        <v>1216740</v>
      </c>
      <c r="K15" s="835"/>
      <c r="L15" s="836"/>
      <c r="M15" s="1078"/>
      <c r="N15" s="1079"/>
      <c r="O15" s="791"/>
      <c r="Q15" s="787"/>
      <c r="R15" s="788"/>
      <c r="S15" s="788"/>
      <c r="T15" s="788"/>
      <c r="U15" s="788"/>
      <c r="V15" s="788"/>
      <c r="W15" s="788"/>
      <c r="X15" s="788"/>
      <c r="Y15" s="788"/>
      <c r="Z15" s="788"/>
      <c r="AA15" s="788"/>
      <c r="AB15" s="788"/>
      <c r="AC15" s="788"/>
      <c r="AD15" s="789"/>
    </row>
    <row r="16" spans="2:30" s="782" customFormat="1" ht="22.95" customHeight="1">
      <c r="B16" s="779"/>
      <c r="C16" s="819">
        <v>39227</v>
      </c>
      <c r="D16" s="820">
        <v>100000</v>
      </c>
      <c r="E16" s="821">
        <v>29430</v>
      </c>
      <c r="F16" s="822">
        <v>129429</v>
      </c>
      <c r="G16" s="1022" t="s">
        <v>829</v>
      </c>
      <c r="H16" s="824">
        <v>60</v>
      </c>
      <c r="I16" s="824"/>
      <c r="J16" s="800">
        <f t="shared" si="0"/>
        <v>6000000</v>
      </c>
      <c r="K16" s="837"/>
      <c r="L16" s="838"/>
      <c r="M16" s="1078"/>
      <c r="N16" s="1079"/>
      <c r="O16" s="781"/>
      <c r="Q16" s="787"/>
      <c r="R16" s="788"/>
      <c r="S16" s="788"/>
      <c r="T16" s="788"/>
      <c r="U16" s="788"/>
      <c r="V16" s="788"/>
      <c r="W16" s="788"/>
      <c r="X16" s="788"/>
      <c r="Y16" s="788"/>
      <c r="Z16" s="788"/>
      <c r="AA16" s="788"/>
      <c r="AB16" s="788"/>
      <c r="AC16" s="788"/>
      <c r="AD16" s="789"/>
    </row>
    <row r="17" spans="2:30" s="782" customFormat="1" ht="22.95" customHeight="1">
      <c r="B17" s="779"/>
      <c r="C17" s="819">
        <v>39471</v>
      </c>
      <c r="D17" s="820">
        <v>16402</v>
      </c>
      <c r="E17" s="821">
        <v>129930</v>
      </c>
      <c r="F17" s="822">
        <v>146331</v>
      </c>
      <c r="G17" s="1022" t="s">
        <v>829</v>
      </c>
      <c r="H17" s="824">
        <v>60</v>
      </c>
      <c r="I17" s="824"/>
      <c r="J17" s="800">
        <f t="shared" si="0"/>
        <v>984120</v>
      </c>
      <c r="K17" s="837"/>
      <c r="L17" s="838"/>
      <c r="M17" s="1078"/>
      <c r="N17" s="1079"/>
      <c r="O17" s="781"/>
      <c r="Q17" s="787"/>
      <c r="R17" s="788"/>
      <c r="S17" s="788"/>
      <c r="T17" s="788"/>
      <c r="U17" s="788"/>
      <c r="V17" s="788"/>
      <c r="W17" s="788"/>
      <c r="X17" s="788"/>
      <c r="Y17" s="788"/>
      <c r="Z17" s="788"/>
      <c r="AA17" s="788"/>
      <c r="AB17" s="788"/>
      <c r="AC17" s="788"/>
      <c r="AD17" s="789"/>
    </row>
    <row r="18" spans="2:30" s="782" customFormat="1" ht="22.95" customHeight="1">
      <c r="B18" s="779"/>
      <c r="C18" s="819">
        <v>39827</v>
      </c>
      <c r="D18" s="820">
        <v>3583</v>
      </c>
      <c r="E18" s="821">
        <v>146332</v>
      </c>
      <c r="F18" s="822">
        <v>149914</v>
      </c>
      <c r="G18" s="1022" t="s">
        <v>829</v>
      </c>
      <c r="H18" s="824">
        <v>60</v>
      </c>
      <c r="I18" s="824"/>
      <c r="J18" s="800">
        <f t="shared" si="0"/>
        <v>214980</v>
      </c>
      <c r="K18" s="837"/>
      <c r="L18" s="838"/>
      <c r="M18" s="1078"/>
      <c r="N18" s="1079"/>
      <c r="O18" s="781"/>
      <c r="Q18" s="787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  <c r="AC18" s="788"/>
      <c r="AD18" s="789"/>
    </row>
    <row r="19" spans="2:30" s="782" customFormat="1" ht="22.95" customHeight="1">
      <c r="B19" s="779"/>
      <c r="C19" s="819">
        <v>40234</v>
      </c>
      <c r="D19" s="820">
        <v>3333</v>
      </c>
      <c r="E19" s="821">
        <v>149915</v>
      </c>
      <c r="F19" s="822">
        <v>153247</v>
      </c>
      <c r="G19" s="1022" t="s">
        <v>829</v>
      </c>
      <c r="H19" s="824">
        <v>60</v>
      </c>
      <c r="I19" s="824"/>
      <c r="J19" s="800">
        <f t="shared" si="0"/>
        <v>199980</v>
      </c>
      <c r="K19" s="837"/>
      <c r="L19" s="838"/>
      <c r="M19" s="1078"/>
      <c r="N19" s="1079"/>
      <c r="O19" s="781"/>
      <c r="Q19" s="787"/>
      <c r="R19" s="788"/>
      <c r="S19" s="788"/>
      <c r="T19" s="788"/>
      <c r="U19" s="788"/>
      <c r="V19" s="788"/>
      <c r="W19" s="788"/>
      <c r="X19" s="788"/>
      <c r="Y19" s="788"/>
      <c r="Z19" s="788"/>
      <c r="AA19" s="788"/>
      <c r="AB19" s="788"/>
      <c r="AC19" s="788"/>
      <c r="AD19" s="789"/>
    </row>
    <row r="20" spans="2:30" s="782" customFormat="1" ht="22.95" customHeight="1">
      <c r="B20" s="779"/>
      <c r="C20" s="819">
        <v>40646</v>
      </c>
      <c r="D20" s="820">
        <v>9166</v>
      </c>
      <c r="E20" s="821">
        <v>153248</v>
      </c>
      <c r="F20" s="822">
        <v>162413</v>
      </c>
      <c r="G20" s="1022" t="s">
        <v>829</v>
      </c>
      <c r="H20" s="824">
        <v>60</v>
      </c>
      <c r="I20" s="824"/>
      <c r="J20" s="800">
        <f t="shared" si="0"/>
        <v>549960</v>
      </c>
      <c r="K20" s="837"/>
      <c r="L20" s="838"/>
      <c r="M20" s="1078"/>
      <c r="N20" s="1079"/>
      <c r="O20" s="781"/>
      <c r="Q20" s="787"/>
      <c r="R20" s="788"/>
      <c r="S20" s="788"/>
      <c r="T20" s="788"/>
      <c r="U20" s="788"/>
      <c r="V20" s="788"/>
      <c r="W20" s="788"/>
      <c r="X20" s="788"/>
      <c r="Y20" s="788"/>
      <c r="Z20" s="788"/>
      <c r="AA20" s="788"/>
      <c r="AB20" s="788"/>
      <c r="AC20" s="788"/>
      <c r="AD20" s="789"/>
    </row>
    <row r="21" spans="2:30" s="782" customFormat="1" ht="22.95" customHeight="1">
      <c r="B21" s="779"/>
      <c r="C21" s="819">
        <v>40673</v>
      </c>
      <c r="D21" s="820">
        <v>74934</v>
      </c>
      <c r="E21" s="821">
        <v>162414</v>
      </c>
      <c r="F21" s="822">
        <v>237437</v>
      </c>
      <c r="G21" s="1022" t="s">
        <v>829</v>
      </c>
      <c r="H21" s="824">
        <v>60</v>
      </c>
      <c r="I21" s="824"/>
      <c r="J21" s="800">
        <f t="shared" si="0"/>
        <v>4496040</v>
      </c>
      <c r="K21" s="837"/>
      <c r="L21" s="838"/>
      <c r="M21" s="1078"/>
      <c r="N21" s="1079"/>
      <c r="O21" s="781"/>
      <c r="Q21" s="787"/>
      <c r="R21" s="788"/>
      <c r="S21" s="788"/>
      <c r="T21" s="788"/>
      <c r="U21" s="788"/>
      <c r="V21" s="788"/>
      <c r="W21" s="788"/>
      <c r="X21" s="788"/>
      <c r="Y21" s="788"/>
      <c r="Z21" s="788"/>
      <c r="AA21" s="788"/>
      <c r="AB21" s="788"/>
      <c r="AC21" s="788"/>
      <c r="AD21" s="789"/>
    </row>
    <row r="22" spans="2:30" s="782" customFormat="1" ht="22.95" customHeight="1">
      <c r="B22" s="779"/>
      <c r="C22" s="819">
        <v>41330</v>
      </c>
      <c r="D22" s="820">
        <v>625</v>
      </c>
      <c r="E22" s="821">
        <v>237348</v>
      </c>
      <c r="F22" s="822">
        <v>237972</v>
      </c>
      <c r="G22" s="1022" t="s">
        <v>829</v>
      </c>
      <c r="H22" s="824">
        <v>60</v>
      </c>
      <c r="I22" s="824"/>
      <c r="J22" s="800">
        <f t="shared" si="0"/>
        <v>37500</v>
      </c>
      <c r="K22" s="837"/>
      <c r="L22" s="838"/>
      <c r="M22" s="1078"/>
      <c r="N22" s="1079"/>
      <c r="O22" s="781"/>
      <c r="Q22" s="787"/>
      <c r="R22" s="788"/>
      <c r="S22" s="788"/>
      <c r="T22" s="788"/>
      <c r="U22" s="788"/>
      <c r="V22" s="788"/>
      <c r="W22" s="788"/>
      <c r="X22" s="788"/>
      <c r="Y22" s="788"/>
      <c r="Z22" s="788"/>
      <c r="AA22" s="788"/>
      <c r="AB22" s="788"/>
      <c r="AC22" s="788"/>
      <c r="AD22" s="789"/>
    </row>
    <row r="23" spans="2:30" s="782" customFormat="1" ht="22.95" customHeight="1">
      <c r="B23" s="779"/>
      <c r="C23" s="819"/>
      <c r="D23" s="820"/>
      <c r="E23" s="821"/>
      <c r="F23" s="822"/>
      <c r="G23" s="823"/>
      <c r="H23" s="825"/>
      <c r="I23" s="825"/>
      <c r="J23" s="800">
        <f t="shared" si="0"/>
        <v>0</v>
      </c>
      <c r="K23" s="839"/>
      <c r="L23" s="840"/>
      <c r="M23" s="1078"/>
      <c r="N23" s="1079"/>
      <c r="O23" s="781"/>
      <c r="Q23" s="787"/>
      <c r="R23" s="788"/>
      <c r="S23" s="788"/>
      <c r="T23" s="788"/>
      <c r="U23" s="788"/>
      <c r="V23" s="788"/>
      <c r="W23" s="788"/>
      <c r="X23" s="788"/>
      <c r="Y23" s="788"/>
      <c r="Z23" s="788"/>
      <c r="AA23" s="788"/>
      <c r="AB23" s="788"/>
      <c r="AC23" s="788"/>
      <c r="AD23" s="789"/>
    </row>
    <row r="24" spans="2:30" s="782" customFormat="1" ht="22.95" customHeight="1">
      <c r="B24" s="779"/>
      <c r="C24" s="819"/>
      <c r="D24" s="820"/>
      <c r="E24" s="821"/>
      <c r="F24" s="822"/>
      <c r="G24" s="823"/>
      <c r="H24" s="825"/>
      <c r="I24" s="825"/>
      <c r="J24" s="800">
        <f t="shared" si="0"/>
        <v>0</v>
      </c>
      <c r="K24" s="839"/>
      <c r="L24" s="840"/>
      <c r="M24" s="831"/>
      <c r="N24" s="832"/>
      <c r="O24" s="781"/>
      <c r="Q24" s="787"/>
      <c r="R24" s="788"/>
      <c r="S24" s="788"/>
      <c r="T24" s="788"/>
      <c r="U24" s="788"/>
      <c r="V24" s="788"/>
      <c r="W24" s="788"/>
      <c r="X24" s="788"/>
      <c r="Y24" s="788"/>
      <c r="Z24" s="788"/>
      <c r="AA24" s="788"/>
      <c r="AB24" s="788"/>
      <c r="AC24" s="788"/>
      <c r="AD24" s="789"/>
    </row>
    <row r="25" spans="2:30" s="782" customFormat="1" ht="22.95" customHeight="1">
      <c r="B25" s="779"/>
      <c r="C25" s="819"/>
      <c r="D25" s="820"/>
      <c r="E25" s="821"/>
      <c r="F25" s="822"/>
      <c r="G25" s="823"/>
      <c r="H25" s="825"/>
      <c r="I25" s="825"/>
      <c r="J25" s="800">
        <f t="shared" si="0"/>
        <v>0</v>
      </c>
      <c r="K25" s="839"/>
      <c r="L25" s="840"/>
      <c r="M25" s="831"/>
      <c r="N25" s="832"/>
      <c r="O25" s="781"/>
      <c r="Q25" s="787"/>
      <c r="R25" s="788"/>
      <c r="S25" s="788"/>
      <c r="T25" s="788"/>
      <c r="U25" s="788"/>
      <c r="V25" s="788"/>
      <c r="W25" s="788"/>
      <c r="X25" s="788"/>
      <c r="Y25" s="788"/>
      <c r="Z25" s="788"/>
      <c r="AA25" s="788"/>
      <c r="AB25" s="788"/>
      <c r="AC25" s="788"/>
      <c r="AD25" s="789"/>
    </row>
    <row r="26" spans="2:30" s="782" customFormat="1" ht="22.95" customHeight="1">
      <c r="B26" s="779"/>
      <c r="C26" s="819"/>
      <c r="D26" s="820"/>
      <c r="E26" s="821"/>
      <c r="F26" s="822"/>
      <c r="G26" s="823"/>
      <c r="H26" s="825"/>
      <c r="I26" s="825"/>
      <c r="J26" s="800">
        <f t="shared" si="0"/>
        <v>0</v>
      </c>
      <c r="K26" s="839"/>
      <c r="L26" s="840"/>
      <c r="M26" s="831"/>
      <c r="N26" s="832"/>
      <c r="O26" s="781"/>
      <c r="Q26" s="787"/>
      <c r="R26" s="788"/>
      <c r="S26" s="788"/>
      <c r="T26" s="788"/>
      <c r="U26" s="788"/>
      <c r="V26" s="788"/>
      <c r="W26" s="788"/>
      <c r="X26" s="788"/>
      <c r="Y26" s="788"/>
      <c r="Z26" s="788"/>
      <c r="AA26" s="788"/>
      <c r="AB26" s="788"/>
      <c r="AC26" s="788"/>
      <c r="AD26" s="789"/>
    </row>
    <row r="27" spans="2:30" s="782" customFormat="1" ht="22.95" customHeight="1">
      <c r="B27" s="779"/>
      <c r="C27" s="819"/>
      <c r="D27" s="820"/>
      <c r="E27" s="821"/>
      <c r="F27" s="822"/>
      <c r="G27" s="823"/>
      <c r="H27" s="825"/>
      <c r="I27" s="825"/>
      <c r="J27" s="800">
        <f t="shared" si="0"/>
        <v>0</v>
      </c>
      <c r="K27" s="839"/>
      <c r="L27" s="840"/>
      <c r="M27" s="831"/>
      <c r="N27" s="832"/>
      <c r="O27" s="781"/>
      <c r="Q27" s="787"/>
      <c r="R27" s="788"/>
      <c r="S27" s="788"/>
      <c r="T27" s="788"/>
      <c r="U27" s="788"/>
      <c r="V27" s="788"/>
      <c r="W27" s="788"/>
      <c r="X27" s="788"/>
      <c r="Y27" s="788"/>
      <c r="Z27" s="788"/>
      <c r="AA27" s="788"/>
      <c r="AB27" s="788"/>
      <c r="AC27" s="788"/>
      <c r="AD27" s="789"/>
    </row>
    <row r="28" spans="2:30" s="782" customFormat="1" ht="22.95" customHeight="1">
      <c r="B28" s="779"/>
      <c r="C28" s="819"/>
      <c r="D28" s="820"/>
      <c r="E28" s="821"/>
      <c r="F28" s="822"/>
      <c r="G28" s="823"/>
      <c r="H28" s="825"/>
      <c r="I28" s="825"/>
      <c r="J28" s="800">
        <f t="shared" si="0"/>
        <v>0</v>
      </c>
      <c r="K28" s="839"/>
      <c r="L28" s="840"/>
      <c r="M28" s="831"/>
      <c r="N28" s="832"/>
      <c r="O28" s="781"/>
      <c r="Q28" s="787"/>
      <c r="R28" s="788"/>
      <c r="S28" s="788"/>
      <c r="T28" s="788"/>
      <c r="U28" s="788"/>
      <c r="V28" s="788"/>
      <c r="W28" s="788"/>
      <c r="X28" s="788"/>
      <c r="Y28" s="788"/>
      <c r="Z28" s="788"/>
      <c r="AA28" s="788"/>
      <c r="AB28" s="788"/>
      <c r="AC28" s="788"/>
      <c r="AD28" s="789"/>
    </row>
    <row r="29" spans="2:30" s="782" customFormat="1" ht="22.95" customHeight="1">
      <c r="B29" s="779"/>
      <c r="C29" s="819"/>
      <c r="D29" s="820"/>
      <c r="E29" s="821"/>
      <c r="F29" s="822"/>
      <c r="G29" s="823"/>
      <c r="H29" s="825"/>
      <c r="I29" s="825"/>
      <c r="J29" s="800">
        <f t="shared" si="0"/>
        <v>0</v>
      </c>
      <c r="K29" s="839"/>
      <c r="L29" s="840"/>
      <c r="M29" s="831"/>
      <c r="N29" s="832"/>
      <c r="O29" s="781"/>
      <c r="Q29" s="787"/>
      <c r="R29" s="788"/>
      <c r="S29" s="788"/>
      <c r="T29" s="788"/>
      <c r="U29" s="788"/>
      <c r="V29" s="788"/>
      <c r="W29" s="788"/>
      <c r="X29" s="788"/>
      <c r="Y29" s="788"/>
      <c r="Z29" s="788"/>
      <c r="AA29" s="788"/>
      <c r="AB29" s="788"/>
      <c r="AC29" s="788"/>
      <c r="AD29" s="789"/>
    </row>
    <row r="30" spans="2:30" s="782" customFormat="1" ht="22.95" customHeight="1">
      <c r="B30" s="779"/>
      <c r="C30" s="819"/>
      <c r="D30" s="820"/>
      <c r="E30" s="821"/>
      <c r="F30" s="822"/>
      <c r="G30" s="823"/>
      <c r="H30" s="825"/>
      <c r="I30" s="825"/>
      <c r="J30" s="800">
        <f t="shared" si="0"/>
        <v>0</v>
      </c>
      <c r="K30" s="839"/>
      <c r="L30" s="840"/>
      <c r="M30" s="831"/>
      <c r="N30" s="832"/>
      <c r="O30" s="781"/>
      <c r="Q30" s="787"/>
      <c r="R30" s="788"/>
      <c r="S30" s="788"/>
      <c r="T30" s="788"/>
      <c r="U30" s="788"/>
      <c r="V30" s="788"/>
      <c r="W30" s="788"/>
      <c r="X30" s="788"/>
      <c r="Y30" s="788"/>
      <c r="Z30" s="788"/>
      <c r="AA30" s="788"/>
      <c r="AB30" s="788"/>
      <c r="AC30" s="788"/>
      <c r="AD30" s="789"/>
    </row>
    <row r="31" spans="2:30" s="782" customFormat="1" ht="22.95" customHeight="1">
      <c r="B31" s="779"/>
      <c r="C31" s="819"/>
      <c r="D31" s="820"/>
      <c r="E31" s="821"/>
      <c r="F31" s="822"/>
      <c r="G31" s="823"/>
      <c r="H31" s="825"/>
      <c r="I31" s="825"/>
      <c r="J31" s="800">
        <f t="shared" si="0"/>
        <v>0</v>
      </c>
      <c r="K31" s="839"/>
      <c r="L31" s="840"/>
      <c r="M31" s="831"/>
      <c r="N31" s="832"/>
      <c r="O31" s="781"/>
      <c r="Q31" s="787"/>
      <c r="R31" s="788"/>
      <c r="S31" s="788"/>
      <c r="T31" s="788"/>
      <c r="U31" s="788"/>
      <c r="V31" s="788"/>
      <c r="W31" s="788"/>
      <c r="X31" s="788"/>
      <c r="Y31" s="788"/>
      <c r="Z31" s="788"/>
      <c r="AA31" s="788"/>
      <c r="AB31" s="788"/>
      <c r="AC31" s="788"/>
      <c r="AD31" s="789"/>
    </row>
    <row r="32" spans="2:30" s="782" customFormat="1" ht="22.95" customHeight="1">
      <c r="B32" s="779"/>
      <c r="C32" s="819"/>
      <c r="D32" s="820"/>
      <c r="E32" s="821"/>
      <c r="F32" s="822"/>
      <c r="G32" s="823"/>
      <c r="H32" s="825"/>
      <c r="I32" s="825"/>
      <c r="J32" s="800">
        <f t="shared" si="0"/>
        <v>0</v>
      </c>
      <c r="K32" s="839"/>
      <c r="L32" s="840"/>
      <c r="M32" s="831"/>
      <c r="N32" s="832"/>
      <c r="O32" s="781"/>
      <c r="Q32" s="787"/>
      <c r="R32" s="788"/>
      <c r="S32" s="788"/>
      <c r="T32" s="788"/>
      <c r="U32" s="788"/>
      <c r="V32" s="788"/>
      <c r="W32" s="788"/>
      <c r="X32" s="788"/>
      <c r="Y32" s="788"/>
      <c r="Z32" s="788"/>
      <c r="AA32" s="788"/>
      <c r="AB32" s="788"/>
      <c r="AC32" s="788"/>
      <c r="AD32" s="789"/>
    </row>
    <row r="33" spans="2:30" s="782" customFormat="1" ht="22.95" customHeight="1">
      <c r="B33" s="779"/>
      <c r="C33" s="819"/>
      <c r="D33" s="820"/>
      <c r="E33" s="821"/>
      <c r="F33" s="822"/>
      <c r="G33" s="823"/>
      <c r="H33" s="825"/>
      <c r="I33" s="825"/>
      <c r="J33" s="800">
        <f t="shared" si="0"/>
        <v>0</v>
      </c>
      <c r="K33" s="839"/>
      <c r="L33" s="840"/>
      <c r="M33" s="1078"/>
      <c r="N33" s="1079"/>
      <c r="O33" s="781"/>
      <c r="Q33" s="787"/>
      <c r="R33" s="788"/>
      <c r="S33" s="788"/>
      <c r="T33" s="788"/>
      <c r="U33" s="788"/>
      <c r="V33" s="788"/>
      <c r="W33" s="788"/>
      <c r="X33" s="788"/>
      <c r="Y33" s="788"/>
      <c r="Z33" s="788"/>
      <c r="AA33" s="788"/>
      <c r="AB33" s="788"/>
      <c r="AC33" s="788"/>
      <c r="AD33" s="789"/>
    </row>
    <row r="34" spans="2:30" s="782" customFormat="1" ht="22.95" customHeight="1">
      <c r="B34" s="779"/>
      <c r="C34" s="819"/>
      <c r="D34" s="820"/>
      <c r="E34" s="821"/>
      <c r="F34" s="822"/>
      <c r="G34" s="823"/>
      <c r="H34" s="825"/>
      <c r="I34" s="825"/>
      <c r="J34" s="800">
        <f t="shared" si="0"/>
        <v>0</v>
      </c>
      <c r="K34" s="839"/>
      <c r="L34" s="840"/>
      <c r="M34" s="1078"/>
      <c r="N34" s="1079"/>
      <c r="O34" s="781"/>
      <c r="Q34" s="787"/>
      <c r="R34" s="788"/>
      <c r="S34" s="788"/>
      <c r="T34" s="788"/>
      <c r="U34" s="788"/>
      <c r="V34" s="788"/>
      <c r="W34" s="788"/>
      <c r="X34" s="788"/>
      <c r="Y34" s="788"/>
      <c r="Z34" s="788"/>
      <c r="AA34" s="788"/>
      <c r="AB34" s="788"/>
      <c r="AC34" s="788"/>
      <c r="AD34" s="789"/>
    </row>
    <row r="35" spans="2:30" s="782" customFormat="1" ht="22.95" customHeight="1">
      <c r="B35" s="779"/>
      <c r="C35" s="819"/>
      <c r="D35" s="820"/>
      <c r="E35" s="821"/>
      <c r="F35" s="822"/>
      <c r="G35" s="823"/>
      <c r="H35" s="825"/>
      <c r="I35" s="825"/>
      <c r="J35" s="800">
        <f t="shared" si="0"/>
        <v>0</v>
      </c>
      <c r="K35" s="839"/>
      <c r="L35" s="840"/>
      <c r="M35" s="1078"/>
      <c r="N35" s="1079"/>
      <c r="O35" s="781"/>
      <c r="Q35" s="787"/>
      <c r="R35" s="788"/>
      <c r="S35" s="788"/>
      <c r="T35" s="788"/>
      <c r="U35" s="788"/>
      <c r="V35" s="788"/>
      <c r="W35" s="788"/>
      <c r="X35" s="788"/>
      <c r="Y35" s="788"/>
      <c r="Z35" s="788"/>
      <c r="AA35" s="788"/>
      <c r="AB35" s="788"/>
      <c r="AC35" s="788"/>
      <c r="AD35" s="789"/>
    </row>
    <row r="36" spans="2:30" s="782" customFormat="1" ht="22.95" customHeight="1">
      <c r="B36" s="779"/>
      <c r="C36" s="819"/>
      <c r="D36" s="820"/>
      <c r="E36" s="821"/>
      <c r="F36" s="822"/>
      <c r="G36" s="823"/>
      <c r="H36" s="825"/>
      <c r="I36" s="825"/>
      <c r="J36" s="800">
        <f t="shared" si="0"/>
        <v>0</v>
      </c>
      <c r="K36" s="839"/>
      <c r="L36" s="840"/>
      <c r="M36" s="1078"/>
      <c r="N36" s="1079"/>
      <c r="O36" s="781"/>
      <c r="Q36" s="787"/>
      <c r="R36" s="788"/>
      <c r="S36" s="788"/>
      <c r="T36" s="788"/>
      <c r="U36" s="788"/>
      <c r="V36" s="788"/>
      <c r="W36" s="788"/>
      <c r="X36" s="788"/>
      <c r="Y36" s="788"/>
      <c r="Z36" s="788"/>
      <c r="AA36" s="788"/>
      <c r="AB36" s="788"/>
      <c r="AC36" s="788"/>
      <c r="AD36" s="789"/>
    </row>
    <row r="37" spans="2:30" s="782" customFormat="1" ht="22.95" customHeight="1">
      <c r="B37" s="779"/>
      <c r="C37" s="819"/>
      <c r="D37" s="820"/>
      <c r="E37" s="821"/>
      <c r="F37" s="822"/>
      <c r="G37" s="823"/>
      <c r="H37" s="825"/>
      <c r="I37" s="825"/>
      <c r="J37" s="800">
        <f t="shared" si="0"/>
        <v>0</v>
      </c>
      <c r="K37" s="839"/>
      <c r="L37" s="840"/>
      <c r="M37" s="1078"/>
      <c r="N37" s="1079"/>
      <c r="O37" s="781"/>
      <c r="Q37" s="787"/>
      <c r="R37" s="788"/>
      <c r="S37" s="788"/>
      <c r="T37" s="788"/>
      <c r="U37" s="788"/>
      <c r="V37" s="788"/>
      <c r="W37" s="788"/>
      <c r="X37" s="788"/>
      <c r="Y37" s="788"/>
      <c r="Z37" s="788"/>
      <c r="AA37" s="788"/>
      <c r="AB37" s="788"/>
      <c r="AC37" s="788"/>
      <c r="AD37" s="789"/>
    </row>
    <row r="38" spans="2:30" s="782" customFormat="1" ht="22.95" customHeight="1">
      <c r="B38" s="779"/>
      <c r="C38" s="819"/>
      <c r="D38" s="820"/>
      <c r="E38" s="821"/>
      <c r="F38" s="822"/>
      <c r="G38" s="823"/>
      <c r="H38" s="825"/>
      <c r="I38" s="825"/>
      <c r="J38" s="800">
        <f t="shared" si="0"/>
        <v>0</v>
      </c>
      <c r="K38" s="839"/>
      <c r="L38" s="840"/>
      <c r="M38" s="1078"/>
      <c r="N38" s="1079"/>
      <c r="O38" s="781"/>
      <c r="Q38" s="79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4"/>
    </row>
    <row r="39" spans="2:30" s="782" customFormat="1" ht="22.95" customHeight="1">
      <c r="B39" s="779"/>
      <c r="C39" s="819"/>
      <c r="D39" s="820"/>
      <c r="E39" s="821"/>
      <c r="F39" s="822"/>
      <c r="G39" s="823"/>
      <c r="H39" s="825"/>
      <c r="I39" s="825"/>
      <c r="J39" s="800">
        <f t="shared" si="0"/>
        <v>0</v>
      </c>
      <c r="K39" s="839"/>
      <c r="L39" s="840"/>
      <c r="M39" s="1078"/>
      <c r="N39" s="1079"/>
      <c r="O39" s="781"/>
      <c r="Q39" s="79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4"/>
    </row>
    <row r="40" spans="2:30" s="782" customFormat="1" ht="22.95" customHeight="1">
      <c r="B40" s="779"/>
      <c r="C40" s="819"/>
      <c r="D40" s="820"/>
      <c r="E40" s="821"/>
      <c r="F40" s="822"/>
      <c r="G40" s="823"/>
      <c r="H40" s="825"/>
      <c r="I40" s="825"/>
      <c r="J40" s="800">
        <f t="shared" si="0"/>
        <v>0</v>
      </c>
      <c r="K40" s="839"/>
      <c r="L40" s="840"/>
      <c r="M40" s="1078"/>
      <c r="N40" s="1079"/>
      <c r="O40" s="781"/>
      <c r="Q40" s="787"/>
      <c r="R40" s="788"/>
      <c r="S40" s="788"/>
      <c r="T40" s="788"/>
      <c r="U40" s="788"/>
      <c r="V40" s="788"/>
      <c r="W40" s="788"/>
      <c r="X40" s="788"/>
      <c r="Y40" s="788"/>
      <c r="Z40" s="788"/>
      <c r="AA40" s="788"/>
      <c r="AB40" s="788"/>
      <c r="AC40" s="788"/>
      <c r="AD40" s="789"/>
    </row>
    <row r="41" spans="2:30" s="782" customFormat="1" ht="22.95" customHeight="1">
      <c r="B41" s="779"/>
      <c r="C41" s="819"/>
      <c r="D41" s="820"/>
      <c r="E41" s="821"/>
      <c r="F41" s="822"/>
      <c r="G41" s="823"/>
      <c r="H41" s="825"/>
      <c r="I41" s="825"/>
      <c r="J41" s="800">
        <f t="shared" si="0"/>
        <v>0</v>
      </c>
      <c r="K41" s="839"/>
      <c r="L41" s="840"/>
      <c r="M41" s="1078"/>
      <c r="N41" s="1079"/>
      <c r="O41" s="781"/>
      <c r="Q41" s="787"/>
      <c r="R41" s="788"/>
      <c r="S41" s="788"/>
      <c r="T41" s="788"/>
      <c r="U41" s="788"/>
      <c r="V41" s="788"/>
      <c r="W41" s="788"/>
      <c r="X41" s="788"/>
      <c r="Y41" s="788"/>
      <c r="Z41" s="788"/>
      <c r="AA41" s="788"/>
      <c r="AB41" s="788"/>
      <c r="AC41" s="788"/>
      <c r="AD41" s="789"/>
    </row>
    <row r="42" spans="2:30" s="782" customFormat="1" ht="22.95" customHeight="1">
      <c r="B42" s="779"/>
      <c r="C42" s="819"/>
      <c r="D42" s="820"/>
      <c r="E42" s="821"/>
      <c r="F42" s="822"/>
      <c r="G42" s="823"/>
      <c r="H42" s="825"/>
      <c r="I42" s="825"/>
      <c r="J42" s="800">
        <f t="shared" si="0"/>
        <v>0</v>
      </c>
      <c r="K42" s="839"/>
      <c r="L42" s="840"/>
      <c r="M42" s="1078"/>
      <c r="N42" s="1079"/>
      <c r="O42" s="781"/>
      <c r="Q42" s="787"/>
      <c r="R42" s="788"/>
      <c r="S42" s="788"/>
      <c r="T42" s="788"/>
      <c r="U42" s="788"/>
      <c r="V42" s="788"/>
      <c r="W42" s="788"/>
      <c r="X42" s="788"/>
      <c r="Y42" s="788"/>
      <c r="Z42" s="788"/>
      <c r="AA42" s="788"/>
      <c r="AB42" s="788"/>
      <c r="AC42" s="788"/>
      <c r="AD42" s="789"/>
    </row>
    <row r="43" spans="2:30" s="782" customFormat="1" ht="22.95" customHeight="1" thickBot="1">
      <c r="B43" s="779"/>
      <c r="C43" s="826"/>
      <c r="D43" s="827"/>
      <c r="E43" s="827"/>
      <c r="F43" s="828"/>
      <c r="G43" s="829"/>
      <c r="H43" s="882"/>
      <c r="I43" s="882"/>
      <c r="J43" s="801">
        <f t="shared" si="0"/>
        <v>0</v>
      </c>
      <c r="K43" s="841"/>
      <c r="L43" s="842"/>
      <c r="M43" s="1084"/>
      <c r="N43" s="1085"/>
      <c r="O43" s="781"/>
      <c r="Q43" s="795"/>
      <c r="R43" s="796"/>
      <c r="S43" s="796"/>
      <c r="T43" s="796"/>
      <c r="U43" s="796"/>
      <c r="V43" s="796"/>
      <c r="W43" s="796"/>
      <c r="X43" s="796"/>
      <c r="Y43" s="796"/>
      <c r="Z43" s="796"/>
      <c r="AA43" s="796"/>
      <c r="AB43" s="796"/>
      <c r="AC43" s="796"/>
      <c r="AD43" s="797"/>
    </row>
    <row r="44" spans="2:30" s="782" customFormat="1" ht="22.95" customHeight="1" thickBot="1">
      <c r="B44" s="779"/>
      <c r="C44" s="802" t="s">
        <v>331</v>
      </c>
      <c r="D44" s="803">
        <f>SUM(D14:D43)</f>
        <v>237305</v>
      </c>
      <c r="E44" s="804"/>
      <c r="F44" s="805"/>
      <c r="G44" s="806"/>
      <c r="H44" s="830"/>
      <c r="I44" s="830"/>
      <c r="J44" s="807">
        <f>SUM(J14:J43)</f>
        <v>14238300</v>
      </c>
      <c r="K44" s="830"/>
      <c r="L44" s="808">
        <f>K44*D44</f>
        <v>0</v>
      </c>
      <c r="M44" s="780"/>
      <c r="N44" s="780"/>
      <c r="O44" s="781"/>
      <c r="Q44" s="795"/>
      <c r="R44" s="796"/>
      <c r="S44" s="796"/>
      <c r="T44" s="796"/>
      <c r="U44" s="796"/>
      <c r="V44" s="796"/>
      <c r="W44" s="796"/>
      <c r="X44" s="796"/>
      <c r="Y44" s="796"/>
      <c r="Z44" s="796"/>
      <c r="AA44" s="796"/>
      <c r="AB44" s="796"/>
      <c r="AC44" s="796"/>
      <c r="AD44" s="797"/>
    </row>
    <row r="45" spans="2:30" s="782" customFormat="1" ht="22.95" customHeight="1">
      <c r="B45" s="779"/>
      <c r="C45" s="786"/>
      <c r="D45" s="786"/>
      <c r="E45" s="786"/>
      <c r="F45" s="786"/>
      <c r="G45" s="786"/>
      <c r="H45" s="780"/>
      <c r="I45" s="780"/>
      <c r="J45" s="780"/>
      <c r="K45" s="780"/>
      <c r="L45" s="780"/>
      <c r="M45" s="780"/>
      <c r="N45" s="780"/>
      <c r="O45" s="781"/>
      <c r="Q45" s="795"/>
      <c r="R45" s="796"/>
      <c r="S45" s="796"/>
      <c r="T45" s="796"/>
      <c r="U45" s="796"/>
      <c r="V45" s="796"/>
      <c r="W45" s="796"/>
      <c r="X45" s="796"/>
      <c r="Y45" s="796"/>
      <c r="Z45" s="796"/>
      <c r="AA45" s="796"/>
      <c r="AB45" s="796"/>
      <c r="AC45" s="796"/>
      <c r="AD45" s="797"/>
    </row>
    <row r="46" spans="2:30" ht="22.95" customHeight="1">
      <c r="B46" s="740"/>
      <c r="C46" s="698" t="s">
        <v>354</v>
      </c>
      <c r="D46" s="628"/>
      <c r="E46" s="628"/>
      <c r="F46" s="628"/>
      <c r="G46" s="628"/>
      <c r="H46" s="735"/>
      <c r="I46" s="735"/>
      <c r="J46" s="735"/>
      <c r="K46" s="735"/>
      <c r="L46" s="735"/>
      <c r="M46" s="735"/>
      <c r="N46" s="735"/>
      <c r="O46" s="742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5" customHeight="1">
      <c r="B47" s="740"/>
      <c r="C47" s="769" t="s">
        <v>706</v>
      </c>
      <c r="D47" s="628"/>
      <c r="E47" s="628"/>
      <c r="F47" s="628"/>
      <c r="G47" s="628"/>
      <c r="H47" s="735"/>
      <c r="I47" s="735"/>
      <c r="J47" s="735"/>
      <c r="K47" s="735"/>
      <c r="L47" s="735"/>
      <c r="M47" s="735"/>
      <c r="N47" s="735"/>
      <c r="O47" s="742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5" customHeight="1">
      <c r="B48" s="740"/>
      <c r="C48" s="769" t="s">
        <v>709</v>
      </c>
      <c r="D48" s="628"/>
      <c r="E48" s="628"/>
      <c r="F48" s="628"/>
      <c r="G48" s="628"/>
      <c r="H48" s="735"/>
      <c r="I48" s="735"/>
      <c r="J48" s="628">
        <f>ejercicio-2</f>
        <v>2016</v>
      </c>
      <c r="K48" s="735" t="s">
        <v>708</v>
      </c>
      <c r="L48" s="735"/>
      <c r="M48" s="735"/>
      <c r="N48" s="735"/>
      <c r="O48" s="742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5" customHeight="1" thickBot="1">
      <c r="B49" s="770"/>
      <c r="C49" s="1072"/>
      <c r="D49" s="1072"/>
      <c r="E49" s="1072"/>
      <c r="F49" s="1072"/>
      <c r="G49" s="1072"/>
      <c r="H49" s="771"/>
      <c r="I49" s="771"/>
      <c r="J49" s="771"/>
      <c r="K49" s="771"/>
      <c r="L49" s="771"/>
      <c r="M49" s="771"/>
      <c r="N49" s="771"/>
      <c r="O49" s="772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5" customHeight="1"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</row>
    <row r="51" spans="2:30" ht="13.2">
      <c r="C51" s="773" t="s">
        <v>77</v>
      </c>
      <c r="D51" s="735"/>
      <c r="E51" s="735"/>
      <c r="F51" s="735"/>
      <c r="G51" s="735"/>
      <c r="H51" s="735"/>
      <c r="I51" s="735"/>
      <c r="J51" s="735"/>
      <c r="K51" s="735"/>
      <c r="L51" s="735"/>
      <c r="M51" s="735"/>
      <c r="N51" s="705" t="s">
        <v>717</v>
      </c>
    </row>
    <row r="52" spans="2:30" ht="13.2">
      <c r="C52" s="774" t="s">
        <v>78</v>
      </c>
      <c r="D52" s="735"/>
      <c r="E52" s="735"/>
      <c r="F52" s="735"/>
      <c r="G52" s="735"/>
      <c r="H52" s="735"/>
      <c r="I52" s="735"/>
      <c r="J52" s="735"/>
      <c r="K52" s="735"/>
      <c r="L52" s="735"/>
      <c r="M52" s="735"/>
      <c r="N52" s="735"/>
    </row>
    <row r="53" spans="2:30" ht="13.2">
      <c r="C53" s="774" t="s">
        <v>79</v>
      </c>
      <c r="D53" s="735"/>
      <c r="E53" s="735"/>
      <c r="F53" s="735"/>
      <c r="G53" s="735"/>
      <c r="H53" s="735"/>
      <c r="I53" s="735"/>
      <c r="J53" s="735"/>
      <c r="K53" s="735"/>
      <c r="L53" s="735"/>
      <c r="M53" s="735"/>
      <c r="N53" s="735"/>
    </row>
    <row r="54" spans="2:30" ht="13.2">
      <c r="C54" s="774" t="s">
        <v>80</v>
      </c>
      <c r="D54" s="735"/>
      <c r="E54" s="735"/>
      <c r="F54" s="735"/>
      <c r="G54" s="735"/>
      <c r="H54" s="735"/>
      <c r="I54" s="735"/>
      <c r="J54" s="735"/>
      <c r="K54" s="735"/>
      <c r="L54" s="735"/>
      <c r="M54" s="735"/>
      <c r="N54" s="735"/>
    </row>
    <row r="55" spans="2:30" ht="13.2">
      <c r="C55" s="774" t="s">
        <v>81</v>
      </c>
      <c r="D55" s="735"/>
      <c r="E55" s="735"/>
      <c r="F55" s="735"/>
      <c r="G55" s="735"/>
      <c r="H55" s="735"/>
      <c r="I55" s="735"/>
      <c r="J55" s="735"/>
      <c r="K55" s="735"/>
      <c r="L55" s="735"/>
      <c r="M55" s="735"/>
      <c r="N55" s="735"/>
    </row>
    <row r="56" spans="2:30" ht="22.95" customHeight="1">
      <c r="C56" s="735"/>
      <c r="D56" s="735"/>
      <c r="E56" s="735"/>
      <c r="F56" s="735"/>
      <c r="G56" s="735"/>
      <c r="H56" s="735"/>
      <c r="I56" s="735"/>
      <c r="J56" s="735"/>
      <c r="K56" s="735"/>
      <c r="L56" s="735"/>
      <c r="M56" s="735"/>
      <c r="N56" s="735"/>
    </row>
    <row r="57" spans="2:30" ht="22.95" customHeight="1">
      <c r="C57" s="735"/>
      <c r="D57" s="735"/>
      <c r="E57" s="735"/>
      <c r="F57" s="735"/>
      <c r="G57" s="735"/>
      <c r="H57" s="735"/>
      <c r="I57" s="735"/>
      <c r="J57" s="735"/>
      <c r="K57" s="735"/>
      <c r="L57" s="735"/>
      <c r="M57" s="735"/>
      <c r="N57" s="735"/>
    </row>
    <row r="58" spans="2:30" ht="22.95" customHeight="1">
      <c r="C58" s="735"/>
      <c r="D58" s="735"/>
      <c r="E58" s="735"/>
      <c r="F58" s="735"/>
      <c r="G58" s="735"/>
      <c r="H58" s="735"/>
      <c r="I58" s="735"/>
      <c r="J58" s="735"/>
      <c r="K58" s="735"/>
      <c r="L58" s="735"/>
      <c r="M58" s="735"/>
      <c r="N58" s="735"/>
    </row>
    <row r="59" spans="2:30" ht="22.95" customHeight="1">
      <c r="C59" s="735"/>
      <c r="D59" s="735"/>
      <c r="E59" s="735"/>
      <c r="F59" s="735"/>
      <c r="G59" s="735"/>
      <c r="H59" s="735"/>
      <c r="I59" s="735"/>
      <c r="J59" s="735"/>
      <c r="K59" s="735"/>
      <c r="L59" s="735"/>
      <c r="M59" s="735"/>
      <c r="N59" s="735"/>
    </row>
    <row r="60" spans="2:30" ht="22.95" customHeight="1">
      <c r="G60" s="735"/>
      <c r="H60" s="735"/>
      <c r="I60" s="735"/>
      <c r="J60" s="735"/>
      <c r="K60" s="735"/>
      <c r="L60" s="735"/>
      <c r="M60" s="735"/>
      <c r="N60" s="735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0" zoomScaleNormal="70" zoomScalePageLayoutView="70" workbookViewId="0">
      <selection activeCell="S104" sqref="S104"/>
    </sheetView>
  </sheetViews>
  <sheetFormatPr baseColWidth="10" defaultColWidth="10.81640625" defaultRowHeight="22.95" customHeight="1"/>
  <cols>
    <col min="1" max="2" width="3.1796875" style="42" customWidth="1"/>
    <col min="3" max="3" width="13.54296875" style="42" customWidth="1"/>
    <col min="4" max="4" width="76.81640625" style="42" customWidth="1"/>
    <col min="5" max="7" width="18.1796875" style="42" customWidth="1"/>
    <col min="8" max="8" width="3.1796875" style="42" customWidth="1"/>
    <col min="9" max="16384" width="10.81640625" style="42"/>
  </cols>
  <sheetData>
    <row r="1" spans="2:23" ht="22.95" customHeight="1">
      <c r="D1" s="44"/>
    </row>
    <row r="2" spans="2:23" ht="22.95" customHeight="1">
      <c r="D2" s="63" t="s">
        <v>31</v>
      </c>
    </row>
    <row r="3" spans="2:23" ht="22.95" customHeight="1">
      <c r="D3" s="63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65">
        <f>ejercicio</f>
        <v>2018</v>
      </c>
      <c r="H6" s="50"/>
      <c r="J6" s="402"/>
      <c r="K6" s="403" t="s">
        <v>643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65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87" t="str">
        <f>Entidad</f>
        <v>PARQUE CIENTÍFICO Y TECNOLÓGICO DE TENERIFE, S.A.</v>
      </c>
      <c r="E9" s="1087"/>
      <c r="F9" s="1087"/>
      <c r="G9" s="1087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7" t="s">
        <v>88</v>
      </c>
      <c r="D16" s="71" t="s">
        <v>677</v>
      </c>
      <c r="E16" s="125">
        <f>SUM(E17:E19)</f>
        <v>779638.73</v>
      </c>
      <c r="F16" s="125">
        <f>SUM(F17:F19)</f>
        <v>77450</v>
      </c>
      <c r="G16" s="125">
        <f>SUM(G17:G19)</f>
        <v>74552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9" t="s">
        <v>89</v>
      </c>
      <c r="D17" s="72" t="s">
        <v>90</v>
      </c>
      <c r="E17" s="443"/>
      <c r="F17" s="443"/>
      <c r="G17" s="443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50" t="s">
        <v>91</v>
      </c>
      <c r="D18" s="73" t="s">
        <v>92</v>
      </c>
      <c r="E18" s="444">
        <v>779638.73</v>
      </c>
      <c r="F18" s="444">
        <v>77450</v>
      </c>
      <c r="G18" s="444">
        <v>74552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93</v>
      </c>
      <c r="D19" s="73" t="s">
        <v>94</v>
      </c>
      <c r="E19" s="444"/>
      <c r="F19" s="444"/>
      <c r="G19" s="444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47" t="s">
        <v>95</v>
      </c>
      <c r="D20" s="71" t="s">
        <v>96</v>
      </c>
      <c r="E20" s="445"/>
      <c r="F20" s="445"/>
      <c r="G20" s="445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47" t="s">
        <v>97</v>
      </c>
      <c r="D21" s="71" t="s">
        <v>98</v>
      </c>
      <c r="E21" s="445"/>
      <c r="F21" s="445"/>
      <c r="G21" s="445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47" t="s">
        <v>99</v>
      </c>
      <c r="D22" s="71" t="s">
        <v>100</v>
      </c>
      <c r="E22" s="125">
        <f>SUM(E23:E26)</f>
        <v>0</v>
      </c>
      <c r="F22" s="125">
        <f t="shared" ref="F22:G22" si="0">SUM(F23:F26)</f>
        <v>0</v>
      </c>
      <c r="G22" s="125">
        <f t="shared" si="0"/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49" t="s">
        <v>89</v>
      </c>
      <c r="D23" s="72" t="s">
        <v>101</v>
      </c>
      <c r="E23" s="443"/>
      <c r="F23" s="443"/>
      <c r="G23" s="443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91</v>
      </c>
      <c r="D24" s="73" t="s">
        <v>102</v>
      </c>
      <c r="E24" s="444"/>
      <c r="F24" s="444"/>
      <c r="G24" s="444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93</v>
      </c>
      <c r="D25" s="73" t="s">
        <v>103</v>
      </c>
      <c r="E25" s="444"/>
      <c r="F25" s="444"/>
      <c r="G25" s="444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50" t="s">
        <v>104</v>
      </c>
      <c r="D26" s="73" t="s">
        <v>105</v>
      </c>
      <c r="E26" s="444"/>
      <c r="F26" s="444"/>
      <c r="G26" s="444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7" t="s">
        <v>106</v>
      </c>
      <c r="D27" s="71" t="s">
        <v>680</v>
      </c>
      <c r="E27" s="125">
        <f>SUM(E28:E29)</f>
        <v>187047.22</v>
      </c>
      <c r="F27" s="125">
        <f t="shared" ref="F27:G27" si="1">SUM(F28:F29)</f>
        <v>1125636.96</v>
      </c>
      <c r="G27" s="125">
        <f t="shared" si="1"/>
        <v>3064600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49" t="s">
        <v>89</v>
      </c>
      <c r="D28" s="72" t="s">
        <v>107</v>
      </c>
      <c r="E28" s="443">
        <v>187047.22</v>
      </c>
      <c r="F28" s="443"/>
      <c r="G28" s="443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91</v>
      </c>
      <c r="D29" s="73" t="s">
        <v>108</v>
      </c>
      <c r="E29" s="444"/>
      <c r="F29" s="444">
        <v>1125636.96</v>
      </c>
      <c r="G29" s="444">
        <v>3064600</v>
      </c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109</v>
      </c>
      <c r="D30" s="71" t="s">
        <v>110</v>
      </c>
      <c r="E30" s="125">
        <f>SUM(E31:E33)</f>
        <v>-531583.02</v>
      </c>
      <c r="F30" s="125">
        <f t="shared" ref="F30:G30" si="2">SUM(F31:F33)</f>
        <v>-550802.83000000007</v>
      </c>
      <c r="G30" s="125">
        <f t="shared" si="2"/>
        <v>-687726.57000000007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89</v>
      </c>
      <c r="D31" s="72" t="s">
        <v>111</v>
      </c>
      <c r="E31" s="443">
        <v>-531583.02</v>
      </c>
      <c r="F31" s="443">
        <v>-398623.45</v>
      </c>
      <c r="G31" s="443">
        <f>-524208.16-3995.12</f>
        <v>-528203.28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91</v>
      </c>
      <c r="D32" s="73" t="s">
        <v>112</v>
      </c>
      <c r="E32" s="444"/>
      <c r="F32" s="444">
        <v>-152179.38</v>
      </c>
      <c r="G32" s="444">
        <f>-6421.52-153101.77</f>
        <v>-159523.28999999998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50" t="s">
        <v>93</v>
      </c>
      <c r="D33" s="73" t="s">
        <v>113</v>
      </c>
      <c r="E33" s="444"/>
      <c r="F33" s="444"/>
      <c r="G33" s="444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7" t="s">
        <v>114</v>
      </c>
      <c r="D34" s="71" t="s">
        <v>115</v>
      </c>
      <c r="E34" s="125">
        <f>SUM(E35:E39)</f>
        <v>-1651550.94</v>
      </c>
      <c r="F34" s="125">
        <f t="shared" ref="F34:G34" si="3">SUM(F35:F39)</f>
        <v>-1123000</v>
      </c>
      <c r="G34" s="125">
        <f t="shared" si="3"/>
        <v>-3073000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49" t="s">
        <v>89</v>
      </c>
      <c r="D35" s="72" t="s">
        <v>116</v>
      </c>
      <c r="E35" s="443"/>
      <c r="F35" s="443"/>
      <c r="G35" s="443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91</v>
      </c>
      <c r="D36" s="73" t="s">
        <v>117</v>
      </c>
      <c r="E36" s="444"/>
      <c r="F36" s="444"/>
      <c r="G36" s="444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93</v>
      </c>
      <c r="D37" s="73" t="s">
        <v>118</v>
      </c>
      <c r="E37" s="444"/>
      <c r="F37" s="444"/>
      <c r="G37" s="444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104</v>
      </c>
      <c r="D38" s="73" t="s">
        <v>119</v>
      </c>
      <c r="E38" s="444">
        <v>-1651550.94</v>
      </c>
      <c r="F38" s="444">
        <v>-1123000</v>
      </c>
      <c r="G38" s="444">
        <v>-3073000</v>
      </c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120</v>
      </c>
      <c r="D39" s="73" t="s">
        <v>121</v>
      </c>
      <c r="E39" s="444"/>
      <c r="F39" s="444"/>
      <c r="G39" s="444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122</v>
      </c>
      <c r="D40" s="71" t="s">
        <v>123</v>
      </c>
      <c r="E40" s="445">
        <v>-692742.47</v>
      </c>
      <c r="F40" s="445">
        <v>-468204.77</v>
      </c>
      <c r="G40" s="445">
        <v>-446702.89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7" t="s">
        <v>124</v>
      </c>
      <c r="D41" s="71" t="s">
        <v>125</v>
      </c>
      <c r="E41" s="445">
        <v>1388861.77</v>
      </c>
      <c r="F41" s="445">
        <v>195508.93</v>
      </c>
      <c r="G41" s="445">
        <v>506897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47" t="s">
        <v>126</v>
      </c>
      <c r="D42" s="71" t="s">
        <v>127</v>
      </c>
      <c r="E42" s="445"/>
      <c r="F42" s="445"/>
      <c r="G42" s="445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49" t="s">
        <v>89</v>
      </c>
      <c r="D44" s="72" t="s">
        <v>130</v>
      </c>
      <c r="E44" s="443"/>
      <c r="F44" s="443"/>
      <c r="G44" s="443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91</v>
      </c>
      <c r="D45" s="73" t="s">
        <v>131</v>
      </c>
      <c r="E45" s="444"/>
      <c r="F45" s="444"/>
      <c r="G45" s="444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93</v>
      </c>
      <c r="D46" s="73" t="s">
        <v>132</v>
      </c>
      <c r="E46" s="444"/>
      <c r="F46" s="444"/>
      <c r="G46" s="444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133</v>
      </c>
      <c r="D47" s="71" t="s">
        <v>134</v>
      </c>
      <c r="E47" s="445"/>
      <c r="F47" s="445"/>
      <c r="G47" s="445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135</v>
      </c>
      <c r="D48" s="71" t="s">
        <v>681</v>
      </c>
      <c r="E48" s="445">
        <v>-15654.83</v>
      </c>
      <c r="F48" s="445">
        <v>-22419.08</v>
      </c>
      <c r="G48" s="445">
        <v>-40000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5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-535983.53999999992</v>
      </c>
      <c r="F49" s="364">
        <f t="shared" ref="F49:G49" si="5">F16+F20+F21+F22+F27+F30+F34+F40+F41+F42+F43+F47+F48</f>
        <v>-765830.79000000015</v>
      </c>
      <c r="G49" s="364">
        <f t="shared" si="5"/>
        <v>-601380.46000000043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138</v>
      </c>
      <c r="D51" s="71" t="s">
        <v>139</v>
      </c>
      <c r="E51" s="125">
        <f>E52+E55+E58</f>
        <v>58196.02</v>
      </c>
      <c r="F51" s="125">
        <f t="shared" ref="F51:G51" si="6">F52+F55+F58</f>
        <v>10533.2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8" t="s">
        <v>141</v>
      </c>
      <c r="D53" s="79" t="s">
        <v>142</v>
      </c>
      <c r="E53" s="721"/>
      <c r="F53" s="721"/>
      <c r="G53" s="721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8" t="s">
        <v>143</v>
      </c>
      <c r="D54" s="79" t="s">
        <v>144</v>
      </c>
      <c r="E54" s="721"/>
      <c r="F54" s="721"/>
      <c r="G54" s="721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9" t="s">
        <v>91</v>
      </c>
      <c r="D55" s="74" t="s">
        <v>145</v>
      </c>
      <c r="E55" s="365">
        <f>SUM(E56:E57)</f>
        <v>58196.02</v>
      </c>
      <c r="F55" s="365">
        <f t="shared" ref="F55:G55" si="8">SUM(F56:F57)</f>
        <v>10533.2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8" t="s">
        <v>146</v>
      </c>
      <c r="D56" s="79" t="s">
        <v>147</v>
      </c>
      <c r="E56" s="721"/>
      <c r="F56" s="721"/>
      <c r="G56" s="721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8" t="s">
        <v>148</v>
      </c>
      <c r="D57" s="79" t="s">
        <v>149</v>
      </c>
      <c r="E57" s="721">
        <v>58196.02</v>
      </c>
      <c r="F57" s="721">
        <v>10533.2</v>
      </c>
      <c r="G57" s="72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9" t="s">
        <v>93</v>
      </c>
      <c r="D58" s="74" t="s">
        <v>150</v>
      </c>
      <c r="E58" s="446"/>
      <c r="F58" s="446"/>
      <c r="G58" s="446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47" t="s">
        <v>151</v>
      </c>
      <c r="D59" s="71" t="s">
        <v>152</v>
      </c>
      <c r="E59" s="125">
        <f>SUM(E60:E62)</f>
        <v>-566765.56000000006</v>
      </c>
      <c r="F59" s="125">
        <f t="shared" ref="F59:G59" si="9">SUM(F60:F62)</f>
        <v>-311245</v>
      </c>
      <c r="G59" s="125">
        <f t="shared" si="9"/>
        <v>-271658.5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9" t="s">
        <v>89</v>
      </c>
      <c r="D60" s="74" t="s">
        <v>153</v>
      </c>
      <c r="E60" s="446"/>
      <c r="F60" s="446"/>
      <c r="G60" s="446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9" t="s">
        <v>91</v>
      </c>
      <c r="D61" s="74" t="s">
        <v>154</v>
      </c>
      <c r="E61" s="446">
        <v>-566765.56000000006</v>
      </c>
      <c r="F61" s="446">
        <v>-311245</v>
      </c>
      <c r="G61" s="446">
        <v>-271658.5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9" t="s">
        <v>93</v>
      </c>
      <c r="D62" s="74" t="s">
        <v>155</v>
      </c>
      <c r="E62" s="446"/>
      <c r="F62" s="446"/>
      <c r="G62" s="446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9" t="s">
        <v>89</v>
      </c>
      <c r="D64" s="74" t="s">
        <v>158</v>
      </c>
      <c r="E64" s="446"/>
      <c r="F64" s="446"/>
      <c r="G64" s="446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59" t="s">
        <v>91</v>
      </c>
      <c r="D65" s="74" t="s">
        <v>159</v>
      </c>
      <c r="E65" s="446"/>
      <c r="F65" s="446"/>
      <c r="G65" s="446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47" t="s">
        <v>162</v>
      </c>
      <c r="D67" s="71" t="s">
        <v>163</v>
      </c>
      <c r="E67" s="125">
        <f>SUM(E68:E69)</f>
        <v>0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9" t="s">
        <v>89</v>
      </c>
      <c r="D68" s="74" t="s">
        <v>164</v>
      </c>
      <c r="E68" s="446"/>
      <c r="F68" s="446"/>
      <c r="G68" s="446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9" t="s">
        <v>91</v>
      </c>
      <c r="D69" s="74" t="s">
        <v>131</v>
      </c>
      <c r="E69" s="446"/>
      <c r="F69" s="446"/>
      <c r="G69" s="446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9" t="s">
        <v>89</v>
      </c>
      <c r="D71" s="74" t="s">
        <v>167</v>
      </c>
      <c r="E71" s="446"/>
      <c r="F71" s="446"/>
      <c r="G71" s="446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9" t="s">
        <v>91</v>
      </c>
      <c r="D72" s="74" t="s">
        <v>168</v>
      </c>
      <c r="E72" s="446"/>
      <c r="F72" s="446"/>
      <c r="G72" s="446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9" t="s">
        <v>93</v>
      </c>
      <c r="D73" s="74" t="s">
        <v>169</v>
      </c>
      <c r="E73" s="446"/>
      <c r="F73" s="446"/>
      <c r="G73" s="446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5" customHeight="1" thickBot="1">
      <c r="B74" s="24"/>
      <c r="C74" s="360" t="s">
        <v>170</v>
      </c>
      <c r="D74" s="75" t="s">
        <v>171</v>
      </c>
      <c r="E74" s="364">
        <f>E51+E59+E63+E67+E70</f>
        <v>-508569.54000000004</v>
      </c>
      <c r="F74" s="364">
        <f t="shared" ref="F74:G74" si="13">F51+F59+F63+F67+F70</f>
        <v>-300711.8</v>
      </c>
      <c r="G74" s="364">
        <f t="shared" si="13"/>
        <v>-271658.5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5" customHeight="1" thickBot="1">
      <c r="B76" s="24"/>
      <c r="C76" s="362" t="s">
        <v>172</v>
      </c>
      <c r="D76" s="77" t="s">
        <v>173</v>
      </c>
      <c r="E76" s="367">
        <f>E74+E49</f>
        <v>-1044553.08</v>
      </c>
      <c r="F76" s="367">
        <f t="shared" ref="F76:G76" si="14">F74+F49</f>
        <v>-1066542.5900000001</v>
      </c>
      <c r="G76" s="367">
        <f t="shared" si="14"/>
        <v>-873038.96000000043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47" t="s">
        <v>174</v>
      </c>
      <c r="D77" s="71" t="s">
        <v>175</v>
      </c>
      <c r="E77" s="445"/>
      <c r="F77" s="445"/>
      <c r="G77" s="445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5" customHeight="1" thickBot="1">
      <c r="B79" s="24"/>
      <c r="C79" s="362" t="s">
        <v>176</v>
      </c>
      <c r="D79" s="77" t="s">
        <v>186</v>
      </c>
      <c r="E79" s="367">
        <f>E76+E77</f>
        <v>-1044553.08</v>
      </c>
      <c r="F79" s="367">
        <f t="shared" ref="F79:G79" si="15">F76+F77</f>
        <v>-1066542.5900000001</v>
      </c>
      <c r="G79" s="367">
        <f t="shared" si="15"/>
        <v>-873038.96000000043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179</v>
      </c>
      <c r="D82" s="71" t="s">
        <v>180</v>
      </c>
      <c r="E82" s="445"/>
      <c r="F82" s="445"/>
      <c r="G82" s="445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5" customHeight="1" thickBot="1">
      <c r="B84" s="24"/>
      <c r="C84" s="363" t="s">
        <v>181</v>
      </c>
      <c r="D84" s="80" t="s">
        <v>182</v>
      </c>
      <c r="E84" s="129">
        <f>E79+E82</f>
        <v>-1044553.08</v>
      </c>
      <c r="F84" s="129">
        <f t="shared" ref="F84:G84" si="16">F79+F82</f>
        <v>-1066542.5900000001</v>
      </c>
      <c r="G84" s="129">
        <f t="shared" si="16"/>
        <v>-873038.96000000043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52"/>
      <c r="C86" s="1086"/>
      <c r="D86" s="1086"/>
      <c r="E86" s="1086"/>
      <c r="F86" s="1086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77</v>
      </c>
      <c r="D88" s="44"/>
      <c r="E88" s="44"/>
      <c r="F88" s="44"/>
      <c r="G88" s="41" t="s">
        <v>41</v>
      </c>
    </row>
    <row r="89" spans="2:23" ht="13.2">
      <c r="C89" s="38" t="s">
        <v>78</v>
      </c>
      <c r="D89" s="44"/>
      <c r="E89" s="44"/>
      <c r="F89" s="44"/>
      <c r="G89" s="44"/>
    </row>
    <row r="90" spans="2:23" ht="13.2">
      <c r="C90" s="38" t="s">
        <v>79</v>
      </c>
      <c r="D90" s="44"/>
      <c r="E90" s="44"/>
      <c r="F90" s="44"/>
      <c r="G90" s="44"/>
    </row>
    <row r="91" spans="2:23" ht="13.2">
      <c r="C91" s="38" t="s">
        <v>80</v>
      </c>
      <c r="D91" s="44"/>
      <c r="E91" s="44"/>
      <c r="F91" s="44"/>
      <c r="G91" s="44"/>
    </row>
    <row r="92" spans="2:23" ht="13.2">
      <c r="C92" s="38" t="s">
        <v>81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8" scale="5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9"/>
  <sheetViews>
    <sheetView zoomScale="70" zoomScaleNormal="70" zoomScalePageLayoutView="70" workbookViewId="0">
      <selection activeCell="F108" sqref="F108"/>
    </sheetView>
  </sheetViews>
  <sheetFormatPr baseColWidth="10" defaultColWidth="10.81640625" defaultRowHeight="22.95" customHeight="1"/>
  <cols>
    <col min="1" max="2" width="3.1796875" style="619" customWidth="1"/>
    <col min="3" max="3" width="13.54296875" style="619" customWidth="1"/>
    <col min="4" max="4" width="42.453125" style="619" customWidth="1"/>
    <col min="5" max="6" width="15.81640625" style="621" customWidth="1"/>
    <col min="7" max="7" width="31" style="621" customWidth="1"/>
    <col min="8" max="8" width="15.54296875" style="621" customWidth="1"/>
    <col min="9" max="9" width="16.81640625" style="621" customWidth="1"/>
    <col min="10" max="10" width="30.54296875" style="621" customWidth="1"/>
    <col min="11" max="12" width="15.81640625" style="621" customWidth="1"/>
    <col min="13" max="13" width="27.1796875" style="621" customWidth="1"/>
    <col min="14" max="14" width="3.1796875" style="619" customWidth="1"/>
    <col min="15" max="16384" width="10.81640625" style="619"/>
  </cols>
  <sheetData>
    <row r="2" spans="2:29" ht="22.95" customHeight="1">
      <c r="D2" s="620" t="s">
        <v>321</v>
      </c>
    </row>
    <row r="3" spans="2:29" ht="22.95" customHeight="1">
      <c r="D3" s="620" t="s">
        <v>322</v>
      </c>
    </row>
    <row r="4" spans="2:29" ht="22.95" customHeight="1" thickBot="1"/>
    <row r="5" spans="2:29" ht="9" customHeight="1">
      <c r="B5" s="622"/>
      <c r="C5" s="623"/>
      <c r="D5" s="623"/>
      <c r="E5" s="624"/>
      <c r="F5" s="624"/>
      <c r="G5" s="624"/>
      <c r="H5" s="624"/>
      <c r="I5" s="624"/>
      <c r="J5" s="624"/>
      <c r="K5" s="624"/>
      <c r="L5" s="624"/>
      <c r="M5" s="624"/>
      <c r="N5" s="62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6"/>
      <c r="C6" s="627" t="s">
        <v>0</v>
      </c>
      <c r="D6" s="628"/>
      <c r="E6" s="629"/>
      <c r="F6" s="629"/>
      <c r="G6" s="629"/>
      <c r="H6" s="629"/>
      <c r="I6" s="629"/>
      <c r="J6" s="629"/>
      <c r="K6" s="629"/>
      <c r="L6" s="629"/>
      <c r="M6" s="1071">
        <f>ejercicio</f>
        <v>2018</v>
      </c>
      <c r="N6" s="630"/>
      <c r="P6" s="402"/>
      <c r="Q6" s="403" t="s">
        <v>643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6"/>
      <c r="C7" s="627" t="s">
        <v>1</v>
      </c>
      <c r="D7" s="628"/>
      <c r="E7" s="629"/>
      <c r="F7" s="629"/>
      <c r="G7" s="629"/>
      <c r="H7" s="629"/>
      <c r="I7" s="629"/>
      <c r="J7" s="629"/>
      <c r="K7" s="629"/>
      <c r="L7" s="629"/>
      <c r="M7" s="1071"/>
      <c r="N7" s="631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6"/>
      <c r="C8" s="632"/>
      <c r="D8" s="628"/>
      <c r="E8" s="629"/>
      <c r="F8" s="629"/>
      <c r="G8" s="629"/>
      <c r="H8" s="629"/>
      <c r="I8" s="629"/>
      <c r="J8" s="629"/>
      <c r="K8" s="629"/>
      <c r="L8" s="629"/>
      <c r="M8" s="629"/>
      <c r="N8" s="631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5" customFormat="1" ht="30" customHeight="1">
      <c r="B9" s="633"/>
      <c r="C9" s="634" t="s">
        <v>2</v>
      </c>
      <c r="D9" s="1073" t="str">
        <f>Entidad</f>
        <v>PARQUE CIENTÍFICO Y TECNOLÓGICO DE TENERIFE, S.A.</v>
      </c>
      <c r="E9" s="1073"/>
      <c r="F9" s="1073"/>
      <c r="G9" s="1073"/>
      <c r="H9" s="1073"/>
      <c r="I9" s="1073"/>
      <c r="J9" s="1073"/>
      <c r="K9" s="1073"/>
      <c r="L9" s="1073"/>
      <c r="M9" s="1073"/>
      <c r="N9" s="631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2" customHeight="1">
      <c r="B10" s="626"/>
      <c r="C10" s="628"/>
      <c r="D10" s="628"/>
      <c r="E10" s="629"/>
      <c r="F10" s="629"/>
      <c r="G10" s="629"/>
      <c r="H10" s="629"/>
      <c r="I10" s="629"/>
      <c r="J10" s="629"/>
      <c r="K10" s="629"/>
      <c r="L10" s="629"/>
      <c r="M10" s="629"/>
      <c r="N10" s="631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9" customFormat="1" ht="30" customHeight="1">
      <c r="B11" s="636"/>
      <c r="C11" s="637" t="s">
        <v>594</v>
      </c>
      <c r="D11" s="637"/>
      <c r="E11" s="638"/>
      <c r="F11" s="638"/>
      <c r="G11" s="638"/>
      <c r="H11" s="638"/>
      <c r="I11" s="638"/>
      <c r="J11" s="638"/>
      <c r="K11" s="638"/>
      <c r="L11" s="638"/>
      <c r="M11" s="638"/>
      <c r="N11" s="631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9" customFormat="1" ht="30" customHeight="1">
      <c r="B12" s="636"/>
      <c r="C12" s="1094"/>
      <c r="D12" s="1094"/>
      <c r="E12" s="640"/>
      <c r="F12" s="640"/>
      <c r="G12" s="640"/>
      <c r="H12" s="640"/>
      <c r="I12" s="640"/>
      <c r="J12" s="640"/>
      <c r="K12" s="640"/>
      <c r="L12" s="640"/>
      <c r="M12" s="640"/>
      <c r="N12" s="631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9" customFormat="1" ht="30" customHeight="1">
      <c r="B13" s="636"/>
      <c r="D13" s="641"/>
      <c r="E13" s="640"/>
      <c r="F13" s="640"/>
      <c r="G13" s="640"/>
      <c r="H13" s="640"/>
      <c r="I13" s="640"/>
      <c r="J13" s="640"/>
      <c r="K13" s="640"/>
      <c r="L13" s="640"/>
      <c r="M13" s="640"/>
      <c r="N13" s="631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9" customFormat="1" ht="22.95" customHeight="1">
      <c r="B14" s="642"/>
      <c r="C14" s="643"/>
      <c r="D14" s="644"/>
      <c r="E14" s="645"/>
      <c r="F14" s="646" t="s">
        <v>183</v>
      </c>
      <c r="G14" s="647">
        <f>ejercicio-2</f>
        <v>2016</v>
      </c>
      <c r="H14" s="645"/>
      <c r="I14" s="648" t="s">
        <v>184</v>
      </c>
      <c r="J14" s="647">
        <f>ejercicio-1</f>
        <v>2017</v>
      </c>
      <c r="K14" s="645"/>
      <c r="L14" s="646" t="s">
        <v>185</v>
      </c>
      <c r="M14" s="647">
        <f>ejercicio</f>
        <v>2018</v>
      </c>
      <c r="N14" s="631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4" customFormat="1" ht="22.95" customHeight="1">
      <c r="B15" s="650"/>
      <c r="C15" s="651" t="s">
        <v>611</v>
      </c>
      <c r="D15" s="652"/>
      <c r="E15" s="653" t="s">
        <v>595</v>
      </c>
      <c r="F15" s="653" t="s">
        <v>596</v>
      </c>
      <c r="G15" s="653" t="s">
        <v>523</v>
      </c>
      <c r="H15" s="653" t="s">
        <v>595</v>
      </c>
      <c r="I15" s="653" t="s">
        <v>596</v>
      </c>
      <c r="J15" s="653" t="s">
        <v>523</v>
      </c>
      <c r="K15" s="653" t="s">
        <v>595</v>
      </c>
      <c r="L15" s="653" t="s">
        <v>596</v>
      </c>
      <c r="M15" s="653" t="s">
        <v>523</v>
      </c>
      <c r="N15" s="63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1" customFormat="1" ht="22.95" customHeight="1">
      <c r="B16" s="655"/>
      <c r="C16" s="656" t="s">
        <v>597</v>
      </c>
      <c r="D16" s="657"/>
      <c r="E16" s="658">
        <f>SUM(E17:E18)</f>
        <v>544808.18000000005</v>
      </c>
      <c r="F16" s="658">
        <f>SUM(F17:F18)</f>
        <v>582944.77</v>
      </c>
      <c r="G16" s="659"/>
      <c r="H16" s="658">
        <f>SUM(H17:H18)</f>
        <v>0</v>
      </c>
      <c r="I16" s="658">
        <f>SUM(I17:I18)</f>
        <v>0</v>
      </c>
      <c r="J16" s="659"/>
      <c r="K16" s="658">
        <f>SUM(K17:K18)</f>
        <v>0</v>
      </c>
      <c r="L16" s="658">
        <f>SUM(L17:L18)</f>
        <v>0</v>
      </c>
      <c r="M16" s="660"/>
      <c r="N16" s="631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1" customFormat="1" ht="19.95" customHeight="1">
      <c r="B17" s="655"/>
      <c r="C17" s="883"/>
      <c r="D17" s="884" t="s">
        <v>598</v>
      </c>
      <c r="E17" s="471"/>
      <c r="F17" s="471"/>
      <c r="G17" s="885"/>
      <c r="H17" s="471"/>
      <c r="I17" s="471"/>
      <c r="J17" s="885"/>
      <c r="K17" s="471"/>
      <c r="L17" s="471"/>
      <c r="M17" s="886"/>
      <c r="N17" s="696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1" customFormat="1" ht="19.95" customHeight="1">
      <c r="B18" s="655"/>
      <c r="C18" s="887"/>
      <c r="D18" s="888" t="s">
        <v>599</v>
      </c>
      <c r="E18" s="479">
        <v>544808.18000000005</v>
      </c>
      <c r="F18" s="479">
        <v>582944.77</v>
      </c>
      <c r="G18" s="889"/>
      <c r="H18" s="479"/>
      <c r="I18" s="479"/>
      <c r="J18" s="889"/>
      <c r="K18" s="479"/>
      <c r="L18" s="479"/>
      <c r="M18" s="890"/>
      <c r="N18" s="696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1" customFormat="1" ht="22.95" customHeight="1">
      <c r="B19" s="655"/>
      <c r="C19" s="656" t="s">
        <v>600</v>
      </c>
      <c r="D19" s="657"/>
      <c r="E19" s="658">
        <f>+E20+E25</f>
        <v>14713.869999999999</v>
      </c>
      <c r="F19" s="658">
        <f>+F20+F25</f>
        <v>15743.84</v>
      </c>
      <c r="G19" s="659"/>
      <c r="H19" s="658">
        <f>+H20+H25</f>
        <v>4000</v>
      </c>
      <c r="I19" s="658">
        <f>+I20+I25</f>
        <v>4280</v>
      </c>
      <c r="J19" s="659"/>
      <c r="K19" s="658">
        <f>+K20+K25</f>
        <v>0</v>
      </c>
      <c r="L19" s="658">
        <f>+L20+L25</f>
        <v>0</v>
      </c>
      <c r="M19" s="660"/>
      <c r="N19" s="631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1" customFormat="1" ht="19.95" customHeight="1">
      <c r="B20" s="655"/>
      <c r="C20" s="883"/>
      <c r="D20" s="884" t="s">
        <v>764</v>
      </c>
      <c r="E20" s="891">
        <f>SUM(E21:E24)</f>
        <v>0</v>
      </c>
      <c r="F20" s="891">
        <f>SUM(F21:F24)</f>
        <v>0</v>
      </c>
      <c r="G20" s="892"/>
      <c r="H20" s="891">
        <f>SUM(H21:H24)</f>
        <v>0</v>
      </c>
      <c r="I20" s="891">
        <f>SUM(I21:I24)</f>
        <v>0</v>
      </c>
      <c r="J20" s="892"/>
      <c r="K20" s="891">
        <f>SUM(K21:K24)</f>
        <v>0</v>
      </c>
      <c r="L20" s="891">
        <f>SUM(L21:L24)</f>
        <v>0</v>
      </c>
      <c r="M20" s="893"/>
      <c r="N20" s="696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4" customFormat="1" ht="19.95" customHeight="1">
      <c r="B21" s="633"/>
      <c r="C21" s="560"/>
      <c r="D21" s="561"/>
      <c r="E21" s="506"/>
      <c r="F21" s="506"/>
      <c r="G21" s="549"/>
      <c r="H21" s="506"/>
      <c r="I21" s="506"/>
      <c r="J21" s="549"/>
      <c r="K21" s="506"/>
      <c r="L21" s="506"/>
      <c r="M21" s="516"/>
      <c r="N21" s="631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4" customFormat="1" ht="19.95" customHeight="1">
      <c r="B22" s="633"/>
      <c r="C22" s="560"/>
      <c r="D22" s="561"/>
      <c r="E22" s="506"/>
      <c r="F22" s="506"/>
      <c r="G22" s="549"/>
      <c r="H22" s="506"/>
      <c r="I22" s="506"/>
      <c r="J22" s="549"/>
      <c r="K22" s="506"/>
      <c r="L22" s="506"/>
      <c r="M22" s="516"/>
      <c r="N22" s="631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4" customFormat="1" ht="19.95" customHeight="1">
      <c r="B23" s="633"/>
      <c r="C23" s="560"/>
      <c r="D23" s="561"/>
      <c r="E23" s="506"/>
      <c r="F23" s="506"/>
      <c r="G23" s="549"/>
      <c r="H23" s="506"/>
      <c r="I23" s="506"/>
      <c r="J23" s="549"/>
      <c r="K23" s="506"/>
      <c r="L23" s="506"/>
      <c r="M23" s="516"/>
      <c r="N23" s="631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4" customFormat="1" ht="19.95" customHeight="1">
      <c r="B24" s="633"/>
      <c r="C24" s="560"/>
      <c r="D24" s="561"/>
      <c r="E24" s="506"/>
      <c r="F24" s="506"/>
      <c r="G24" s="549"/>
      <c r="H24" s="506"/>
      <c r="I24" s="506"/>
      <c r="J24" s="549"/>
      <c r="K24" s="506"/>
      <c r="L24" s="506"/>
      <c r="M24" s="516"/>
      <c r="N24" s="631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1" customFormat="1" ht="19.95" customHeight="1">
      <c r="B25" s="655"/>
      <c r="C25" s="894"/>
      <c r="D25" s="895" t="s">
        <v>765</v>
      </c>
      <c r="E25" s="896">
        <f>SUM(E26:E33)</f>
        <v>14713.869999999999</v>
      </c>
      <c r="F25" s="896">
        <f>SUM(F26:F33)</f>
        <v>15743.84</v>
      </c>
      <c r="G25" s="897"/>
      <c r="H25" s="896">
        <f>SUM(H26:H33)</f>
        <v>4000</v>
      </c>
      <c r="I25" s="896">
        <f>SUM(I26:I33)</f>
        <v>4280</v>
      </c>
      <c r="J25" s="897"/>
      <c r="K25" s="896">
        <f>SUM(K26:K33)</f>
        <v>0</v>
      </c>
      <c r="L25" s="896">
        <f>SUM(L26:L33)</f>
        <v>0</v>
      </c>
      <c r="M25" s="898"/>
      <c r="N25" s="696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4" customFormat="1" ht="19.95" customHeight="1">
      <c r="B26" s="633"/>
      <c r="C26" s="560"/>
      <c r="D26" s="1023" t="s">
        <v>836</v>
      </c>
      <c r="E26" s="506">
        <v>7600</v>
      </c>
      <c r="F26" s="506">
        <v>8132</v>
      </c>
      <c r="G26" s="549"/>
      <c r="H26" s="506">
        <v>2500</v>
      </c>
      <c r="I26" s="506">
        <v>2675</v>
      </c>
      <c r="J26" s="549"/>
      <c r="K26" s="506"/>
      <c r="L26" s="506"/>
      <c r="M26" s="516"/>
      <c r="N26" s="631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4" customFormat="1" ht="19.95" customHeight="1">
      <c r="B27" s="633"/>
      <c r="C27" s="560"/>
      <c r="D27" s="1023" t="s">
        <v>837</v>
      </c>
      <c r="E27" s="506">
        <v>1600</v>
      </c>
      <c r="F27" s="506">
        <v>1712</v>
      </c>
      <c r="G27" s="549"/>
      <c r="H27" s="506"/>
      <c r="I27" s="506"/>
      <c r="J27" s="549"/>
      <c r="K27" s="506"/>
      <c r="L27" s="506"/>
      <c r="M27" s="516"/>
      <c r="N27" s="63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4" customFormat="1" ht="19.95" customHeight="1">
      <c r="B28" s="633"/>
      <c r="C28" s="560"/>
      <c r="D28" s="1023" t="s">
        <v>838</v>
      </c>
      <c r="E28" s="506">
        <v>933.3</v>
      </c>
      <c r="F28" s="506">
        <v>998.63</v>
      </c>
      <c r="G28" s="549"/>
      <c r="H28" s="506"/>
      <c r="I28" s="506"/>
      <c r="J28" s="549"/>
      <c r="K28" s="506"/>
      <c r="L28" s="506"/>
      <c r="M28" s="516"/>
      <c r="N28" s="631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4" customFormat="1" ht="19.95" customHeight="1">
      <c r="B29" s="633"/>
      <c r="C29" s="560"/>
      <c r="D29" s="1023" t="s">
        <v>486</v>
      </c>
      <c r="E29" s="506">
        <v>2666.6</v>
      </c>
      <c r="F29" s="506">
        <v>2853.26</v>
      </c>
      <c r="G29" s="549"/>
      <c r="H29" s="506"/>
      <c r="I29" s="506"/>
      <c r="J29" s="549"/>
      <c r="K29" s="506"/>
      <c r="L29" s="506"/>
      <c r="M29" s="516"/>
      <c r="N29" s="631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4" customFormat="1" ht="19.95" customHeight="1">
      <c r="B30" s="633"/>
      <c r="C30" s="560"/>
      <c r="D30" s="1023" t="s">
        <v>839</v>
      </c>
      <c r="E30" s="506">
        <v>1913.97</v>
      </c>
      <c r="F30" s="506">
        <v>2047.95</v>
      </c>
      <c r="G30" s="549"/>
      <c r="H30" s="506"/>
      <c r="I30" s="506"/>
      <c r="J30" s="549"/>
      <c r="K30" s="506"/>
      <c r="L30" s="506"/>
      <c r="M30" s="516"/>
      <c r="N30" s="631"/>
      <c r="P30" s="402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5"/>
    </row>
    <row r="31" spans="2:29" s="664" customFormat="1" ht="19.95" customHeight="1">
      <c r="B31" s="633"/>
      <c r="C31" s="560"/>
      <c r="D31" s="1023" t="s">
        <v>840</v>
      </c>
      <c r="E31" s="506"/>
      <c r="F31" s="506"/>
      <c r="G31" s="549"/>
      <c r="H31" s="506">
        <v>1500</v>
      </c>
      <c r="I31" s="506">
        <v>1605</v>
      </c>
      <c r="J31" s="549"/>
      <c r="K31" s="506"/>
      <c r="L31" s="506"/>
      <c r="M31" s="516"/>
      <c r="N31" s="631"/>
      <c r="P31" s="402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5"/>
    </row>
    <row r="32" spans="2:29" s="664" customFormat="1" ht="19.95" customHeight="1">
      <c r="B32" s="633"/>
      <c r="C32" s="560"/>
      <c r="D32" s="561"/>
      <c r="E32" s="506"/>
      <c r="F32" s="506"/>
      <c r="G32" s="549"/>
      <c r="H32" s="506"/>
      <c r="I32" s="506"/>
      <c r="J32" s="549"/>
      <c r="K32" s="506"/>
      <c r="L32" s="506"/>
      <c r="M32" s="516"/>
      <c r="N32" s="631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s="664" customFormat="1" ht="19.95" customHeight="1">
      <c r="B33" s="633"/>
      <c r="C33" s="562"/>
      <c r="D33" s="563"/>
      <c r="E33" s="508"/>
      <c r="F33" s="508"/>
      <c r="G33" s="528"/>
      <c r="H33" s="508"/>
      <c r="I33" s="508"/>
      <c r="J33" s="528"/>
      <c r="K33" s="508"/>
      <c r="L33" s="508"/>
      <c r="M33" s="517"/>
      <c r="N33" s="631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1" customFormat="1" ht="22.95" customHeight="1">
      <c r="B34" s="655"/>
      <c r="C34" s="656" t="s">
        <v>601</v>
      </c>
      <c r="D34" s="657"/>
      <c r="E34" s="658">
        <f>+E35+E44</f>
        <v>220116.68000000002</v>
      </c>
      <c r="F34" s="658">
        <f>+F35+F44</f>
        <v>235524.85</v>
      </c>
      <c r="G34" s="659"/>
      <c r="H34" s="658">
        <f>+H35+H44</f>
        <v>73450</v>
      </c>
      <c r="I34" s="658">
        <f>+I35+I44</f>
        <v>78591.5</v>
      </c>
      <c r="J34" s="659"/>
      <c r="K34" s="658">
        <f>+K35+K44</f>
        <v>74552</v>
      </c>
      <c r="L34" s="658">
        <f>+L35+L44</f>
        <v>79770.64</v>
      </c>
      <c r="M34" s="660"/>
      <c r="N34" s="631"/>
      <c r="P34" s="412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4"/>
    </row>
    <row r="35" spans="2:29" s="675" customFormat="1" ht="19.2" customHeight="1">
      <c r="B35" s="668"/>
      <c r="C35" s="669" t="s">
        <v>602</v>
      </c>
      <c r="D35" s="670"/>
      <c r="E35" s="671">
        <f>E36+E40</f>
        <v>9345.7900000000009</v>
      </c>
      <c r="F35" s="671">
        <f>F36+F40</f>
        <v>10000</v>
      </c>
      <c r="G35" s="672"/>
      <c r="H35" s="671">
        <f>H36+H40</f>
        <v>0</v>
      </c>
      <c r="I35" s="671">
        <f>I36+I40</f>
        <v>0</v>
      </c>
      <c r="J35" s="672"/>
      <c r="K35" s="671">
        <f>K36+K40</f>
        <v>0</v>
      </c>
      <c r="L35" s="671">
        <f>L36+L40</f>
        <v>0</v>
      </c>
      <c r="M35" s="673"/>
      <c r="N35" s="674"/>
      <c r="P35" s="613"/>
      <c r="Q35" s="614"/>
      <c r="R35" s="614"/>
      <c r="S35" s="614"/>
      <c r="T35" s="614"/>
      <c r="U35" s="614"/>
      <c r="V35" s="614"/>
      <c r="W35" s="614"/>
      <c r="X35" s="614"/>
      <c r="Y35" s="614"/>
      <c r="Z35" s="614"/>
      <c r="AA35" s="614"/>
      <c r="AB35" s="614"/>
      <c r="AC35" s="615"/>
    </row>
    <row r="36" spans="2:29" s="661" customFormat="1" ht="19.2" customHeight="1">
      <c r="B36" s="655"/>
      <c r="C36" s="883"/>
      <c r="D36" s="884" t="s">
        <v>766</v>
      </c>
      <c r="E36" s="891">
        <f>SUM(E37:E39)</f>
        <v>0</v>
      </c>
      <c r="F36" s="891">
        <f>SUM(F37:F39)</f>
        <v>0</v>
      </c>
      <c r="G36" s="892"/>
      <c r="H36" s="891">
        <f>SUM(H37:H39)</f>
        <v>0</v>
      </c>
      <c r="I36" s="891">
        <f>SUM(I37:I39)</f>
        <v>0</v>
      </c>
      <c r="J36" s="892"/>
      <c r="K36" s="891">
        <f>SUM(K37:K39)</f>
        <v>0</v>
      </c>
      <c r="L36" s="891">
        <f>SUM(L37:L39)</f>
        <v>0</v>
      </c>
      <c r="M36" s="893"/>
      <c r="N36" s="696"/>
      <c r="P36" s="412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  <c r="AC36" s="414"/>
    </row>
    <row r="37" spans="2:29" s="664" customFormat="1" ht="19.2" customHeight="1">
      <c r="B37" s="633"/>
      <c r="C37" s="558"/>
      <c r="D37" s="559"/>
      <c r="E37" s="503"/>
      <c r="F37" s="503"/>
      <c r="G37" s="547"/>
      <c r="H37" s="503"/>
      <c r="I37" s="503"/>
      <c r="J37" s="547"/>
      <c r="K37" s="503"/>
      <c r="L37" s="503"/>
      <c r="M37" s="548"/>
      <c r="N37" s="631"/>
      <c r="P37" s="402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5"/>
    </row>
    <row r="38" spans="2:29" s="664" customFormat="1" ht="19.2" customHeight="1">
      <c r="B38" s="633"/>
      <c r="C38" s="558"/>
      <c r="D38" s="559"/>
      <c r="E38" s="503"/>
      <c r="F38" s="503"/>
      <c r="G38" s="547"/>
      <c r="H38" s="503"/>
      <c r="I38" s="503"/>
      <c r="J38" s="547"/>
      <c r="K38" s="503"/>
      <c r="L38" s="503"/>
      <c r="M38" s="548"/>
      <c r="N38" s="631"/>
      <c r="P38" s="402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5"/>
    </row>
    <row r="39" spans="2:29" s="664" customFormat="1" ht="19.2" customHeight="1">
      <c r="B39" s="633"/>
      <c r="C39" s="558"/>
      <c r="D39" s="559"/>
      <c r="E39" s="503"/>
      <c r="F39" s="503"/>
      <c r="G39" s="547"/>
      <c r="H39" s="503"/>
      <c r="I39" s="503"/>
      <c r="J39" s="547"/>
      <c r="K39" s="503"/>
      <c r="L39" s="503"/>
      <c r="M39" s="548"/>
      <c r="N39" s="631"/>
      <c r="P39" s="402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  <c r="AC39" s="405"/>
    </row>
    <row r="40" spans="2:29" s="661" customFormat="1" ht="19.2" customHeight="1">
      <c r="B40" s="655"/>
      <c r="C40" s="883"/>
      <c r="D40" s="884" t="s">
        <v>767</v>
      </c>
      <c r="E40" s="891">
        <f>SUM(E41:E43)</f>
        <v>9345.7900000000009</v>
      </c>
      <c r="F40" s="891">
        <f>SUM(F41:F43)</f>
        <v>10000</v>
      </c>
      <c r="G40" s="892"/>
      <c r="H40" s="891">
        <f>SUM(H41:H43)</f>
        <v>0</v>
      </c>
      <c r="I40" s="891">
        <f>SUM(I41:I43)</f>
        <v>0</v>
      </c>
      <c r="J40" s="892"/>
      <c r="K40" s="891">
        <f>SUM(K41:K43)</f>
        <v>0</v>
      </c>
      <c r="L40" s="891">
        <f>SUM(L41:L43)</f>
        <v>0</v>
      </c>
      <c r="M40" s="893"/>
      <c r="N40" s="696"/>
      <c r="P40" s="899"/>
      <c r="Q40" s="900"/>
      <c r="R40" s="900"/>
      <c r="S40" s="900"/>
      <c r="T40" s="900"/>
      <c r="U40" s="900"/>
      <c r="V40" s="900"/>
      <c r="W40" s="900"/>
      <c r="X40" s="900"/>
      <c r="Y40" s="900"/>
      <c r="Z40" s="900"/>
      <c r="AA40" s="900"/>
      <c r="AB40" s="900"/>
      <c r="AC40" s="901"/>
    </row>
    <row r="41" spans="2:29" s="664" customFormat="1" ht="19.2" customHeight="1">
      <c r="B41" s="633"/>
      <c r="C41" s="558"/>
      <c r="D41" s="1024" t="s">
        <v>841</v>
      </c>
      <c r="E41" s="503">
        <v>9345.7900000000009</v>
      </c>
      <c r="F41" s="503">
        <v>10000</v>
      </c>
      <c r="G41" s="547"/>
      <c r="H41" s="503"/>
      <c r="I41" s="503"/>
      <c r="J41" s="547"/>
      <c r="K41" s="503"/>
      <c r="L41" s="503"/>
      <c r="M41" s="548"/>
      <c r="N41" s="631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s="664" customFormat="1" ht="19.2" customHeight="1">
      <c r="B42" s="633"/>
      <c r="C42" s="558"/>
      <c r="D42" s="559"/>
      <c r="E42" s="503"/>
      <c r="F42" s="503"/>
      <c r="G42" s="547"/>
      <c r="H42" s="503"/>
      <c r="I42" s="503"/>
      <c r="J42" s="547"/>
      <c r="K42" s="503"/>
      <c r="L42" s="503"/>
      <c r="M42" s="548"/>
      <c r="N42" s="631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s="664" customFormat="1" ht="19.2" customHeight="1">
      <c r="B43" s="633"/>
      <c r="C43" s="558"/>
      <c r="D43" s="559"/>
      <c r="E43" s="503"/>
      <c r="F43" s="503"/>
      <c r="G43" s="547"/>
      <c r="H43" s="503"/>
      <c r="I43" s="503"/>
      <c r="J43" s="547"/>
      <c r="K43" s="503"/>
      <c r="L43" s="503"/>
      <c r="M43" s="548"/>
      <c r="N43" s="631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75" customFormat="1" ht="19.2" customHeight="1">
      <c r="B44" s="668"/>
      <c r="C44" s="669" t="s">
        <v>603</v>
      </c>
      <c r="D44" s="670"/>
      <c r="E44" s="671">
        <f>+E45+E46</f>
        <v>210770.89</v>
      </c>
      <c r="F44" s="671">
        <f>+F45+F46</f>
        <v>225524.85</v>
      </c>
      <c r="G44" s="672"/>
      <c r="H44" s="671">
        <f>+H45+H46</f>
        <v>73450</v>
      </c>
      <c r="I44" s="671">
        <f>+I45+I46</f>
        <v>78591.5</v>
      </c>
      <c r="J44" s="672"/>
      <c r="K44" s="671">
        <f>+K45+K46</f>
        <v>74552</v>
      </c>
      <c r="L44" s="671">
        <f>+L45+L46</f>
        <v>79770.64</v>
      </c>
      <c r="M44" s="673"/>
      <c r="N44" s="674"/>
      <c r="P44" s="616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  <c r="AC44" s="618"/>
    </row>
    <row r="45" spans="2:29" s="661" customFormat="1" ht="19.2" customHeight="1">
      <c r="B45" s="655"/>
      <c r="C45" s="883"/>
      <c r="D45" s="884" t="s">
        <v>604</v>
      </c>
      <c r="E45" s="471"/>
      <c r="F45" s="471"/>
      <c r="G45" s="885"/>
      <c r="H45" s="471"/>
      <c r="I45" s="471"/>
      <c r="J45" s="885"/>
      <c r="K45" s="471"/>
      <c r="L45" s="471"/>
      <c r="M45" s="886"/>
      <c r="N45" s="696"/>
      <c r="P45" s="899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C45" s="901"/>
    </row>
    <row r="46" spans="2:29" s="661" customFormat="1" ht="19.2" customHeight="1">
      <c r="B46" s="655"/>
      <c r="C46" s="902"/>
      <c r="D46" s="903" t="s">
        <v>605</v>
      </c>
      <c r="E46" s="904">
        <v>210770.89</v>
      </c>
      <c r="F46" s="904">
        <v>225524.85</v>
      </c>
      <c r="G46" s="905"/>
      <c r="H46" s="904">
        <v>73450</v>
      </c>
      <c r="I46" s="904">
        <v>78591.5</v>
      </c>
      <c r="J46" s="905"/>
      <c r="K46" s="904">
        <v>74552</v>
      </c>
      <c r="L46" s="904">
        <v>79770.64</v>
      </c>
      <c r="M46" s="906"/>
      <c r="N46" s="696"/>
      <c r="P46" s="899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1"/>
    </row>
    <row r="47" spans="2:29" s="661" customFormat="1" ht="22.95" customHeight="1" thickBot="1">
      <c r="B47" s="655"/>
      <c r="C47" s="676" t="s">
        <v>606</v>
      </c>
      <c r="D47" s="677"/>
      <c r="E47" s="678">
        <f>E16+E19+E34</f>
        <v>779638.7300000001</v>
      </c>
      <c r="F47" s="678">
        <f>F16+F19+F34</f>
        <v>834213.46</v>
      </c>
      <c r="G47" s="679"/>
      <c r="H47" s="678">
        <f>H16+H19+H34</f>
        <v>77450</v>
      </c>
      <c r="I47" s="678">
        <f>I16+I19+I34</f>
        <v>82871.5</v>
      </c>
      <c r="J47" s="679"/>
      <c r="K47" s="678">
        <f>K16+K19+K34</f>
        <v>74552</v>
      </c>
      <c r="L47" s="678">
        <f>L16+L19+L34</f>
        <v>79770.64</v>
      </c>
      <c r="M47" s="680"/>
      <c r="N47" s="631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4" customFormat="1" ht="22.95" customHeight="1">
      <c r="B48" s="633"/>
      <c r="C48" s="681"/>
      <c r="D48" s="681"/>
      <c r="E48" s="682"/>
      <c r="F48" s="682"/>
      <c r="G48" s="682"/>
      <c r="H48" s="682"/>
      <c r="I48" s="682"/>
      <c r="J48" s="682"/>
      <c r="K48" s="682"/>
      <c r="L48" s="682"/>
      <c r="M48" s="682"/>
      <c r="N48" s="631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49" customFormat="1" ht="22.95" customHeight="1">
      <c r="B49" s="642"/>
      <c r="C49" s="643"/>
      <c r="D49" s="644"/>
      <c r="E49" s="683" t="s">
        <v>183</v>
      </c>
      <c r="F49" s="683" t="s">
        <v>184</v>
      </c>
      <c r="G49" s="683" t="s">
        <v>185</v>
      </c>
      <c r="H49" s="1088" t="s">
        <v>523</v>
      </c>
      <c r="I49" s="1089"/>
      <c r="J49" s="1089"/>
      <c r="K49" s="1089"/>
      <c r="L49" s="1089"/>
      <c r="M49" s="1090"/>
      <c r="N49" s="631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54" customFormat="1" ht="22.95" customHeight="1">
      <c r="B50" s="650"/>
      <c r="C50" s="651" t="s">
        <v>607</v>
      </c>
      <c r="D50" s="652"/>
      <c r="E50" s="684">
        <f>ejercicio-2</f>
        <v>2016</v>
      </c>
      <c r="F50" s="684">
        <f>ejercicio-1</f>
        <v>2017</v>
      </c>
      <c r="G50" s="684">
        <f>ejercicio</f>
        <v>2018</v>
      </c>
      <c r="H50" s="1091"/>
      <c r="I50" s="1092"/>
      <c r="J50" s="1092"/>
      <c r="K50" s="1092"/>
      <c r="L50" s="1092"/>
      <c r="M50" s="1093"/>
      <c r="N50" s="631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4" customFormat="1" ht="22.95" customHeight="1" thickBot="1">
      <c r="B51" s="633"/>
      <c r="C51" s="676" t="s">
        <v>812</v>
      </c>
      <c r="D51" s="677"/>
      <c r="E51" s="678">
        <f>SUM(E52:E58)</f>
        <v>0</v>
      </c>
      <c r="F51" s="678">
        <f>SUM(F52:F58)</f>
        <v>3152</v>
      </c>
      <c r="G51" s="678">
        <f>SUM(G52:G58)</f>
        <v>0</v>
      </c>
      <c r="H51" s="685"/>
      <c r="I51" s="686"/>
      <c r="J51" s="686"/>
      <c r="K51" s="686"/>
      <c r="L51" s="686"/>
      <c r="M51" s="687"/>
      <c r="N51" s="631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4" customFormat="1" ht="19.95" customHeight="1">
      <c r="B52" s="633"/>
      <c r="C52" s="707"/>
      <c r="D52" s="708"/>
      <c r="E52" s="709">
        <v>0</v>
      </c>
      <c r="F52" s="709">
        <v>3152</v>
      </c>
      <c r="G52" s="709">
        <v>0</v>
      </c>
      <c r="H52" s="710"/>
      <c r="I52" s="711"/>
      <c r="J52" s="711"/>
      <c r="K52" s="711"/>
      <c r="L52" s="711"/>
      <c r="M52" s="712"/>
      <c r="N52" s="631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4" customFormat="1" ht="19.95" customHeight="1">
      <c r="B53" s="633"/>
      <c r="C53" s="560"/>
      <c r="D53" s="561"/>
      <c r="E53" s="582"/>
      <c r="F53" s="582"/>
      <c r="G53" s="582"/>
      <c r="H53" s="536"/>
      <c r="I53" s="713"/>
      <c r="J53" s="713"/>
      <c r="K53" s="713"/>
      <c r="L53" s="713"/>
      <c r="M53" s="533"/>
      <c r="N53" s="631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4" customFormat="1" ht="19.95" customHeight="1">
      <c r="B54" s="633"/>
      <c r="C54" s="560"/>
      <c r="D54" s="561"/>
      <c r="E54" s="582"/>
      <c r="F54" s="582"/>
      <c r="G54" s="582"/>
      <c r="H54" s="536"/>
      <c r="I54" s="713"/>
      <c r="J54" s="713"/>
      <c r="K54" s="713"/>
      <c r="L54" s="713"/>
      <c r="M54" s="533"/>
      <c r="N54" s="631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4" customFormat="1" ht="19.95" customHeight="1">
      <c r="B55" s="633"/>
      <c r="C55" s="560"/>
      <c r="D55" s="561"/>
      <c r="E55" s="582"/>
      <c r="F55" s="582"/>
      <c r="G55" s="582"/>
      <c r="H55" s="536"/>
      <c r="I55" s="713"/>
      <c r="J55" s="713"/>
      <c r="K55" s="713"/>
      <c r="L55" s="713"/>
      <c r="M55" s="533"/>
      <c r="N55" s="631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4" customFormat="1" ht="19.95" customHeight="1">
      <c r="B56" s="633"/>
      <c r="C56" s="560"/>
      <c r="D56" s="561"/>
      <c r="E56" s="582"/>
      <c r="F56" s="582"/>
      <c r="G56" s="582"/>
      <c r="H56" s="536"/>
      <c r="I56" s="713"/>
      <c r="J56" s="713"/>
      <c r="K56" s="713"/>
      <c r="L56" s="713"/>
      <c r="M56" s="533"/>
      <c r="N56" s="631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4" customFormat="1" ht="19.95" customHeight="1">
      <c r="B57" s="633"/>
      <c r="C57" s="560"/>
      <c r="D57" s="561"/>
      <c r="E57" s="582"/>
      <c r="F57" s="582"/>
      <c r="G57" s="582"/>
      <c r="H57" s="536"/>
      <c r="I57" s="713"/>
      <c r="J57" s="713"/>
      <c r="K57" s="713"/>
      <c r="L57" s="713"/>
      <c r="M57" s="533"/>
      <c r="N57" s="631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4" customFormat="1" ht="19.95" customHeight="1">
      <c r="B58" s="633"/>
      <c r="C58" s="562"/>
      <c r="D58" s="563"/>
      <c r="E58" s="583"/>
      <c r="F58" s="583"/>
      <c r="G58" s="583"/>
      <c r="H58" s="534"/>
      <c r="I58" s="527"/>
      <c r="J58" s="527"/>
      <c r="K58" s="527"/>
      <c r="L58" s="527"/>
      <c r="M58" s="535"/>
      <c r="N58" s="631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4" customFormat="1" ht="22.95" customHeight="1" thickBot="1">
      <c r="B59" s="633"/>
      <c r="C59" s="676" t="s">
        <v>813</v>
      </c>
      <c r="D59" s="677"/>
      <c r="E59" s="678">
        <f>SUM(E60:E66)</f>
        <v>-15654.83</v>
      </c>
      <c r="F59" s="678">
        <f>SUM(F60:F66)</f>
        <v>-25571.08</v>
      </c>
      <c r="G59" s="678">
        <f>SUM(G60:G66)</f>
        <v>-40000</v>
      </c>
      <c r="H59" s="685"/>
      <c r="I59" s="686"/>
      <c r="J59" s="686"/>
      <c r="K59" s="686"/>
      <c r="L59" s="686"/>
      <c r="M59" s="687"/>
      <c r="N59" s="631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4" customFormat="1" ht="19.95" customHeight="1">
      <c r="B60" s="633"/>
      <c r="C60" s="707"/>
      <c r="D60" s="708"/>
      <c r="E60" s="709">
        <v>-15654.83</v>
      </c>
      <c r="F60" s="709">
        <v>-2571.08</v>
      </c>
      <c r="G60" s="709">
        <v>-40000</v>
      </c>
      <c r="H60" s="710"/>
      <c r="I60" s="711"/>
      <c r="J60" s="711"/>
      <c r="K60" s="711"/>
      <c r="L60" s="711"/>
      <c r="M60" s="712"/>
      <c r="N60" s="631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4" customFormat="1" ht="19.95" customHeight="1">
      <c r="B61" s="633"/>
      <c r="C61" s="560"/>
      <c r="D61" s="561"/>
      <c r="E61" s="582"/>
      <c r="F61" s="582">
        <v>-23000</v>
      </c>
      <c r="G61" s="582"/>
      <c r="H61" s="536"/>
      <c r="I61" s="713"/>
      <c r="J61" s="713"/>
      <c r="K61" s="713"/>
      <c r="L61" s="713"/>
      <c r="M61" s="533"/>
      <c r="N61" s="631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4" customFormat="1" ht="19.95" customHeight="1">
      <c r="B62" s="633"/>
      <c r="C62" s="560"/>
      <c r="D62" s="561"/>
      <c r="E62" s="582"/>
      <c r="F62" s="582"/>
      <c r="G62" s="582"/>
      <c r="H62" s="536"/>
      <c r="I62" s="713"/>
      <c r="J62" s="713"/>
      <c r="K62" s="713"/>
      <c r="L62" s="713"/>
      <c r="M62" s="533"/>
      <c r="N62" s="631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4" customFormat="1" ht="19.95" customHeight="1">
      <c r="B63" s="633"/>
      <c r="C63" s="560"/>
      <c r="D63" s="561"/>
      <c r="E63" s="582"/>
      <c r="F63" s="582"/>
      <c r="G63" s="582"/>
      <c r="H63" s="536"/>
      <c r="I63" s="713"/>
      <c r="J63" s="713"/>
      <c r="K63" s="713"/>
      <c r="L63" s="713"/>
      <c r="M63" s="533"/>
      <c r="N63" s="631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4" customFormat="1" ht="19.95" customHeight="1">
      <c r="B64" s="633"/>
      <c r="C64" s="560"/>
      <c r="D64" s="561"/>
      <c r="E64" s="582"/>
      <c r="F64" s="582"/>
      <c r="G64" s="582"/>
      <c r="H64" s="536"/>
      <c r="I64" s="713"/>
      <c r="J64" s="713"/>
      <c r="K64" s="713"/>
      <c r="L64" s="713"/>
      <c r="M64" s="533"/>
      <c r="N64" s="631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4" customFormat="1" ht="19.95" customHeight="1">
      <c r="B65" s="633"/>
      <c r="C65" s="560"/>
      <c r="D65" s="561"/>
      <c r="E65" s="582"/>
      <c r="F65" s="582"/>
      <c r="G65" s="582"/>
      <c r="H65" s="536"/>
      <c r="I65" s="713"/>
      <c r="J65" s="713"/>
      <c r="K65" s="713"/>
      <c r="L65" s="713"/>
      <c r="M65" s="533"/>
      <c r="N65" s="631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4" customFormat="1" ht="19.95" customHeight="1">
      <c r="B66" s="633"/>
      <c r="C66" s="562"/>
      <c r="D66" s="563"/>
      <c r="E66" s="583"/>
      <c r="F66" s="583"/>
      <c r="G66" s="583"/>
      <c r="H66" s="534"/>
      <c r="I66" s="527"/>
      <c r="J66" s="527"/>
      <c r="K66" s="527"/>
      <c r="L66" s="527"/>
      <c r="M66" s="535"/>
      <c r="N66" s="631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4" customFormat="1" ht="22.95" customHeight="1">
      <c r="B67" s="633"/>
      <c r="C67" s="681"/>
      <c r="D67" s="681"/>
      <c r="E67" s="682"/>
      <c r="F67" s="682"/>
      <c r="G67" s="682"/>
      <c r="H67" s="682"/>
      <c r="I67" s="682"/>
      <c r="J67" s="682"/>
      <c r="K67" s="682"/>
      <c r="L67" s="682"/>
      <c r="M67" s="682"/>
      <c r="N67" s="631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4" customFormat="1" ht="22.95" customHeight="1">
      <c r="B68" s="633"/>
      <c r="C68" s="643"/>
      <c r="D68" s="644"/>
      <c r="E68" s="683" t="s">
        <v>183</v>
      </c>
      <c r="F68" s="683" t="s">
        <v>184</v>
      </c>
      <c r="G68" s="683" t="s">
        <v>185</v>
      </c>
      <c r="H68" s="1088" t="s">
        <v>523</v>
      </c>
      <c r="I68" s="1089"/>
      <c r="J68" s="1089"/>
      <c r="K68" s="1089"/>
      <c r="L68" s="1089"/>
      <c r="M68" s="1090"/>
      <c r="N68" s="631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4" customFormat="1" ht="22.95" customHeight="1">
      <c r="B69" s="633"/>
      <c r="C69" s="651" t="s">
        <v>608</v>
      </c>
      <c r="D69" s="652"/>
      <c r="E69" s="684">
        <f>ejercicio-2</f>
        <v>2016</v>
      </c>
      <c r="F69" s="684">
        <f>ejercicio-1</f>
        <v>2017</v>
      </c>
      <c r="G69" s="684">
        <f>ejercicio</f>
        <v>2018</v>
      </c>
      <c r="H69" s="1091"/>
      <c r="I69" s="1092"/>
      <c r="J69" s="1092"/>
      <c r="K69" s="1092"/>
      <c r="L69" s="1092"/>
      <c r="M69" s="1093"/>
      <c r="N69" s="631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4" customFormat="1" ht="22.95" customHeight="1">
      <c r="B70" s="633"/>
      <c r="C70" s="662" t="s">
        <v>609</v>
      </c>
      <c r="D70" s="663"/>
      <c r="E70" s="503"/>
      <c r="F70" s="503">
        <v>125925.77</v>
      </c>
      <c r="G70" s="907"/>
      <c r="H70" s="714"/>
      <c r="I70" s="715"/>
      <c r="J70" s="715"/>
      <c r="K70" s="715"/>
      <c r="L70" s="715"/>
      <c r="M70" s="504"/>
      <c r="N70" s="631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4" customFormat="1" ht="22.95" customHeight="1">
      <c r="B71" s="633"/>
      <c r="C71" s="665" t="s">
        <v>610</v>
      </c>
      <c r="D71" s="666"/>
      <c r="E71" s="508"/>
      <c r="F71" s="508">
        <v>40498.25</v>
      </c>
      <c r="G71" s="583"/>
      <c r="H71" s="534"/>
      <c r="I71" s="527"/>
      <c r="J71" s="527"/>
      <c r="K71" s="527"/>
      <c r="L71" s="527"/>
      <c r="M71" s="535"/>
      <c r="N71" s="631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4" customFormat="1" ht="22.95" customHeight="1">
      <c r="B72" s="633"/>
      <c r="C72" s="681"/>
      <c r="D72" s="681"/>
      <c r="E72" s="682"/>
      <c r="F72" s="682"/>
      <c r="G72" s="682"/>
      <c r="H72" s="682"/>
      <c r="I72" s="682"/>
      <c r="J72" s="682"/>
      <c r="K72" s="682"/>
      <c r="L72" s="682"/>
      <c r="M72" s="682"/>
      <c r="N72" s="631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4" customFormat="1" ht="22.95" customHeight="1">
      <c r="B73" s="633"/>
      <c r="C73" s="643"/>
      <c r="D73" s="644"/>
      <c r="E73" s="683" t="s">
        <v>183</v>
      </c>
      <c r="F73" s="683" t="s">
        <v>184</v>
      </c>
      <c r="G73" s="683" t="s">
        <v>185</v>
      </c>
      <c r="H73" s="1088" t="s">
        <v>523</v>
      </c>
      <c r="I73" s="1089"/>
      <c r="J73" s="1089"/>
      <c r="K73" s="1089"/>
      <c r="L73" s="1089"/>
      <c r="M73" s="1090"/>
      <c r="N73" s="631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4" customFormat="1" ht="22.95" customHeight="1">
      <c r="B74" s="633"/>
      <c r="C74" s="651" t="s">
        <v>645</v>
      </c>
      <c r="D74" s="652"/>
      <c r="E74" s="684">
        <f>ejercicio-2</f>
        <v>2016</v>
      </c>
      <c r="F74" s="684">
        <f>ejercicio-1</f>
        <v>2017</v>
      </c>
      <c r="G74" s="684">
        <f>ejercicio</f>
        <v>2018</v>
      </c>
      <c r="H74" s="1091"/>
      <c r="I74" s="1092"/>
      <c r="J74" s="1092"/>
      <c r="K74" s="1092"/>
      <c r="L74" s="1092"/>
      <c r="M74" s="1093"/>
      <c r="N74" s="631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4" customFormat="1" ht="22.95" customHeight="1">
      <c r="B75" s="633"/>
      <c r="C75" s="656" t="s">
        <v>646</v>
      </c>
      <c r="D75" s="657"/>
      <c r="E75" s="658">
        <f>SUM(E76:E78)</f>
        <v>187047.22</v>
      </c>
      <c r="F75" s="658">
        <f>SUM(F76:F78)</f>
        <v>0</v>
      </c>
      <c r="G75" s="658">
        <f>SUM(G76:G78)</f>
        <v>0</v>
      </c>
      <c r="H75" s="688"/>
      <c r="I75" s="689"/>
      <c r="J75" s="689"/>
      <c r="K75" s="689"/>
      <c r="L75" s="689"/>
      <c r="M75" s="690"/>
      <c r="N75" s="631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4" customFormat="1" ht="22.95" customHeight="1">
      <c r="B76" s="633"/>
      <c r="C76" s="691" t="s">
        <v>647</v>
      </c>
      <c r="D76" s="692"/>
      <c r="E76" s="505"/>
      <c r="F76" s="505"/>
      <c r="G76" s="505"/>
      <c r="H76" s="531"/>
      <c r="I76" s="526"/>
      <c r="J76" s="526"/>
      <c r="K76" s="526"/>
      <c r="L76" s="526"/>
      <c r="M76" s="532"/>
      <c r="N76" s="631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4" customFormat="1" ht="22.95" customHeight="1">
      <c r="B77" s="633"/>
      <c r="C77" s="693" t="s">
        <v>648</v>
      </c>
      <c r="D77" s="667"/>
      <c r="E77" s="506">
        <v>187047.22</v>
      </c>
      <c r="F77" s="506"/>
      <c r="G77" s="506"/>
      <c r="H77" s="536"/>
      <c r="I77" s="713"/>
      <c r="J77" s="713"/>
      <c r="K77" s="713"/>
      <c r="L77" s="713"/>
      <c r="M77" s="533"/>
      <c r="N77" s="631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4" customFormat="1" ht="22.95" customHeight="1">
      <c r="B78" s="633"/>
      <c r="C78" s="694" t="s">
        <v>649</v>
      </c>
      <c r="D78" s="695"/>
      <c r="E78" s="507"/>
      <c r="F78" s="507"/>
      <c r="G78" s="507"/>
      <c r="H78" s="716"/>
      <c r="I78" s="717"/>
      <c r="J78" s="717"/>
      <c r="K78" s="717"/>
      <c r="L78" s="717"/>
      <c r="M78" s="490"/>
      <c r="N78" s="631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1" customFormat="1" ht="22.95" customHeight="1">
      <c r="B79" s="655"/>
      <c r="C79" s="656" t="s">
        <v>655</v>
      </c>
      <c r="D79" s="657"/>
      <c r="E79" s="658">
        <f>SUM(E80:E85)</f>
        <v>0</v>
      </c>
      <c r="F79" s="658">
        <f>SUM(F80:F85)</f>
        <v>1125636.96</v>
      </c>
      <c r="G79" s="658">
        <f>SUM(G80:G85)</f>
        <v>3064600</v>
      </c>
      <c r="H79" s="688"/>
      <c r="I79" s="689"/>
      <c r="J79" s="689"/>
      <c r="K79" s="689"/>
      <c r="L79" s="689"/>
      <c r="M79" s="690"/>
      <c r="N79" s="696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4" customFormat="1" ht="22.95" customHeight="1">
      <c r="B80" s="633"/>
      <c r="C80" s="691" t="s">
        <v>650</v>
      </c>
      <c r="D80" s="692"/>
      <c r="E80" s="580"/>
      <c r="F80" s="580"/>
      <c r="G80" s="580"/>
      <c r="H80" s="531"/>
      <c r="I80" s="526"/>
      <c r="J80" s="526"/>
      <c r="K80" s="526"/>
      <c r="L80" s="526"/>
      <c r="M80" s="532"/>
      <c r="N80" s="631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4" customFormat="1" ht="22.95" customHeight="1">
      <c r="B81" s="633"/>
      <c r="C81" s="693" t="s">
        <v>651</v>
      </c>
      <c r="D81" s="667"/>
      <c r="E81" s="582"/>
      <c r="F81" s="582"/>
      <c r="G81" s="582"/>
      <c r="H81" s="536"/>
      <c r="I81" s="713"/>
      <c r="J81" s="713"/>
      <c r="K81" s="713"/>
      <c r="L81" s="713"/>
      <c r="M81" s="533"/>
      <c r="N81" s="631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4" customFormat="1" ht="22.95" customHeight="1">
      <c r="B82" s="633"/>
      <c r="C82" s="693" t="s">
        <v>652</v>
      </c>
      <c r="D82" s="667"/>
      <c r="E82" s="582"/>
      <c r="F82" s="582"/>
      <c r="G82" s="582"/>
      <c r="H82" s="536"/>
      <c r="I82" s="713"/>
      <c r="J82" s="713"/>
      <c r="K82" s="713"/>
      <c r="L82" s="713"/>
      <c r="M82" s="533"/>
      <c r="N82" s="631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4" customFormat="1" ht="22.95" customHeight="1">
      <c r="B83" s="633"/>
      <c r="C83" s="693" t="s">
        <v>653</v>
      </c>
      <c r="D83" s="667"/>
      <c r="E83" s="582"/>
      <c r="F83" s="582">
        <v>1125636.96</v>
      </c>
      <c r="G83" s="582">
        <v>3064600</v>
      </c>
      <c r="H83" s="536"/>
      <c r="I83" s="713"/>
      <c r="J83" s="713"/>
      <c r="K83" s="713"/>
      <c r="L83" s="713"/>
      <c r="M83" s="533"/>
      <c r="N83" s="631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4" customFormat="1" ht="22.95" customHeight="1">
      <c r="B84" s="633"/>
      <c r="C84" s="697" t="s">
        <v>675</v>
      </c>
      <c r="D84" s="667"/>
      <c r="E84" s="582"/>
      <c r="F84" s="582"/>
      <c r="G84" s="582"/>
      <c r="H84" s="536"/>
      <c r="I84" s="713"/>
      <c r="J84" s="713"/>
      <c r="K84" s="713"/>
      <c r="L84" s="713"/>
      <c r="M84" s="533"/>
      <c r="N84" s="631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4" customFormat="1" ht="22.95" customHeight="1">
      <c r="B85" s="633"/>
      <c r="C85" s="665" t="s">
        <v>654</v>
      </c>
      <c r="D85" s="666"/>
      <c r="E85" s="583"/>
      <c r="F85" s="583"/>
      <c r="G85" s="583"/>
      <c r="H85" s="534"/>
      <c r="I85" s="527"/>
      <c r="J85" s="527"/>
      <c r="K85" s="527"/>
      <c r="L85" s="527"/>
      <c r="M85" s="535"/>
      <c r="N85" s="631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4" customFormat="1" ht="22.95" customHeight="1">
      <c r="B86" s="633"/>
      <c r="C86" s="681"/>
      <c r="D86" s="681"/>
      <c r="E86" s="682"/>
      <c r="F86" s="682"/>
      <c r="G86" s="682"/>
      <c r="H86" s="682"/>
      <c r="I86" s="682"/>
      <c r="J86" s="682"/>
      <c r="K86" s="682"/>
      <c r="L86" s="682"/>
      <c r="M86" s="682"/>
      <c r="N86" s="631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4" customFormat="1" ht="22.95" customHeight="1">
      <c r="B87" s="633"/>
      <c r="C87" s="1097" t="s">
        <v>711</v>
      </c>
      <c r="D87" s="1098"/>
      <c r="E87" s="1099"/>
      <c r="F87" s="849" t="s">
        <v>361</v>
      </c>
      <c r="G87" s="683" t="s">
        <v>185</v>
      </c>
      <c r="H87" s="1095" t="s">
        <v>523</v>
      </c>
      <c r="I87" s="1095"/>
      <c r="J87" s="1095"/>
      <c r="K87" s="1095"/>
      <c r="L87" s="1095"/>
      <c r="M87" s="1095"/>
      <c r="N87" s="631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4" customFormat="1" ht="43.2" customHeight="1">
      <c r="B88" s="633"/>
      <c r="C88" s="1100"/>
      <c r="D88" s="1101"/>
      <c r="E88" s="1102"/>
      <c r="F88" s="850" t="s">
        <v>712</v>
      </c>
      <c r="G88" s="684">
        <f>ejercicio</f>
        <v>2018</v>
      </c>
      <c r="H88" s="1096"/>
      <c r="I88" s="1096"/>
      <c r="J88" s="1096"/>
      <c r="K88" s="1096"/>
      <c r="L88" s="1096"/>
      <c r="M88" s="1096"/>
      <c r="N88" s="631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4" customFormat="1" ht="22.95" customHeight="1" thickBot="1">
      <c r="B89" s="633"/>
      <c r="C89" s="676" t="s">
        <v>716</v>
      </c>
      <c r="D89" s="854"/>
      <c r="E89" s="855"/>
      <c r="F89" s="678"/>
      <c r="G89" s="678">
        <f>SUM(G90:G92)</f>
        <v>0</v>
      </c>
      <c r="H89" s="685"/>
      <c r="I89" s="686"/>
      <c r="J89" s="686"/>
      <c r="K89" s="686"/>
      <c r="L89" s="686"/>
      <c r="M89" s="687"/>
      <c r="N89" s="631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4" customFormat="1" ht="22.95" customHeight="1">
      <c r="B90" s="633"/>
      <c r="C90" s="1103" t="s">
        <v>713</v>
      </c>
      <c r="D90" s="1104"/>
      <c r="E90" s="1105"/>
      <c r="F90" s="908"/>
      <c r="G90" s="505"/>
      <c r="H90" s="856"/>
      <c r="I90" s="526"/>
      <c r="J90" s="526"/>
      <c r="K90" s="526"/>
      <c r="L90" s="526"/>
      <c r="M90" s="726"/>
      <c r="N90" s="631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4" customFormat="1" ht="22.95" customHeight="1">
      <c r="B91" s="633"/>
      <c r="C91" s="851" t="s">
        <v>714</v>
      </c>
      <c r="D91" s="852"/>
      <c r="E91" s="853"/>
      <c r="F91" s="908"/>
      <c r="G91" s="505"/>
      <c r="H91" s="725"/>
      <c r="I91" s="526"/>
      <c r="J91" s="526"/>
      <c r="K91" s="526"/>
      <c r="L91" s="526"/>
      <c r="M91" s="726"/>
      <c r="N91" s="631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4" customFormat="1" ht="22.95" customHeight="1">
      <c r="B92" s="633"/>
      <c r="C92" s="1106" t="s">
        <v>715</v>
      </c>
      <c r="D92" s="1107"/>
      <c r="E92" s="1108"/>
      <c r="F92" s="909"/>
      <c r="G92" s="506"/>
      <c r="H92" s="727"/>
      <c r="I92" s="713"/>
      <c r="J92" s="713"/>
      <c r="K92" s="713"/>
      <c r="L92" s="713"/>
      <c r="M92" s="728"/>
      <c r="N92" s="631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4" customFormat="1" ht="22.95" customHeight="1">
      <c r="B93" s="633"/>
      <c r="C93" s="843"/>
      <c r="D93" s="681"/>
      <c r="E93" s="844"/>
      <c r="F93" s="844"/>
      <c r="G93" s="844"/>
      <c r="H93" s="845"/>
      <c r="I93" s="845"/>
      <c r="J93" s="845"/>
      <c r="K93" s="845"/>
      <c r="L93" s="845"/>
      <c r="M93" s="845"/>
      <c r="N93" s="631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s="664" customFormat="1" ht="22.95" customHeight="1">
      <c r="B94" s="633"/>
      <c r="C94" s="846" t="s">
        <v>354</v>
      </c>
      <c r="D94" s="847"/>
      <c r="E94" s="682"/>
      <c r="F94" s="682"/>
      <c r="G94" s="682"/>
      <c r="H94" s="682"/>
      <c r="I94" s="682"/>
      <c r="J94" s="682"/>
      <c r="K94" s="682"/>
      <c r="L94" s="682"/>
      <c r="M94" s="682"/>
      <c r="N94" s="631"/>
      <c r="P94" s="415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416"/>
      <c r="AC94" s="417"/>
    </row>
    <row r="95" spans="2:29" s="664" customFormat="1" ht="22.95" customHeight="1">
      <c r="B95" s="633"/>
      <c r="C95" s="847" t="s">
        <v>768</v>
      </c>
      <c r="D95" s="847"/>
      <c r="E95" s="700"/>
      <c r="F95" s="700"/>
      <c r="G95" s="700"/>
      <c r="H95" s="700"/>
      <c r="I95" s="700"/>
      <c r="J95" s="700"/>
      <c r="K95" s="700"/>
      <c r="L95" s="700"/>
      <c r="M95" s="700"/>
      <c r="N95" s="631"/>
      <c r="P95" s="415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16"/>
      <c r="AB95" s="416"/>
      <c r="AC95" s="417"/>
    </row>
    <row r="96" spans="2:29" s="664" customFormat="1" ht="22.95" customHeight="1">
      <c r="B96" s="633"/>
      <c r="C96" s="848" t="s">
        <v>612</v>
      </c>
      <c r="D96" s="847"/>
      <c r="E96" s="700"/>
      <c r="F96" s="700"/>
      <c r="G96" s="700"/>
      <c r="H96" s="700"/>
      <c r="I96" s="700"/>
      <c r="J96" s="700"/>
      <c r="K96" s="700"/>
      <c r="L96" s="700"/>
      <c r="M96" s="700"/>
      <c r="N96" s="631"/>
      <c r="P96" s="415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7"/>
    </row>
    <row r="97" spans="2:29" s="664" customFormat="1" ht="22.95" customHeight="1">
      <c r="B97" s="633"/>
      <c r="C97" s="848" t="s">
        <v>769</v>
      </c>
      <c r="D97" s="847"/>
      <c r="E97" s="700"/>
      <c r="F97" s="700"/>
      <c r="G97" s="700"/>
      <c r="H97" s="700"/>
      <c r="I97" s="700"/>
      <c r="J97" s="700"/>
      <c r="K97" s="700"/>
      <c r="L97" s="700"/>
      <c r="M97" s="700"/>
      <c r="N97" s="631"/>
      <c r="P97" s="415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7"/>
    </row>
    <row r="98" spans="2:29" ht="22.95" customHeight="1" thickBot="1">
      <c r="B98" s="701"/>
      <c r="C98" s="1072"/>
      <c r="D98" s="1072"/>
      <c r="E98" s="1072"/>
      <c r="F98" s="1072"/>
      <c r="G98" s="702"/>
      <c r="H98" s="702"/>
      <c r="I98" s="702"/>
      <c r="J98" s="702"/>
      <c r="K98" s="702"/>
      <c r="L98" s="702"/>
      <c r="M98" s="702"/>
      <c r="N98" s="703"/>
      <c r="P98" s="418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20"/>
    </row>
    <row r="99" spans="2:29" ht="22.95" customHeight="1">
      <c r="C99" s="628"/>
      <c r="D99" s="628"/>
      <c r="E99" s="629"/>
      <c r="F99" s="629"/>
      <c r="G99" s="629"/>
      <c r="H99" s="629"/>
      <c r="I99" s="629"/>
      <c r="J99" s="629"/>
      <c r="K99" s="629"/>
      <c r="L99" s="629"/>
      <c r="M99" s="629"/>
    </row>
    <row r="100" spans="2:29" ht="13.2">
      <c r="C100" s="704" t="s">
        <v>77</v>
      </c>
      <c r="D100" s="628"/>
      <c r="E100" s="629"/>
      <c r="F100" s="629"/>
      <c r="G100" s="629"/>
      <c r="H100" s="629"/>
      <c r="I100" s="629"/>
      <c r="J100" s="629"/>
      <c r="K100" s="629"/>
      <c r="L100" s="629"/>
      <c r="M100" s="705" t="s">
        <v>47</v>
      </c>
    </row>
    <row r="101" spans="2:29" ht="13.2">
      <c r="C101" s="706" t="s">
        <v>78</v>
      </c>
      <c r="D101" s="628"/>
      <c r="E101" s="629"/>
      <c r="F101" s="629"/>
      <c r="G101" s="629"/>
      <c r="H101" s="629"/>
      <c r="I101" s="629"/>
      <c r="J101" s="629"/>
      <c r="K101" s="629"/>
      <c r="L101" s="629"/>
      <c r="M101" s="629"/>
    </row>
    <row r="102" spans="2:29" ht="13.2">
      <c r="C102" s="706" t="s">
        <v>79</v>
      </c>
      <c r="D102" s="628"/>
      <c r="E102" s="629"/>
      <c r="F102" s="629"/>
      <c r="G102" s="629"/>
      <c r="H102" s="629"/>
      <c r="I102" s="629"/>
      <c r="J102" s="629"/>
      <c r="K102" s="629"/>
      <c r="L102" s="629"/>
      <c r="M102" s="629"/>
    </row>
    <row r="103" spans="2:29" ht="13.2">
      <c r="C103" s="706" t="s">
        <v>80</v>
      </c>
      <c r="D103" s="628"/>
      <c r="E103" s="629"/>
      <c r="F103" s="629"/>
      <c r="G103" s="629"/>
      <c r="H103" s="629"/>
      <c r="I103" s="629"/>
      <c r="J103" s="629"/>
      <c r="K103" s="629"/>
      <c r="L103" s="629"/>
      <c r="M103" s="629"/>
    </row>
    <row r="104" spans="2:29" ht="13.2">
      <c r="C104" s="706" t="s">
        <v>81</v>
      </c>
      <c r="D104" s="628"/>
      <c r="E104" s="629"/>
      <c r="F104" s="629"/>
      <c r="G104" s="629"/>
      <c r="H104" s="629"/>
      <c r="I104" s="629"/>
      <c r="J104" s="629"/>
      <c r="K104" s="629"/>
      <c r="L104" s="629"/>
      <c r="M104" s="629"/>
    </row>
    <row r="105" spans="2:29" ht="22.95" customHeight="1">
      <c r="C105" s="628"/>
      <c r="D105" s="628"/>
      <c r="E105" s="629"/>
      <c r="F105" s="629"/>
      <c r="G105" s="629"/>
      <c r="H105" s="629"/>
      <c r="I105" s="629"/>
      <c r="J105" s="629"/>
      <c r="K105" s="629"/>
      <c r="L105" s="629"/>
      <c r="M105" s="629"/>
    </row>
    <row r="106" spans="2:29" ht="22.95" customHeight="1">
      <c r="C106" s="628"/>
      <c r="D106" s="628"/>
      <c r="E106" s="629"/>
      <c r="F106" s="629"/>
      <c r="G106" s="629"/>
      <c r="H106" s="629"/>
      <c r="I106" s="629"/>
      <c r="J106" s="629"/>
      <c r="K106" s="629"/>
      <c r="L106" s="629"/>
      <c r="M106" s="629"/>
    </row>
    <row r="107" spans="2:29" ht="22.95" customHeight="1">
      <c r="C107" s="628"/>
      <c r="D107" s="628"/>
      <c r="E107" s="629"/>
      <c r="F107" s="629"/>
      <c r="G107" s="629"/>
      <c r="H107" s="629"/>
      <c r="I107" s="629"/>
      <c r="J107" s="629"/>
      <c r="K107" s="629"/>
      <c r="L107" s="629"/>
      <c r="M107" s="629"/>
    </row>
    <row r="108" spans="2:29" ht="22.95" customHeight="1">
      <c r="C108" s="628"/>
      <c r="D108" s="628"/>
      <c r="E108" s="629"/>
      <c r="F108" s="629"/>
      <c r="G108" s="629"/>
      <c r="H108" s="629"/>
      <c r="I108" s="629"/>
      <c r="J108" s="629"/>
      <c r="K108" s="629"/>
      <c r="L108" s="629"/>
      <c r="M108" s="629"/>
    </row>
    <row r="109" spans="2:29" ht="22.95" customHeight="1">
      <c r="F109" s="629"/>
      <c r="G109" s="629"/>
      <c r="H109" s="629"/>
      <c r="I109" s="629"/>
      <c r="J109" s="629"/>
      <c r="K109" s="629"/>
      <c r="L109" s="629"/>
      <c r="M109" s="629"/>
    </row>
  </sheetData>
  <sheetProtection password="E059" sheet="1" objects="1" scenarios="1" insertRows="0"/>
  <mergeCells count="11">
    <mergeCell ref="C98:F98"/>
    <mergeCell ref="H49:M50"/>
    <mergeCell ref="H68:M69"/>
    <mergeCell ref="M6:M7"/>
    <mergeCell ref="D9:M9"/>
    <mergeCell ref="C12:D12"/>
    <mergeCell ref="H73:M74"/>
    <mergeCell ref="H87:M88"/>
    <mergeCell ref="C87:E88"/>
    <mergeCell ref="C90:E90"/>
    <mergeCell ref="C92:E9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topLeftCell="A75" zoomScale="55" zoomScaleNormal="55" zoomScalePageLayoutView="55" workbookViewId="0">
      <selection activeCell="E101" sqref="E101"/>
    </sheetView>
  </sheetViews>
  <sheetFormatPr baseColWidth="10" defaultColWidth="10.81640625" defaultRowHeight="22.95" customHeight="1"/>
  <cols>
    <col min="1" max="2" width="3.1796875" style="42" customWidth="1"/>
    <col min="3" max="3" width="13.54296875" style="42" customWidth="1"/>
    <col min="4" max="4" width="76.81640625" style="42" customWidth="1"/>
    <col min="5" max="7" width="18.1796875" style="42" customWidth="1"/>
    <col min="8" max="8" width="3.1796875" style="42" customWidth="1"/>
    <col min="9" max="16384" width="10.81640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65">
        <f>ejercicio</f>
        <v>2018</v>
      </c>
      <c r="H6" s="50"/>
      <c r="J6" s="402"/>
      <c r="K6" s="403" t="s">
        <v>643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65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87" t="str">
        <f>Entidad</f>
        <v>PARQUE CIENTÍFICO Y TECNOLÓGICO DE TENERIFE, S.A.</v>
      </c>
      <c r="E9" s="1087"/>
      <c r="F9" s="1087"/>
      <c r="G9" s="1087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345" t="s">
        <v>187</v>
      </c>
      <c r="D16" s="85" t="s">
        <v>188</v>
      </c>
      <c r="E16" s="325">
        <f>E17+E26+E30+E33+E40+E47+E48</f>
        <v>45270714.210000001</v>
      </c>
      <c r="F16" s="332">
        <f>F17+F26+F30+F33+F40+F47+F48</f>
        <v>44833480.439999998</v>
      </c>
      <c r="G16" s="346">
        <f>G17+G26+G30+G33+G40+G47+G48</f>
        <v>47209164.170000009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347" t="s">
        <v>189</v>
      </c>
      <c r="D17" s="71" t="s">
        <v>190</v>
      </c>
      <c r="E17" s="326">
        <f>SUM(E18:E25)</f>
        <v>1080198.6399999999</v>
      </c>
      <c r="F17" s="333">
        <f>SUM(F18:F25)</f>
        <v>1031845.35</v>
      </c>
      <c r="G17" s="348">
        <f>SUM(G18:G25)</f>
        <v>956071.88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349" t="s">
        <v>88</v>
      </c>
      <c r="D18" s="72" t="s">
        <v>191</v>
      </c>
      <c r="E18" s="447"/>
      <c r="F18" s="448">
        <v>19940.61</v>
      </c>
      <c r="G18" s="449">
        <v>18476.28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350" t="s">
        <v>95</v>
      </c>
      <c r="D19" s="73" t="s">
        <v>192</v>
      </c>
      <c r="E19" s="450">
        <v>1080198.6399999999</v>
      </c>
      <c r="F19" s="451">
        <v>1005346.82</v>
      </c>
      <c r="G19" s="452">
        <v>931519.26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350" t="s">
        <v>97</v>
      </c>
      <c r="D20" s="73" t="s">
        <v>193</v>
      </c>
      <c r="E20" s="450"/>
      <c r="F20" s="451"/>
      <c r="G20" s="452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350" t="s">
        <v>99</v>
      </c>
      <c r="D21" s="73" t="s">
        <v>194</v>
      </c>
      <c r="E21" s="450"/>
      <c r="F21" s="451"/>
      <c r="G21" s="452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350" t="s">
        <v>195</v>
      </c>
      <c r="D22" s="73" t="s">
        <v>196</v>
      </c>
      <c r="E22" s="450"/>
      <c r="F22" s="451">
        <v>6557.92</v>
      </c>
      <c r="G22" s="452">
        <v>6076.34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350" t="s">
        <v>109</v>
      </c>
      <c r="D23" s="73" t="s">
        <v>197</v>
      </c>
      <c r="E23" s="450"/>
      <c r="F23" s="451"/>
      <c r="G23" s="45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350" t="s">
        <v>114</v>
      </c>
      <c r="D24" s="73" t="s">
        <v>249</v>
      </c>
      <c r="E24" s="450"/>
      <c r="F24" s="451"/>
      <c r="G24" s="452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350" t="s">
        <v>122</v>
      </c>
      <c r="D25" s="73" t="s">
        <v>198</v>
      </c>
      <c r="E25" s="450"/>
      <c r="F25" s="451"/>
      <c r="G25" s="452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347" t="s">
        <v>199</v>
      </c>
      <c r="D26" s="71" t="s">
        <v>200</v>
      </c>
      <c r="E26" s="326">
        <f>SUM(E27:E29)</f>
        <v>40953846.369999997</v>
      </c>
      <c r="F26" s="333">
        <f>SUM(F27:F29)</f>
        <v>40756354.299999997</v>
      </c>
      <c r="G26" s="348">
        <f>SUM(G27:G29)</f>
        <v>43383682.200000003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349" t="s">
        <v>88</v>
      </c>
      <c r="D27" s="72" t="s">
        <v>201</v>
      </c>
      <c r="E27" s="447">
        <v>40953846.369999997</v>
      </c>
      <c r="F27" s="448">
        <v>40756354.299999997</v>
      </c>
      <c r="G27" s="449">
        <v>43383682.200000003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350" t="s">
        <v>95</v>
      </c>
      <c r="D28" s="73" t="s">
        <v>202</v>
      </c>
      <c r="E28" s="450"/>
      <c r="F28" s="451"/>
      <c r="G28" s="452"/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350" t="s">
        <v>97</v>
      </c>
      <c r="D29" s="73" t="s">
        <v>203</v>
      </c>
      <c r="E29" s="450"/>
      <c r="F29" s="451"/>
      <c r="G29" s="452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347" t="s">
        <v>204</v>
      </c>
      <c r="D30" s="71" t="s">
        <v>205</v>
      </c>
      <c r="E30" s="326">
        <f>SUM(E31:E32)</f>
        <v>2360498.6</v>
      </c>
      <c r="F30" s="333">
        <f>SUM(F31:F32)</f>
        <v>2169110.19</v>
      </c>
      <c r="G30" s="348">
        <f>SUM(G31:G32)</f>
        <v>1993239.49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349" t="s">
        <v>88</v>
      </c>
      <c r="D31" s="72" t="s">
        <v>206</v>
      </c>
      <c r="E31" s="447"/>
      <c r="F31" s="448"/>
      <c r="G31" s="449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350" t="s">
        <v>95</v>
      </c>
      <c r="D32" s="73" t="s">
        <v>207</v>
      </c>
      <c r="E32" s="450">
        <v>2360498.6</v>
      </c>
      <c r="F32" s="451">
        <v>2169110.19</v>
      </c>
      <c r="G32" s="452">
        <v>1993239.49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347" t="s">
        <v>208</v>
      </c>
      <c r="D33" s="71" t="s">
        <v>209</v>
      </c>
      <c r="E33" s="326">
        <f>SUM(E34:E39)</f>
        <v>0</v>
      </c>
      <c r="F33" s="333">
        <f>SUM(F34:F39)</f>
        <v>0</v>
      </c>
      <c r="G33" s="348">
        <f>SUM(G34:G39)</f>
        <v>0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349" t="s">
        <v>88</v>
      </c>
      <c r="D34" s="72" t="s">
        <v>210</v>
      </c>
      <c r="E34" s="447"/>
      <c r="F34" s="448"/>
      <c r="G34" s="449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350" t="s">
        <v>95</v>
      </c>
      <c r="D35" s="73" t="s">
        <v>211</v>
      </c>
      <c r="E35" s="450"/>
      <c r="F35" s="451"/>
      <c r="G35" s="452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350" t="s">
        <v>97</v>
      </c>
      <c r="D36" s="73" t="s">
        <v>212</v>
      </c>
      <c r="E36" s="450"/>
      <c r="F36" s="451"/>
      <c r="G36" s="452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350" t="s">
        <v>99</v>
      </c>
      <c r="D37" s="73" t="s">
        <v>213</v>
      </c>
      <c r="E37" s="450"/>
      <c r="F37" s="451"/>
      <c r="G37" s="452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350" t="s">
        <v>195</v>
      </c>
      <c r="D38" s="73" t="s">
        <v>214</v>
      </c>
      <c r="E38" s="450"/>
      <c r="F38" s="451"/>
      <c r="G38" s="452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350" t="s">
        <v>109</v>
      </c>
      <c r="D39" s="73" t="s">
        <v>215</v>
      </c>
      <c r="E39" s="450"/>
      <c r="F39" s="451"/>
      <c r="G39" s="452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347" t="s">
        <v>216</v>
      </c>
      <c r="D40" s="71" t="s">
        <v>217</v>
      </c>
      <c r="E40" s="326">
        <f>SUM(E41:E46)</f>
        <v>13400.6</v>
      </c>
      <c r="F40" s="333">
        <f>SUM(F41:F46)</f>
        <v>13400.6</v>
      </c>
      <c r="G40" s="348">
        <f>SUM(G41:G46)</f>
        <v>13400.6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349" t="s">
        <v>88</v>
      </c>
      <c r="D41" s="72" t="s">
        <v>210</v>
      </c>
      <c r="E41" s="447"/>
      <c r="F41" s="448"/>
      <c r="G41" s="449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350" t="s">
        <v>95</v>
      </c>
      <c r="D42" s="73" t="s">
        <v>218</v>
      </c>
      <c r="E42" s="450"/>
      <c r="F42" s="451"/>
      <c r="G42" s="452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350" t="s">
        <v>97</v>
      </c>
      <c r="D43" s="73" t="s">
        <v>212</v>
      </c>
      <c r="E43" s="450"/>
      <c r="F43" s="451"/>
      <c r="G43" s="452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350" t="s">
        <v>99</v>
      </c>
      <c r="D44" s="73" t="s">
        <v>213</v>
      </c>
      <c r="E44" s="450"/>
      <c r="F44" s="451"/>
      <c r="G44" s="452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350" t="s">
        <v>195</v>
      </c>
      <c r="D45" s="73" t="s">
        <v>214</v>
      </c>
      <c r="E45" s="450"/>
      <c r="F45" s="451"/>
      <c r="G45" s="452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350" t="s">
        <v>109</v>
      </c>
      <c r="D46" s="73" t="s">
        <v>215</v>
      </c>
      <c r="E46" s="450">
        <v>13400.6</v>
      </c>
      <c r="F46" s="451">
        <v>13400.6</v>
      </c>
      <c r="G46" s="452">
        <v>13400.6</v>
      </c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347" t="s">
        <v>219</v>
      </c>
      <c r="D47" s="71" t="s">
        <v>220</v>
      </c>
      <c r="E47" s="453">
        <v>862770</v>
      </c>
      <c r="F47" s="454">
        <v>862770</v>
      </c>
      <c r="G47" s="455">
        <v>862770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347" t="s">
        <v>221</v>
      </c>
      <c r="D48" s="71" t="s">
        <v>222</v>
      </c>
      <c r="E48" s="453">
        <v>0</v>
      </c>
      <c r="F48" s="454">
        <v>0</v>
      </c>
      <c r="G48" s="455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5" customHeight="1">
      <c r="B50" s="24"/>
      <c r="C50" s="345" t="s">
        <v>177</v>
      </c>
      <c r="D50" s="85" t="s">
        <v>223</v>
      </c>
      <c r="E50" s="325">
        <f>E51+E52+E65+E75+E82+E89+E90</f>
        <v>11288224.08</v>
      </c>
      <c r="F50" s="332">
        <f>F51+F52+F65+F75+F82+F89+F90</f>
        <v>9615582.6900000013</v>
      </c>
      <c r="G50" s="346">
        <f>G51+G52+G65+G75+G82+G89+G90</f>
        <v>7975874.0600000005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5" customHeight="1">
      <c r="B51" s="48"/>
      <c r="C51" s="347" t="s">
        <v>189</v>
      </c>
      <c r="D51" s="71" t="s">
        <v>224</v>
      </c>
      <c r="E51" s="453"/>
      <c r="F51" s="454"/>
      <c r="G51" s="455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347" t="s">
        <v>199</v>
      </c>
      <c r="D52" s="71" t="s">
        <v>225</v>
      </c>
      <c r="E52" s="326">
        <f>E53+E54+E57+E60+E63+E64</f>
        <v>3189517.23</v>
      </c>
      <c r="F52" s="333">
        <f t="shared" ref="F52:G52" si="0">F53+F54+F57+F60+F63+F64</f>
        <v>3189517.23</v>
      </c>
      <c r="G52" s="348">
        <f t="shared" si="0"/>
        <v>3189517.23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350" t="s">
        <v>88</v>
      </c>
      <c r="D53" s="73" t="s">
        <v>226</v>
      </c>
      <c r="E53" s="450"/>
      <c r="F53" s="451"/>
      <c r="G53" s="452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353" t="s">
        <v>89</v>
      </c>
      <c r="D55" s="87" t="s">
        <v>251</v>
      </c>
      <c r="E55" s="718"/>
      <c r="F55" s="719"/>
      <c r="G55" s="720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353" t="s">
        <v>91</v>
      </c>
      <c r="D56" s="87" t="s">
        <v>252</v>
      </c>
      <c r="E56" s="718"/>
      <c r="F56" s="719"/>
      <c r="G56" s="720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350" t="s">
        <v>97</v>
      </c>
      <c r="D57" s="73" t="s">
        <v>228</v>
      </c>
      <c r="E57" s="327">
        <f>E58+E59</f>
        <v>3189517.23</v>
      </c>
      <c r="F57" s="334">
        <f t="shared" ref="F57:G57" si="2">F58+F59</f>
        <v>3189517.23</v>
      </c>
      <c r="G57" s="351">
        <f t="shared" si="2"/>
        <v>3189517.23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353" t="s">
        <v>89</v>
      </c>
      <c r="D58" s="87" t="s">
        <v>229</v>
      </c>
      <c r="E58" s="718">
        <v>3189517.23</v>
      </c>
      <c r="F58" s="719">
        <v>3189517.23</v>
      </c>
      <c r="G58" s="720">
        <v>3189517.23</v>
      </c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353" t="s">
        <v>91</v>
      </c>
      <c r="D59" s="87" t="s">
        <v>230</v>
      </c>
      <c r="E59" s="718"/>
      <c r="F59" s="719"/>
      <c r="G59" s="720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353" t="s">
        <v>89</v>
      </c>
      <c r="D61" s="87" t="s">
        <v>229</v>
      </c>
      <c r="E61" s="718"/>
      <c r="F61" s="719"/>
      <c r="G61" s="720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353" t="s">
        <v>91</v>
      </c>
      <c r="D62" s="87" t="s">
        <v>230</v>
      </c>
      <c r="E62" s="718"/>
      <c r="F62" s="719"/>
      <c r="G62" s="720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350" t="s">
        <v>195</v>
      </c>
      <c r="D63" s="73" t="s">
        <v>232</v>
      </c>
      <c r="E63" s="450"/>
      <c r="F63" s="451"/>
      <c r="G63" s="452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350" t="s">
        <v>109</v>
      </c>
      <c r="D64" s="73" t="s">
        <v>233</v>
      </c>
      <c r="E64" s="450"/>
      <c r="F64" s="451"/>
      <c r="G64" s="452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347" t="s">
        <v>204</v>
      </c>
      <c r="D65" s="71" t="s">
        <v>234</v>
      </c>
      <c r="E65" s="326">
        <f>E66+SUM(E69:E74)</f>
        <v>1786768.6</v>
      </c>
      <c r="F65" s="333">
        <f t="shared" ref="F65:G65" si="4">F66+SUM(F69:F74)</f>
        <v>1956057.08</v>
      </c>
      <c r="G65" s="348">
        <f t="shared" si="4"/>
        <v>0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350" t="s">
        <v>88</v>
      </c>
      <c r="D66" s="73" t="s">
        <v>235</v>
      </c>
      <c r="E66" s="327">
        <f>E67+E68</f>
        <v>359426.14</v>
      </c>
      <c r="F66" s="334">
        <f t="shared" ref="F66:G66" si="5">F67+F68</f>
        <v>405743.85</v>
      </c>
      <c r="G66" s="351">
        <f t="shared" si="5"/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353" t="s">
        <v>89</v>
      </c>
      <c r="D67" s="87" t="s">
        <v>236</v>
      </c>
      <c r="E67" s="718"/>
      <c r="F67" s="719"/>
      <c r="G67" s="720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353" t="s">
        <v>91</v>
      </c>
      <c r="D68" s="87" t="s">
        <v>237</v>
      </c>
      <c r="E68" s="718">
        <v>359426.14</v>
      </c>
      <c r="F68" s="719">
        <v>405743.85</v>
      </c>
      <c r="G68" s="720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350" t="s">
        <v>95</v>
      </c>
      <c r="D69" s="73" t="s">
        <v>238</v>
      </c>
      <c r="E69" s="450"/>
      <c r="F69" s="451"/>
      <c r="G69" s="452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350" t="s">
        <v>97</v>
      </c>
      <c r="D70" s="73" t="s">
        <v>239</v>
      </c>
      <c r="E70" s="450">
        <v>1427342.46</v>
      </c>
      <c r="F70" s="451">
        <v>149502.01999999999</v>
      </c>
      <c r="G70" s="452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350" t="s">
        <v>99</v>
      </c>
      <c r="D71" s="73" t="s">
        <v>62</v>
      </c>
      <c r="E71" s="450"/>
      <c r="F71" s="451">
        <v>1829.19</v>
      </c>
      <c r="G71" s="452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350" t="s">
        <v>195</v>
      </c>
      <c r="D72" s="73" t="s">
        <v>240</v>
      </c>
      <c r="E72" s="450"/>
      <c r="F72" s="451"/>
      <c r="G72" s="452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350" t="s">
        <v>109</v>
      </c>
      <c r="D73" s="73" t="s">
        <v>241</v>
      </c>
      <c r="E73" s="450"/>
      <c r="F73" s="451">
        <v>1398982.02</v>
      </c>
      <c r="G73" s="452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350" t="s">
        <v>114</v>
      </c>
      <c r="D74" s="73" t="s">
        <v>242</v>
      </c>
      <c r="E74" s="450"/>
      <c r="F74" s="451"/>
      <c r="G74" s="452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350" t="s">
        <v>88</v>
      </c>
      <c r="D76" s="73" t="s">
        <v>210</v>
      </c>
      <c r="E76" s="450"/>
      <c r="F76" s="451"/>
      <c r="G76" s="45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350" t="s">
        <v>95</v>
      </c>
      <c r="D77" s="73" t="s">
        <v>211</v>
      </c>
      <c r="E77" s="450"/>
      <c r="F77" s="451"/>
      <c r="G77" s="452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350" t="s">
        <v>97</v>
      </c>
      <c r="D78" s="73" t="s">
        <v>212</v>
      </c>
      <c r="E78" s="450"/>
      <c r="F78" s="451"/>
      <c r="G78" s="452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350" t="s">
        <v>99</v>
      </c>
      <c r="D79" s="73" t="s">
        <v>213</v>
      </c>
      <c r="E79" s="450"/>
      <c r="F79" s="451"/>
      <c r="G79" s="452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350" t="s">
        <v>195</v>
      </c>
      <c r="D80" s="73" t="s">
        <v>214</v>
      </c>
      <c r="E80" s="450"/>
      <c r="F80" s="451"/>
      <c r="G80" s="452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350" t="s">
        <v>109</v>
      </c>
      <c r="D81" s="73" t="s">
        <v>215</v>
      </c>
      <c r="E81" s="450"/>
      <c r="F81" s="451"/>
      <c r="G81" s="452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347" t="s">
        <v>216</v>
      </c>
      <c r="D82" s="71" t="s">
        <v>244</v>
      </c>
      <c r="E82" s="326">
        <f>SUM(E83:E88)</f>
        <v>3369931</v>
      </c>
      <c r="F82" s="333">
        <f t="shared" ref="F82:G82" si="7">SUM(F83:F88)</f>
        <v>2169931</v>
      </c>
      <c r="G82" s="348">
        <f t="shared" si="7"/>
        <v>3000000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350" t="s">
        <v>88</v>
      </c>
      <c r="D83" s="73" t="s">
        <v>210</v>
      </c>
      <c r="E83" s="450"/>
      <c r="F83" s="451"/>
      <c r="G83" s="452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350" t="s">
        <v>95</v>
      </c>
      <c r="D84" s="73" t="s">
        <v>211</v>
      </c>
      <c r="E84" s="450"/>
      <c r="F84" s="451"/>
      <c r="G84" s="452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350" t="s">
        <v>97</v>
      </c>
      <c r="D85" s="73" t="s">
        <v>212</v>
      </c>
      <c r="E85" s="450"/>
      <c r="F85" s="451"/>
      <c r="G85" s="452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>
      <c r="B86" s="48"/>
      <c r="C86" s="350" t="s">
        <v>99</v>
      </c>
      <c r="D86" s="73" t="s">
        <v>213</v>
      </c>
      <c r="E86" s="450"/>
      <c r="F86" s="451"/>
      <c r="G86" s="452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>
      <c r="B87" s="48"/>
      <c r="C87" s="350" t="s">
        <v>195</v>
      </c>
      <c r="D87" s="73" t="s">
        <v>214</v>
      </c>
      <c r="E87" s="450"/>
      <c r="F87" s="451"/>
      <c r="G87" s="452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5" customHeight="1">
      <c r="B88" s="48"/>
      <c r="C88" s="350" t="s">
        <v>109</v>
      </c>
      <c r="D88" s="73" t="s">
        <v>215</v>
      </c>
      <c r="E88" s="450">
        <v>3369931</v>
      </c>
      <c r="F88" s="451">
        <v>2169931</v>
      </c>
      <c r="G88" s="452">
        <v>3000000</v>
      </c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5" customHeight="1">
      <c r="B89" s="24"/>
      <c r="C89" s="347" t="s">
        <v>219</v>
      </c>
      <c r="D89" s="71" t="s">
        <v>245</v>
      </c>
      <c r="E89" s="453">
        <v>726.89</v>
      </c>
      <c r="F89" s="454"/>
      <c r="G89" s="455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5" customHeight="1">
      <c r="B90" s="48"/>
      <c r="C90" s="347" t="s">
        <v>221</v>
      </c>
      <c r="D90" s="71" t="s">
        <v>246</v>
      </c>
      <c r="E90" s="326">
        <f>SUM(E91:E92)</f>
        <v>2941280.36</v>
      </c>
      <c r="F90" s="333">
        <f t="shared" ref="F90:G90" si="8">SUM(F91:F92)</f>
        <v>2300077.38</v>
      </c>
      <c r="G90" s="348">
        <f t="shared" si="8"/>
        <v>1786356.83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5" customHeight="1">
      <c r="B91" s="48"/>
      <c r="C91" s="350" t="s">
        <v>88</v>
      </c>
      <c r="D91" s="73" t="s">
        <v>247</v>
      </c>
      <c r="E91" s="450">
        <v>2941280.36</v>
      </c>
      <c r="F91" s="451">
        <v>2300077.38</v>
      </c>
      <c r="G91" s="452">
        <f>2012353.05-225996.22</f>
        <v>1786356.83</v>
      </c>
      <c r="H91" s="50"/>
      <c r="J91" s="415"/>
      <c r="K91" s="1041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5" customHeight="1">
      <c r="B92" s="48"/>
      <c r="C92" s="354" t="s">
        <v>95</v>
      </c>
      <c r="D92" s="355" t="s">
        <v>248</v>
      </c>
      <c r="E92" s="456"/>
      <c r="F92" s="457"/>
      <c r="G92" s="458"/>
      <c r="H92" s="50"/>
      <c r="J92" s="415"/>
      <c r="K92" s="1041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5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5" customHeight="1" thickBot="1">
      <c r="B94" s="81"/>
      <c r="C94" s="143" t="s">
        <v>253</v>
      </c>
      <c r="D94" s="80"/>
      <c r="E94" s="329">
        <f>E50+E16</f>
        <v>56558938.289999999</v>
      </c>
      <c r="F94" s="336">
        <f t="shared" ref="F94:G94" si="9">F50+F16</f>
        <v>54449063.129999995</v>
      </c>
      <c r="G94" s="321">
        <f t="shared" si="9"/>
        <v>55185038.230000012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5" customHeight="1" thickBot="1">
      <c r="B95" s="52"/>
      <c r="C95" s="1086"/>
      <c r="D95" s="1086"/>
      <c r="E95" s="1086"/>
      <c r="F95" s="1086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77</v>
      </c>
      <c r="D97" s="44"/>
      <c r="E97" s="44"/>
      <c r="F97" s="44"/>
      <c r="G97" s="41" t="s">
        <v>641</v>
      </c>
    </row>
    <row r="98" spans="3:7" ht="13.2">
      <c r="C98" s="38" t="s">
        <v>78</v>
      </c>
      <c r="D98" s="44"/>
      <c r="E98" s="44"/>
      <c r="F98" s="44"/>
      <c r="G98" s="44"/>
    </row>
    <row r="99" spans="3:7" ht="13.2">
      <c r="C99" s="38" t="s">
        <v>79</v>
      </c>
      <c r="D99" s="44"/>
      <c r="E99" s="44"/>
      <c r="F99" s="44"/>
      <c r="G99" s="44"/>
    </row>
    <row r="100" spans="3:7" ht="13.2">
      <c r="C100" s="38" t="s">
        <v>80</v>
      </c>
      <c r="D100" s="44"/>
      <c r="E100" s="44"/>
      <c r="F100" s="44"/>
      <c r="G100" s="44"/>
    </row>
    <row r="101" spans="3:7" ht="13.2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9"/>
      <c r="F102" s="722"/>
      <c r="G102" s="722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topLeftCell="A64" zoomScale="70" zoomScaleNormal="70" zoomScalePageLayoutView="70" workbookViewId="0">
      <selection activeCell="E96" sqref="E96"/>
    </sheetView>
  </sheetViews>
  <sheetFormatPr baseColWidth="10" defaultColWidth="10.81640625" defaultRowHeight="22.95" customHeight="1"/>
  <cols>
    <col min="1" max="2" width="3.1796875" style="42" customWidth="1"/>
    <col min="3" max="3" width="13.54296875" style="42" customWidth="1"/>
    <col min="4" max="4" width="76.81640625" style="42" customWidth="1"/>
    <col min="5" max="7" width="18.1796875" style="42" customWidth="1"/>
    <col min="8" max="8" width="3.1796875" style="42" customWidth="1"/>
    <col min="9" max="16384" width="10.81640625" style="42"/>
  </cols>
  <sheetData>
    <row r="1" spans="2:23" ht="22.95" customHeight="1">
      <c r="D1" s="44"/>
    </row>
    <row r="2" spans="2:23" ht="22.95" customHeight="1">
      <c r="D2" s="66" t="s">
        <v>31</v>
      </c>
    </row>
    <row r="3" spans="2:23" ht="22.95" customHeight="1">
      <c r="D3" s="66" t="s">
        <v>32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65">
        <f>ejercicio</f>
        <v>2018</v>
      </c>
      <c r="H6" s="50"/>
      <c r="J6" s="402"/>
      <c r="K6" s="403" t="s">
        <v>643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65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87" t="str">
        <f>Entidad</f>
        <v>PARQUE CIENTÍFICO Y TECNOLÓGICO DE TENERIFE, S.A.</v>
      </c>
      <c r="E9" s="1087"/>
      <c r="F9" s="1087"/>
      <c r="G9" s="1087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5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5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5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5" customHeight="1">
      <c r="B16" s="48"/>
      <c r="C16" s="132" t="s">
        <v>86</v>
      </c>
      <c r="D16" s="85" t="s">
        <v>256</v>
      </c>
      <c r="E16" s="124">
        <f>E17+E35+E41</f>
        <v>23063914.039999999</v>
      </c>
      <c r="F16" s="124">
        <f>F17+F35+F41</f>
        <v>28368787.850000001</v>
      </c>
      <c r="G16" s="133">
        <f>G17+G35+G41</f>
        <v>30132366.109999999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5" customHeight="1">
      <c r="B17" s="48"/>
      <c r="C17" s="134" t="s">
        <v>136</v>
      </c>
      <c r="D17" s="71" t="s">
        <v>257</v>
      </c>
      <c r="E17" s="125">
        <f>+E18+E21+E22+E27+E28+E31+E32+E33+E34</f>
        <v>13584828.819999998</v>
      </c>
      <c r="F17" s="125">
        <f>+F18+F21+F22+F27+F28+F31+F32+F33+F34</f>
        <v>13584953.219999999</v>
      </c>
      <c r="G17" s="135">
        <f>+G18+G21+G22+G27+G28+G31+G32+G33+G34</f>
        <v>13611914.259999998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5" customHeight="1">
      <c r="B18" s="48"/>
      <c r="C18" s="134" t="s">
        <v>189</v>
      </c>
      <c r="D18" s="71" t="s">
        <v>258</v>
      </c>
      <c r="E18" s="125">
        <f>SUM(E19:E20)</f>
        <v>14353320</v>
      </c>
      <c r="F18" s="125">
        <f>SUM(F19:F20)</f>
        <v>14353320</v>
      </c>
      <c r="G18" s="135">
        <f>SUM(G19:G20)</f>
        <v>14353320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5" customHeight="1">
      <c r="B19" s="48"/>
      <c r="C19" s="136" t="s">
        <v>88</v>
      </c>
      <c r="D19" s="72" t="s">
        <v>259</v>
      </c>
      <c r="E19" s="443">
        <v>14353320</v>
      </c>
      <c r="F19" s="443">
        <v>14353320</v>
      </c>
      <c r="G19" s="459">
        <v>14353320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5" customHeight="1">
      <c r="B20" s="48"/>
      <c r="C20" s="137" t="s">
        <v>95</v>
      </c>
      <c r="D20" s="73" t="s">
        <v>260</v>
      </c>
      <c r="E20" s="444"/>
      <c r="F20" s="444"/>
      <c r="G20" s="460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5" customHeight="1">
      <c r="B21" s="48"/>
      <c r="C21" s="134" t="s">
        <v>199</v>
      </c>
      <c r="D21" s="71" t="s">
        <v>261</v>
      </c>
      <c r="E21" s="445">
        <v>15116.44</v>
      </c>
      <c r="F21" s="445">
        <v>15116.44</v>
      </c>
      <c r="G21" s="461">
        <v>15116.44</v>
      </c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5" customHeight="1">
      <c r="B22" s="48"/>
      <c r="C22" s="134" t="s">
        <v>204</v>
      </c>
      <c r="D22" s="71" t="s">
        <v>262</v>
      </c>
      <c r="E22" s="125">
        <f>SUM(E23:E26)</f>
        <v>595346.61</v>
      </c>
      <c r="F22" s="125">
        <f>SUM(F23:F26)</f>
        <v>595346.61</v>
      </c>
      <c r="G22" s="135">
        <f>SUM(G23:G26)</f>
        <v>595346.61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5" customHeight="1">
      <c r="B23" s="48"/>
      <c r="C23" s="136" t="s">
        <v>88</v>
      </c>
      <c r="D23" s="72" t="s">
        <v>263</v>
      </c>
      <c r="E23" s="443"/>
      <c r="F23" s="443"/>
      <c r="G23" s="459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5" customHeight="1">
      <c r="B24" s="48"/>
      <c r="C24" s="137" t="s">
        <v>95</v>
      </c>
      <c r="D24" s="73" t="s">
        <v>264</v>
      </c>
      <c r="E24" s="444">
        <v>595346.61</v>
      </c>
      <c r="F24" s="444">
        <v>595346.61</v>
      </c>
      <c r="G24" s="460">
        <v>595346.61</v>
      </c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5" customHeight="1">
      <c r="B25" s="48"/>
      <c r="C25" s="137" t="s">
        <v>97</v>
      </c>
      <c r="D25" s="73" t="s">
        <v>265</v>
      </c>
      <c r="E25" s="444"/>
      <c r="F25" s="444"/>
      <c r="G25" s="460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5" customHeight="1">
      <c r="B26" s="48"/>
      <c r="C26" s="137" t="s">
        <v>99</v>
      </c>
      <c r="D26" s="73" t="s">
        <v>320</v>
      </c>
      <c r="E26" s="444"/>
      <c r="F26" s="444"/>
      <c r="G26" s="460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5" customHeight="1">
      <c r="B27" s="48"/>
      <c r="C27" s="134" t="s">
        <v>208</v>
      </c>
      <c r="D27" s="71" t="s">
        <v>266</v>
      </c>
      <c r="E27" s="445">
        <v>-10249.780000000001</v>
      </c>
      <c r="F27" s="445">
        <v>-10249.780000000001</v>
      </c>
      <c r="G27" s="461">
        <v>-10249.780000000001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5" customHeight="1">
      <c r="B28" s="48"/>
      <c r="C28" s="134" t="s">
        <v>216</v>
      </c>
      <c r="D28" s="71" t="s">
        <v>267</v>
      </c>
      <c r="E28" s="125">
        <f>SUM(E29:E30)</f>
        <v>-1995818.37</v>
      </c>
      <c r="F28" s="125">
        <f>SUM(F29:F30)</f>
        <v>-3040371.46</v>
      </c>
      <c r="G28" s="135">
        <f>SUM(G29:G30)</f>
        <v>-4106914.05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5" customHeight="1">
      <c r="B29" s="48"/>
      <c r="C29" s="136" t="s">
        <v>88</v>
      </c>
      <c r="D29" s="72" t="s">
        <v>268</v>
      </c>
      <c r="E29" s="443"/>
      <c r="F29" s="443"/>
      <c r="G29" s="459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5" customHeight="1">
      <c r="B30" s="48"/>
      <c r="C30" s="137" t="s">
        <v>95</v>
      </c>
      <c r="D30" s="73" t="s">
        <v>269</v>
      </c>
      <c r="E30" s="444">
        <v>-1995818.37</v>
      </c>
      <c r="F30" s="444">
        <v>-3040371.46</v>
      </c>
      <c r="G30" s="460">
        <v>-4106914.05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5" customHeight="1">
      <c r="B31" s="48"/>
      <c r="C31" s="134" t="s">
        <v>219</v>
      </c>
      <c r="D31" s="71" t="s">
        <v>270</v>
      </c>
      <c r="E31" s="445">
        <v>1671667</v>
      </c>
      <c r="F31" s="445">
        <v>2738334</v>
      </c>
      <c r="G31" s="461">
        <v>3638334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5" customHeight="1">
      <c r="B32" s="48"/>
      <c r="C32" s="134" t="s">
        <v>221</v>
      </c>
      <c r="D32" s="71" t="s">
        <v>271</v>
      </c>
      <c r="E32" s="445">
        <v>-1044553.08</v>
      </c>
      <c r="F32" s="445">
        <v>-1066542.5900000001</v>
      </c>
      <c r="G32" s="461">
        <v>-873038.96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5" customHeight="1">
      <c r="B33" s="48"/>
      <c r="C33" s="134" t="s">
        <v>272</v>
      </c>
      <c r="D33" s="71" t="s">
        <v>273</v>
      </c>
      <c r="E33" s="445"/>
      <c r="F33" s="445"/>
      <c r="G33" s="461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5" customHeight="1">
      <c r="B34" s="48"/>
      <c r="C34" s="134" t="s">
        <v>274</v>
      </c>
      <c r="D34" s="71" t="s">
        <v>275</v>
      </c>
      <c r="E34" s="445"/>
      <c r="F34" s="445"/>
      <c r="G34" s="461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5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5" customHeight="1">
      <c r="B36" s="48"/>
      <c r="C36" s="134" t="s">
        <v>189</v>
      </c>
      <c r="D36" s="71" t="s">
        <v>277</v>
      </c>
      <c r="E36" s="445"/>
      <c r="F36" s="445"/>
      <c r="G36" s="46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5" customHeight="1">
      <c r="B37" s="48"/>
      <c r="C37" s="134" t="s">
        <v>199</v>
      </c>
      <c r="D37" s="71" t="s">
        <v>278</v>
      </c>
      <c r="E37" s="445"/>
      <c r="F37" s="445"/>
      <c r="G37" s="46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5" customHeight="1">
      <c r="B38" s="48"/>
      <c r="C38" s="134" t="s">
        <v>204</v>
      </c>
      <c r="D38" s="71" t="s">
        <v>279</v>
      </c>
      <c r="E38" s="445"/>
      <c r="F38" s="445"/>
      <c r="G38" s="46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5" customHeight="1">
      <c r="B39" s="48"/>
      <c r="C39" s="134" t="s">
        <v>208</v>
      </c>
      <c r="D39" s="71" t="s">
        <v>280</v>
      </c>
      <c r="E39" s="445"/>
      <c r="F39" s="445"/>
      <c r="G39" s="46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5" customHeight="1">
      <c r="B40" s="48"/>
      <c r="C40" s="134" t="s">
        <v>216</v>
      </c>
      <c r="D40" s="71" t="s">
        <v>281</v>
      </c>
      <c r="E40" s="445"/>
      <c r="F40" s="445"/>
      <c r="G40" s="461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5" customHeight="1">
      <c r="B41" s="48"/>
      <c r="C41" s="134" t="s">
        <v>172</v>
      </c>
      <c r="D41" s="71" t="s">
        <v>282</v>
      </c>
      <c r="E41" s="445">
        <v>9479085.2200000007</v>
      </c>
      <c r="F41" s="445">
        <v>14783834.630000001</v>
      </c>
      <c r="G41" s="461">
        <v>16520451.85</v>
      </c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5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5" customHeight="1">
      <c r="B43" s="48"/>
      <c r="C43" s="132" t="s">
        <v>283</v>
      </c>
      <c r="D43" s="85" t="s">
        <v>284</v>
      </c>
      <c r="E43" s="124">
        <f>E44+E49+SUM(E55:E59)</f>
        <v>25480962.43</v>
      </c>
      <c r="F43" s="124">
        <f>F44+F49+SUM(F55:F59)</f>
        <v>24473799.719999999</v>
      </c>
      <c r="G43" s="133">
        <f>G44+G49+SUM(G55:G59)</f>
        <v>23479902.57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5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5" customHeight="1">
      <c r="B45" s="48"/>
      <c r="C45" s="136" t="s">
        <v>88</v>
      </c>
      <c r="D45" s="72" t="s">
        <v>286</v>
      </c>
      <c r="E45" s="443"/>
      <c r="F45" s="443"/>
      <c r="G45" s="459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5" customHeight="1">
      <c r="B46" s="48"/>
      <c r="C46" s="137" t="s">
        <v>95</v>
      </c>
      <c r="D46" s="73" t="s">
        <v>287</v>
      </c>
      <c r="E46" s="444"/>
      <c r="F46" s="444"/>
      <c r="G46" s="460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5" customHeight="1">
      <c r="B47" s="48"/>
      <c r="C47" s="137" t="s">
        <v>97</v>
      </c>
      <c r="D47" s="73" t="s">
        <v>288</v>
      </c>
      <c r="E47" s="444"/>
      <c r="F47" s="444"/>
      <c r="G47" s="460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5" customHeight="1">
      <c r="B48" s="48"/>
      <c r="C48" s="137" t="s">
        <v>99</v>
      </c>
      <c r="D48" s="73" t="s">
        <v>289</v>
      </c>
      <c r="E48" s="444"/>
      <c r="F48" s="444"/>
      <c r="G48" s="460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5" customHeight="1">
      <c r="B49" s="48"/>
      <c r="C49" s="134" t="s">
        <v>199</v>
      </c>
      <c r="D49" s="71" t="s">
        <v>290</v>
      </c>
      <c r="E49" s="125">
        <f>SUM(E50:E54)</f>
        <v>22321267.329999998</v>
      </c>
      <c r="F49" s="125">
        <f>SUM(F50:F54)</f>
        <v>19545854.82</v>
      </c>
      <c r="G49" s="135">
        <f>SUM(G50:G54)</f>
        <v>17973085.27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5" customHeight="1">
      <c r="B50" s="48"/>
      <c r="C50" s="136" t="s">
        <v>88</v>
      </c>
      <c r="D50" s="72" t="s">
        <v>291</v>
      </c>
      <c r="E50" s="443"/>
      <c r="F50" s="443"/>
      <c r="G50" s="459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5" customHeight="1">
      <c r="B51" s="24"/>
      <c r="C51" s="137" t="s">
        <v>95</v>
      </c>
      <c r="D51" s="73" t="s">
        <v>292</v>
      </c>
      <c r="E51" s="444">
        <v>10858689.67</v>
      </c>
      <c r="F51" s="444">
        <v>9318897.8200000003</v>
      </c>
      <c r="G51" s="460">
        <v>7746128.2699999996</v>
      </c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5" customHeight="1">
      <c r="B52" s="48"/>
      <c r="C52" s="137" t="s">
        <v>97</v>
      </c>
      <c r="D52" s="73" t="s">
        <v>293</v>
      </c>
      <c r="E52" s="444"/>
      <c r="F52" s="444"/>
      <c r="G52" s="460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5" customHeight="1">
      <c r="B53" s="48"/>
      <c r="C53" s="137" t="s">
        <v>99</v>
      </c>
      <c r="D53" s="73" t="s">
        <v>213</v>
      </c>
      <c r="E53" s="444"/>
      <c r="F53" s="444"/>
      <c r="G53" s="46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5" customHeight="1">
      <c r="B54" s="48"/>
      <c r="C54" s="137" t="s">
        <v>195</v>
      </c>
      <c r="D54" s="73" t="s">
        <v>294</v>
      </c>
      <c r="E54" s="444">
        <v>11462577.66</v>
      </c>
      <c r="F54" s="444">
        <v>10226957</v>
      </c>
      <c r="G54" s="460">
        <v>10226957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5" customHeight="1">
      <c r="B55" s="48"/>
      <c r="C55" s="134" t="s">
        <v>204</v>
      </c>
      <c r="D55" s="71" t="s">
        <v>295</v>
      </c>
      <c r="E55" s="445"/>
      <c r="F55" s="445"/>
      <c r="G55" s="461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5" customHeight="1">
      <c r="B56" s="48"/>
      <c r="C56" s="134" t="s">
        <v>208</v>
      </c>
      <c r="D56" s="71" t="s">
        <v>296</v>
      </c>
      <c r="E56" s="445">
        <v>3159695.1</v>
      </c>
      <c r="F56" s="461">
        <v>4927944.9000000004</v>
      </c>
      <c r="G56" s="461">
        <f>+F56+578872.41-0.01</f>
        <v>5506817.3000000007</v>
      </c>
      <c r="H56" s="50"/>
      <c r="J56" s="415"/>
      <c r="K56" s="416"/>
      <c r="L56" s="1041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5" customHeight="1">
      <c r="B57" s="48"/>
      <c r="C57" s="134" t="s">
        <v>216</v>
      </c>
      <c r="D57" s="71" t="s">
        <v>297</v>
      </c>
      <c r="E57" s="445"/>
      <c r="F57" s="445"/>
      <c r="G57" s="461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5" customHeight="1">
      <c r="B58" s="48"/>
      <c r="C58" s="134" t="s">
        <v>219</v>
      </c>
      <c r="D58" s="71" t="s">
        <v>298</v>
      </c>
      <c r="E58" s="445"/>
      <c r="F58" s="445"/>
      <c r="G58" s="461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5" customHeight="1">
      <c r="B59" s="48"/>
      <c r="C59" s="134" t="s">
        <v>221</v>
      </c>
      <c r="D59" s="71" t="s">
        <v>299</v>
      </c>
      <c r="E59" s="445"/>
      <c r="F59" s="445"/>
      <c r="G59" s="461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5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5" customHeight="1">
      <c r="B61" s="48"/>
      <c r="C61" s="132" t="s">
        <v>300</v>
      </c>
      <c r="D61" s="85" t="s">
        <v>301</v>
      </c>
      <c r="E61" s="124">
        <f>E62+E63+E66+E72+E73+E83+E84</f>
        <v>8014061.8200000003</v>
      </c>
      <c r="F61" s="124">
        <f>F62+F63+F66+F72+F73+F83+F84</f>
        <v>1606475.56</v>
      </c>
      <c r="G61" s="133">
        <f>G62+G63+G66+G72+G73+G83+G84</f>
        <v>1572769.55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5" customHeight="1">
      <c r="B62" s="48"/>
      <c r="C62" s="134" t="s">
        <v>189</v>
      </c>
      <c r="D62" s="71" t="s">
        <v>302</v>
      </c>
      <c r="E62" s="445"/>
      <c r="F62" s="445"/>
      <c r="G62" s="461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5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5" customHeight="1">
      <c r="B64" s="48"/>
      <c r="C64" s="136" t="s">
        <v>88</v>
      </c>
      <c r="D64" s="72" t="s">
        <v>304</v>
      </c>
      <c r="E64" s="443"/>
      <c r="F64" s="443"/>
      <c r="G64" s="459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5" customHeight="1">
      <c r="B65" s="48"/>
      <c r="C65" s="137" t="s">
        <v>95</v>
      </c>
      <c r="D65" s="73" t="s">
        <v>289</v>
      </c>
      <c r="E65" s="444"/>
      <c r="F65" s="444"/>
      <c r="G65" s="460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5" customHeight="1">
      <c r="B66" s="48"/>
      <c r="C66" s="134" t="s">
        <v>204</v>
      </c>
      <c r="D66" s="71" t="s">
        <v>305</v>
      </c>
      <c r="E66" s="125">
        <f>SUM(E67:E71)</f>
        <v>1977938.7000000002</v>
      </c>
      <c r="F66" s="125">
        <f>SUM(F67:F71)</f>
        <v>1539619.43</v>
      </c>
      <c r="G66" s="135">
        <f>SUM(G67:G71)</f>
        <v>1572769.55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5" customHeight="1">
      <c r="B67" s="48"/>
      <c r="C67" s="136" t="s">
        <v>88</v>
      </c>
      <c r="D67" s="72" t="s">
        <v>306</v>
      </c>
      <c r="E67" s="443"/>
      <c r="F67" s="443"/>
      <c r="G67" s="45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5" customHeight="1">
      <c r="B68" s="48"/>
      <c r="C68" s="137" t="s">
        <v>95</v>
      </c>
      <c r="D68" s="73" t="s">
        <v>292</v>
      </c>
      <c r="E68" s="444">
        <v>1618499.05</v>
      </c>
      <c r="F68" s="444">
        <v>1539619.43</v>
      </c>
      <c r="G68" s="460">
        <v>1572769.55</v>
      </c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5" customHeight="1">
      <c r="B69" s="48"/>
      <c r="C69" s="137" t="s">
        <v>97</v>
      </c>
      <c r="D69" s="73" t="s">
        <v>293</v>
      </c>
      <c r="E69" s="444"/>
      <c r="F69" s="444"/>
      <c r="G69" s="460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5" customHeight="1">
      <c r="B70" s="48"/>
      <c r="C70" s="137" t="s">
        <v>99</v>
      </c>
      <c r="D70" s="73" t="s">
        <v>213</v>
      </c>
      <c r="E70" s="444"/>
      <c r="F70" s="444"/>
      <c r="G70" s="460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5" customHeight="1">
      <c r="B71" s="48"/>
      <c r="C71" s="137" t="s">
        <v>195</v>
      </c>
      <c r="D71" s="73" t="s">
        <v>294</v>
      </c>
      <c r="E71" s="444">
        <v>359439.65</v>
      </c>
      <c r="F71" s="444"/>
      <c r="G71" s="460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5" customHeight="1">
      <c r="B72" s="48"/>
      <c r="C72" s="134" t="s">
        <v>208</v>
      </c>
      <c r="D72" s="71" t="s">
        <v>307</v>
      </c>
      <c r="E72" s="445"/>
      <c r="F72" s="445"/>
      <c r="G72" s="46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5" customHeight="1">
      <c r="B73" s="48"/>
      <c r="C73" s="134" t="s">
        <v>216</v>
      </c>
      <c r="D73" s="71" t="s">
        <v>308</v>
      </c>
      <c r="E73" s="125">
        <f>E74+SUM(E77:E82)</f>
        <v>6036123.1200000001</v>
      </c>
      <c r="F73" s="125">
        <f>F74+SUM(F77:F82)</f>
        <v>66856.13</v>
      </c>
      <c r="G73" s="135">
        <f>G74+SUM(G77:G82)</f>
        <v>0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5" customHeight="1">
      <c r="B74" s="48"/>
      <c r="C74" s="137" t="s">
        <v>88</v>
      </c>
      <c r="D74" s="73" t="s">
        <v>309</v>
      </c>
      <c r="E74" s="127">
        <f>SUM(E75:E76)</f>
        <v>402.14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5" customHeight="1">
      <c r="B75" s="48"/>
      <c r="C75" s="142" t="s">
        <v>89</v>
      </c>
      <c r="D75" s="87" t="s">
        <v>310</v>
      </c>
      <c r="E75" s="462"/>
      <c r="F75" s="462"/>
      <c r="G75" s="463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5" customHeight="1">
      <c r="B76" s="48"/>
      <c r="C76" s="142" t="s">
        <v>91</v>
      </c>
      <c r="D76" s="87" t="s">
        <v>311</v>
      </c>
      <c r="E76" s="462">
        <v>402.14</v>
      </c>
      <c r="F76" s="462"/>
      <c r="G76" s="463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5" customHeight="1">
      <c r="B77" s="48"/>
      <c r="C77" s="137" t="s">
        <v>95</v>
      </c>
      <c r="D77" s="73" t="s">
        <v>312</v>
      </c>
      <c r="E77" s="444"/>
      <c r="F77" s="444"/>
      <c r="G77" s="460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5" customHeight="1">
      <c r="B78" s="48"/>
      <c r="C78" s="137" t="s">
        <v>97</v>
      </c>
      <c r="D78" s="73" t="s">
        <v>313</v>
      </c>
      <c r="E78" s="444">
        <v>6035720.9800000004</v>
      </c>
      <c r="F78" s="444">
        <v>66856.13</v>
      </c>
      <c r="G78" s="460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5" customHeight="1">
      <c r="B79" s="48"/>
      <c r="C79" s="137" t="s">
        <v>99</v>
      </c>
      <c r="D79" s="73" t="s">
        <v>314</v>
      </c>
      <c r="E79" s="444"/>
      <c r="F79" s="444"/>
      <c r="G79" s="460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5" customHeight="1">
      <c r="B80" s="48"/>
      <c r="C80" s="137" t="s">
        <v>195</v>
      </c>
      <c r="D80" s="73" t="s">
        <v>315</v>
      </c>
      <c r="E80" s="444"/>
      <c r="F80" s="444"/>
      <c r="G80" s="460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5" customHeight="1">
      <c r="B81" s="48"/>
      <c r="C81" s="137" t="s">
        <v>109</v>
      </c>
      <c r="D81" s="73" t="s">
        <v>316</v>
      </c>
      <c r="E81" s="444"/>
      <c r="F81" s="444"/>
      <c r="G81" s="460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5" customHeight="1">
      <c r="B82" s="48"/>
      <c r="C82" s="137" t="s">
        <v>114</v>
      </c>
      <c r="D82" s="73" t="s">
        <v>317</v>
      </c>
      <c r="E82" s="444"/>
      <c r="F82" s="444"/>
      <c r="G82" s="460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5" customHeight="1">
      <c r="B83" s="48"/>
      <c r="C83" s="134" t="s">
        <v>219</v>
      </c>
      <c r="D83" s="71" t="s">
        <v>245</v>
      </c>
      <c r="E83" s="445"/>
      <c r="F83" s="445"/>
      <c r="G83" s="46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5" customHeight="1">
      <c r="B84" s="48"/>
      <c r="C84" s="134" t="s">
        <v>221</v>
      </c>
      <c r="D84" s="71" t="s">
        <v>318</v>
      </c>
      <c r="E84" s="445"/>
      <c r="F84" s="445"/>
      <c r="G84" s="46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5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5" customHeight="1" thickBot="1">
      <c r="B86" s="48"/>
      <c r="C86" s="143" t="s">
        <v>319</v>
      </c>
      <c r="D86" s="80"/>
      <c r="E86" s="129">
        <f>E16+E43+E61</f>
        <v>56558938.289999999</v>
      </c>
      <c r="F86" s="129">
        <f>F16+F43+F61</f>
        <v>54449063.130000003</v>
      </c>
      <c r="G86" s="144">
        <f>G16+G43+G61</f>
        <v>55185038.229999997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5" customHeight="1" thickBot="1">
      <c r="B87" s="52"/>
      <c r="C87" s="1086"/>
      <c r="D87" s="1086"/>
      <c r="E87" s="1086"/>
      <c r="F87" s="1086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77</v>
      </c>
      <c r="D89" s="44"/>
      <c r="E89" s="44"/>
      <c r="F89" s="44"/>
      <c r="G89" s="41" t="s">
        <v>642</v>
      </c>
    </row>
    <row r="90" spans="2:23" ht="13.2">
      <c r="C90" s="38" t="s">
        <v>78</v>
      </c>
      <c r="D90" s="44"/>
      <c r="E90" s="44"/>
      <c r="F90" s="44"/>
      <c r="G90" s="44"/>
    </row>
    <row r="91" spans="2:23" ht="13.2">
      <c r="C91" s="38" t="s">
        <v>79</v>
      </c>
      <c r="D91" s="44"/>
      <c r="E91" s="44"/>
      <c r="F91" s="44"/>
      <c r="G91" s="44"/>
    </row>
    <row r="92" spans="2:23" ht="13.2">
      <c r="C92" s="38" t="s">
        <v>80</v>
      </c>
      <c r="D92" s="44"/>
      <c r="E92" s="44"/>
      <c r="F92" s="44"/>
      <c r="G92" s="44"/>
    </row>
    <row r="93" spans="2:23" ht="13.2">
      <c r="C93" s="38" t="s">
        <v>81</v>
      </c>
      <c r="D93" s="44"/>
      <c r="E93" s="44"/>
      <c r="F93" s="44"/>
      <c r="G93" s="44"/>
    </row>
    <row r="94" spans="2:23" ht="22.95" customHeight="1">
      <c r="C94" s="44"/>
      <c r="D94" s="44"/>
      <c r="E94" s="722" t="str">
        <f>IF(CHECK_LIST!J15&gt;0,"Revisa","")</f>
        <v/>
      </c>
      <c r="F94" s="722" t="str">
        <f>IF(CHECK_LIST!K15&gt;0,"Revisa","")</f>
        <v/>
      </c>
      <c r="G94" s="722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Silvia Davara Arricivita</cp:lastModifiedBy>
  <cp:lastPrinted>2017-11-25T18:08:46Z</cp:lastPrinted>
  <dcterms:created xsi:type="dcterms:W3CDTF">2017-09-18T15:25:23Z</dcterms:created>
  <dcterms:modified xsi:type="dcterms:W3CDTF">2018-01-26T14:10:58Z</dcterms:modified>
</cp:coreProperties>
</file>