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workbookProtection workbookPassword="CF7A" lockStructure="1"/>
  <bookViews>
    <workbookView xWindow="30" yWindow="0" windowWidth="23130" windowHeight="13050" tabRatio="807" firstSheet="2" activeTab="6"/>
  </bookViews>
  <sheets>
    <sheet name="GENERAL" sheetId="4" state="hidden" r:id="rId1"/>
    <sheet name="CHECK_LIST" sheetId="37" state="hidden" r:id="rId2"/>
    <sheet name="FC-1_ORGANOS_GOBIERNO" sheetId="1" r:id="rId3"/>
    <sheet name="FC-2_ACCIONISTAS" sheetId="3" r:id="rId4"/>
    <sheet name="FC-2_1" sheetId="38" r:id="rId5"/>
    <sheet name="FC-3_CPyG" sheetId="7" r:id="rId6"/>
    <sheet name="FC-3_1_INF_ADIC_CPyG" sheetId="36" r:id="rId7"/>
    <sheet name="FC-4_ACTIVO" sheetId="9" r:id="rId8"/>
    <sheet name="FC-4_PASIVO" sheetId="14" r:id="rId9"/>
    <sheet name="FC-5_EFE" sheetId="12" r:id="rId10"/>
    <sheet name="FC-6_Inversiones" sheetId="13" r:id="rId11"/>
    <sheet name="FC-7_INF" sheetId="15" r:id="rId12"/>
    <sheet name="FC-8_INV_FINANCIERAS" sheetId="17" r:id="rId13"/>
    <sheet name="FC-9_TRANS_SUBV" sheetId="18" r:id="rId14"/>
    <sheet name="FC-10_DEUDAS" sheetId="23" r:id="rId15"/>
    <sheet name="FC-12_PERFIL_VTO_DEUDA" sheetId="21" r:id="rId16"/>
    <sheet name="FC-11_DEUDA_VIVA" sheetId="20" r:id="rId17"/>
    <sheet name="FC-13_PERSONAL" sheetId="25" r:id="rId18"/>
    <sheet name="FC-14_OPER_INTERNAS" sheetId="27" r:id="rId19"/>
    <sheet name="FC-15_ENCOMIENDAS" sheetId="28" r:id="rId20"/>
    <sheet name="FC-16_ESTAB_PRESUP" sheetId="29" state="hidden" r:id="rId21"/>
    <sheet name="FC-17_FINANCIACIÓN" sheetId="31" r:id="rId22"/>
    <sheet name="FC-90_COMPROBACIÓN" sheetId="32" r:id="rId23"/>
    <sheet name="FC-91_PRESUPUESTO" sheetId="34" state="hidden" r:id="rId24"/>
    <sheet name="FC-92_PRESUPUESTO_PYG" sheetId="33" state="hidden" r:id="rId25"/>
  </sheets>
  <definedNames>
    <definedName name="_xlnm.Print_Area" localSheetId="1">CHECK_LIST!$B$5:$H$42</definedName>
    <definedName name="_xlnm.Print_Area" localSheetId="2">'FC-1_ORGANOS_GOBIERNO'!$B$1:$I$48</definedName>
    <definedName name="_xlnm.Print_Area" localSheetId="14">'FC-10_DEUDAS'!$B$1:$T$90</definedName>
    <definedName name="_xlnm.Print_Area" localSheetId="16">'FC-11_DEUDA_VIVA'!$B$1:$J$42</definedName>
    <definedName name="_xlnm.Print_Area" localSheetId="15">'FC-12_PERFIL_VTO_DEUDA'!$B$1:$O$30</definedName>
    <definedName name="_xlnm.Print_Area" localSheetId="17">'FC-13_PERSONAL'!$B$1:$K$71</definedName>
    <definedName name="_xlnm.Print_Area" localSheetId="18">'FC-14_OPER_INTERNAS'!$B$1:$I$81</definedName>
    <definedName name="_xlnm.Print_Area" localSheetId="19">'FC-15_ENCOMIENDAS'!$B$1:$H$41</definedName>
    <definedName name="_xlnm.Print_Area" localSheetId="20">'FC-16_ESTAB_PRESUP'!$B$5:$H$49</definedName>
    <definedName name="_xlnm.Print_Area" localSheetId="21">'FC-17_FINANCIACIÓN'!$B$1:$G$46</definedName>
    <definedName name="_xlnm.Print_Area" localSheetId="4">'FC-2_1'!$B$1:$O$55</definedName>
    <definedName name="_xlnm.Print_Area" localSheetId="3">'FC-2_ACCIONISTAS'!$B$1:$Q$61</definedName>
    <definedName name="_xlnm.Print_Area" localSheetId="6">'FC-3_1_INF_ADIC_CPyG'!$B$1:$N$100</definedName>
    <definedName name="_xlnm.Print_Area" localSheetId="5">'FC-3_CPyG'!$B$1:$H$92</definedName>
    <definedName name="_xlnm.Print_Area" localSheetId="7">'FC-4_ACTIVO'!$B$1:$H$101</definedName>
    <definedName name="_xlnm.Print_Area" localSheetId="8">'FC-4_PASIVO'!$B$1:$H$93</definedName>
    <definedName name="_xlnm.Print_Area" localSheetId="9">'FC-5_EFE'!$B$1:$I$106</definedName>
    <definedName name="_xlnm.Print_Area" localSheetId="10">'FC-6_Inversiones'!$B$1:$S$61</definedName>
    <definedName name="_xlnm.Print_Area" localSheetId="11">'FC-7_INF'!$B$1:$O$52</definedName>
    <definedName name="_xlnm.Print_Area" localSheetId="12">'FC-8_INV_FINANCIERAS'!$B$1:$N$77</definedName>
    <definedName name="_xlnm.Print_Area" localSheetId="13">'FC-9_TRANS_SUBV'!$B$1:$M$115</definedName>
    <definedName name="_xlnm.Print_Area" localSheetId="22">'FC-90_COMPROBACIÓN'!$B$1:$F$81</definedName>
    <definedName name="_xlnm.Print_Area" localSheetId="23">'FC-91_PRESUPUESTO'!$B$5:$F$52</definedName>
    <definedName name="_xlnm.Print_Area" localSheetId="24">'FC-92_PRESUPUESTO_PYG'!$B$5:$F$61</definedName>
    <definedName name="_xlnm.Print_Area" localSheetId="0">GENERAL!$B$5:$N$47</definedName>
    <definedName name="DEPENDENCIA">GENERAL!$H$15</definedName>
    <definedName name="ejercicio">GENERAL!$D$15</definedName>
    <definedName name="Entidad">GENERAL!$D$13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I32" i="13" l="1"/>
  <c r="F26" i="15"/>
  <c r="L26" i="15"/>
  <c r="H33" i="27"/>
  <c r="H30" i="27"/>
  <c r="H37" i="27"/>
  <c r="E17" i="27"/>
  <c r="Q17" i="23"/>
  <c r="Q42" i="23" s="1"/>
  <c r="F17" i="20" s="1"/>
  <c r="G17" i="20" s="1"/>
  <c r="Q18" i="23"/>
  <c r="Q19" i="23"/>
  <c r="Q20" i="23"/>
  <c r="Q21" i="23"/>
  <c r="Q22" i="23"/>
  <c r="Q23" i="23"/>
  <c r="Q24" i="23"/>
  <c r="Q25" i="23"/>
  <c r="Q26" i="23"/>
  <c r="Q27" i="23"/>
  <c r="Q28" i="23"/>
  <c r="Q29" i="23"/>
  <c r="Q30" i="23"/>
  <c r="Q31" i="23"/>
  <c r="Q32" i="23"/>
  <c r="Q33" i="23"/>
  <c r="Q34" i="23"/>
  <c r="Q35" i="23"/>
  <c r="Q36" i="23"/>
  <c r="Q37" i="23"/>
  <c r="Q38" i="23"/>
  <c r="Q39" i="23"/>
  <c r="Q40" i="23"/>
  <c r="Q41" i="23"/>
  <c r="I24" i="20"/>
  <c r="H24" i="20"/>
  <c r="G24" i="20"/>
  <c r="Q55" i="23"/>
  <c r="Q56" i="23"/>
  <c r="F24" i="20" s="1"/>
  <c r="M57" i="23"/>
  <c r="Q57" i="23"/>
  <c r="Q49" i="23"/>
  <c r="F21" i="20" s="1"/>
  <c r="Q50" i="23"/>
  <c r="Q54" i="23"/>
  <c r="P42" i="23"/>
  <c r="Y35" i="23" s="1"/>
  <c r="Y36" i="23" s="1"/>
  <c r="Z36" i="23" s="1"/>
  <c r="P74" i="23"/>
  <c r="O74" i="23"/>
  <c r="Y34" i="23"/>
  <c r="Y33" i="23"/>
  <c r="K57" i="23"/>
  <c r="F33" i="18"/>
  <c r="F34" i="18" s="1"/>
  <c r="G33" i="18"/>
  <c r="G34" i="18" s="1"/>
  <c r="G30" i="18"/>
  <c r="G32" i="18" s="1"/>
  <c r="F30" i="18"/>
  <c r="F32" i="18" s="1"/>
  <c r="G30" i="17"/>
  <c r="J30" i="17" s="1"/>
  <c r="E73" i="9"/>
  <c r="G72" i="9"/>
  <c r="F72" i="9"/>
  <c r="G28" i="17"/>
  <c r="H28" i="17" s="1"/>
  <c r="H34" i="17" s="1"/>
  <c r="E27" i="34" s="1"/>
  <c r="G31" i="13"/>
  <c r="I30" i="13"/>
  <c r="G30" i="13"/>
  <c r="J29" i="13"/>
  <c r="G29" i="13"/>
  <c r="G28" i="13"/>
  <c r="G27" i="13"/>
  <c r="G26" i="13"/>
  <c r="G25" i="13"/>
  <c r="G24" i="13"/>
  <c r="G23" i="13"/>
  <c r="G22" i="13"/>
  <c r="G21" i="13"/>
  <c r="G20" i="13"/>
  <c r="G19" i="13"/>
  <c r="G18" i="13"/>
  <c r="G17" i="13"/>
  <c r="G16" i="13"/>
  <c r="J15" i="15"/>
  <c r="L17" i="15"/>
  <c r="E26" i="9"/>
  <c r="E17" i="15" s="1"/>
  <c r="M17" i="15" s="1"/>
  <c r="E28" i="15" s="1"/>
  <c r="E17" i="9"/>
  <c r="E15" i="15" s="1"/>
  <c r="O29" i="13"/>
  <c r="N29" i="13"/>
  <c r="J15" i="38"/>
  <c r="J22" i="38"/>
  <c r="J25" i="38"/>
  <c r="G81" i="36"/>
  <c r="G67" i="36"/>
  <c r="F35" i="7"/>
  <c r="G35" i="7"/>
  <c r="F20" i="3"/>
  <c r="F19" i="3"/>
  <c r="G34" i="37"/>
  <c r="J94" i="18"/>
  <c r="F94" i="18"/>
  <c r="G68" i="18"/>
  <c r="F68" i="18"/>
  <c r="H65" i="18"/>
  <c r="I65" i="18"/>
  <c r="I54" i="18"/>
  <c r="H54" i="18"/>
  <c r="G54" i="18"/>
  <c r="F54" i="18"/>
  <c r="H50" i="18"/>
  <c r="I50" i="18"/>
  <c r="I39" i="18"/>
  <c r="H39" i="18"/>
  <c r="G39" i="18"/>
  <c r="F39" i="18"/>
  <c r="I30" i="18"/>
  <c r="H30" i="18"/>
  <c r="I16" i="18"/>
  <c r="H16" i="18"/>
  <c r="E54" i="9"/>
  <c r="E52" i="9" s="1"/>
  <c r="E57" i="9"/>
  <c r="E60" i="9"/>
  <c r="E66" i="9"/>
  <c r="E65" i="9" s="1"/>
  <c r="E75" i="9"/>
  <c r="E82" i="9"/>
  <c r="E90" i="9"/>
  <c r="E63" i="14"/>
  <c r="E66" i="14"/>
  <c r="E74" i="14"/>
  <c r="E73" i="14"/>
  <c r="E68" i="32"/>
  <c r="G65" i="18"/>
  <c r="G36" i="37" s="1"/>
  <c r="L36" i="37" s="1"/>
  <c r="G30" i="7"/>
  <c r="J39" i="25"/>
  <c r="J40" i="25"/>
  <c r="J41" i="25"/>
  <c r="J42" i="25"/>
  <c r="J43" i="25"/>
  <c r="J44" i="25"/>
  <c r="F53" i="25"/>
  <c r="J51" i="17"/>
  <c r="J52" i="17"/>
  <c r="J53" i="17"/>
  <c r="J54" i="17"/>
  <c r="J55" i="17"/>
  <c r="J56" i="17"/>
  <c r="J57" i="17"/>
  <c r="J58" i="17"/>
  <c r="G32" i="37" s="1"/>
  <c r="J27" i="17"/>
  <c r="J29" i="17"/>
  <c r="J31" i="17"/>
  <c r="J32" i="17"/>
  <c r="J33" i="17"/>
  <c r="J42" i="17"/>
  <c r="J43" i="17"/>
  <c r="J44" i="17"/>
  <c r="J45" i="17"/>
  <c r="J46" i="17"/>
  <c r="J47" i="17"/>
  <c r="J48" i="17"/>
  <c r="J18" i="17"/>
  <c r="J25" i="17" s="1"/>
  <c r="G29" i="37" s="1"/>
  <c r="J19" i="17"/>
  <c r="J20" i="17"/>
  <c r="J21" i="17"/>
  <c r="J22" i="17"/>
  <c r="J23" i="17"/>
  <c r="J24" i="17"/>
  <c r="G30" i="9"/>
  <c r="M18" i="15"/>
  <c r="E29" i="15" s="1"/>
  <c r="M29" i="15" s="1"/>
  <c r="M19" i="15"/>
  <c r="E30" i="15"/>
  <c r="M30" i="15" s="1"/>
  <c r="G75" i="9"/>
  <c r="G82" i="9"/>
  <c r="G54" i="9"/>
  <c r="G52" i="9" s="1"/>
  <c r="G50" i="9" s="1"/>
  <c r="E69" i="32" s="1"/>
  <c r="G57" i="9"/>
  <c r="G60" i="9"/>
  <c r="G66" i="9"/>
  <c r="G65" i="9" s="1"/>
  <c r="G90" i="9"/>
  <c r="H95" i="12" s="1"/>
  <c r="F54" i="9"/>
  <c r="F52" i="9" s="1"/>
  <c r="F50" i="9" s="1"/>
  <c r="F94" i="9" s="1"/>
  <c r="F57" i="9"/>
  <c r="F60" i="9"/>
  <c r="F66" i="9"/>
  <c r="F65" i="9" s="1"/>
  <c r="F75" i="9"/>
  <c r="F82" i="9"/>
  <c r="F90" i="9"/>
  <c r="O31" i="3"/>
  <c r="S74" i="23"/>
  <c r="Q51" i="23"/>
  <c r="Q52" i="23"/>
  <c r="Q53" i="23"/>
  <c r="Q58" i="23"/>
  <c r="Q59" i="23"/>
  <c r="Q60" i="23"/>
  <c r="Q61" i="23"/>
  <c r="Q62" i="23"/>
  <c r="Q63" i="23"/>
  <c r="Q64" i="23"/>
  <c r="Q65" i="23"/>
  <c r="Q66" i="23"/>
  <c r="Q67" i="23"/>
  <c r="Q68" i="23"/>
  <c r="Q69" i="23"/>
  <c r="Q70" i="23"/>
  <c r="Q71" i="23"/>
  <c r="Q72" i="23"/>
  <c r="Q73" i="23"/>
  <c r="L42" i="23"/>
  <c r="F37" i="37" s="1"/>
  <c r="K37" i="37" s="1"/>
  <c r="L74" i="23"/>
  <c r="N74" i="23"/>
  <c r="M74" i="23"/>
  <c r="K74" i="23"/>
  <c r="Q48" i="23"/>
  <c r="P48" i="23"/>
  <c r="O48" i="23"/>
  <c r="N48" i="23"/>
  <c r="M48" i="23"/>
  <c r="L48" i="23"/>
  <c r="I46" i="13"/>
  <c r="F31" i="15"/>
  <c r="G53" i="13"/>
  <c r="G51" i="13"/>
  <c r="F49" i="13"/>
  <c r="G22" i="7"/>
  <c r="G55" i="36"/>
  <c r="G85" i="36"/>
  <c r="E42" i="33" s="1"/>
  <c r="E39" i="34" s="1"/>
  <c r="E42" i="32" s="1"/>
  <c r="G84" i="36"/>
  <c r="J14" i="38"/>
  <c r="J16" i="38"/>
  <c r="J17" i="38"/>
  <c r="J18" i="38"/>
  <c r="J19" i="38"/>
  <c r="J20" i="38"/>
  <c r="J21" i="38"/>
  <c r="J23" i="38"/>
  <c r="J24" i="38"/>
  <c r="J26" i="38"/>
  <c r="J27" i="38"/>
  <c r="J28" i="38"/>
  <c r="J29" i="38"/>
  <c r="J30" i="38"/>
  <c r="J31" i="38"/>
  <c r="J32" i="38"/>
  <c r="J33" i="38"/>
  <c r="J34" i="38"/>
  <c r="J35" i="38"/>
  <c r="J36" i="38"/>
  <c r="J37" i="38"/>
  <c r="J38" i="38"/>
  <c r="J39" i="38"/>
  <c r="J40" i="38"/>
  <c r="J41" i="38"/>
  <c r="J42" i="38"/>
  <c r="J43" i="38"/>
  <c r="J48" i="38"/>
  <c r="D44" i="38"/>
  <c r="D9" i="38"/>
  <c r="N6" i="38"/>
  <c r="I31" i="3"/>
  <c r="I15" i="3"/>
  <c r="O15" i="3"/>
  <c r="I15" i="20"/>
  <c r="P16" i="23"/>
  <c r="K46" i="13"/>
  <c r="J46" i="13"/>
  <c r="L46" i="13"/>
  <c r="M46" i="13"/>
  <c r="G33" i="9"/>
  <c r="G40" i="9"/>
  <c r="G17" i="9"/>
  <c r="G26" i="9"/>
  <c r="G18" i="14"/>
  <c r="G22" i="14"/>
  <c r="G28" i="14"/>
  <c r="G35" i="14"/>
  <c r="G44" i="14"/>
  <c r="G49" i="14"/>
  <c r="G63" i="14"/>
  <c r="G66" i="14"/>
  <c r="G74" i="14"/>
  <c r="G73" i="14"/>
  <c r="E71" i="32" s="1"/>
  <c r="E30" i="9"/>
  <c r="E33" i="9"/>
  <c r="E40" i="9"/>
  <c r="E18" i="14"/>
  <c r="E22" i="14"/>
  <c r="E28" i="14"/>
  <c r="E35" i="14"/>
  <c r="E44" i="14"/>
  <c r="E49" i="14"/>
  <c r="E43" i="14"/>
  <c r="F17" i="9"/>
  <c r="F26" i="9"/>
  <c r="F30" i="9"/>
  <c r="F33" i="9"/>
  <c r="F40" i="9"/>
  <c r="F18" i="14"/>
  <c r="F22" i="14"/>
  <c r="F28" i="14"/>
  <c r="F35" i="14"/>
  <c r="F44" i="14"/>
  <c r="F49" i="14"/>
  <c r="F43" i="14"/>
  <c r="F63" i="14"/>
  <c r="F66" i="14"/>
  <c r="F74" i="14"/>
  <c r="F73" i="14"/>
  <c r="E47" i="36"/>
  <c r="K32" i="36"/>
  <c r="K36" i="36"/>
  <c r="G16" i="7"/>
  <c r="E18" i="33" s="1"/>
  <c r="E18" i="34" s="1"/>
  <c r="E18" i="32" s="1"/>
  <c r="G27" i="7"/>
  <c r="G34" i="7"/>
  <c r="E34" i="29"/>
  <c r="G43" i="7"/>
  <c r="G59" i="7"/>
  <c r="G52" i="7"/>
  <c r="G55" i="7"/>
  <c r="G51" i="7" s="1"/>
  <c r="G74" i="7" s="1"/>
  <c r="G63" i="7"/>
  <c r="G67" i="7"/>
  <c r="G70" i="7"/>
  <c r="E19" i="33"/>
  <c r="E19" i="34"/>
  <c r="E19" i="32" s="1"/>
  <c r="E25" i="33"/>
  <c r="E29" i="33"/>
  <c r="E33" i="33"/>
  <c r="E33" i="32" s="1"/>
  <c r="E41" i="33"/>
  <c r="E38" i="34" s="1"/>
  <c r="E41" i="32" s="1"/>
  <c r="E47" i="33"/>
  <c r="E51" i="33"/>
  <c r="E55" i="33"/>
  <c r="E55" i="32"/>
  <c r="M42" i="23"/>
  <c r="E28" i="34" s="1"/>
  <c r="E28" i="32" s="1"/>
  <c r="F65" i="18"/>
  <c r="F36" i="37" s="1"/>
  <c r="K36" i="37" s="1"/>
  <c r="M36" i="37" s="1"/>
  <c r="I31" i="15"/>
  <c r="G27" i="37"/>
  <c r="L27" i="37" s="1"/>
  <c r="I20" i="15"/>
  <c r="F27" i="37" s="1"/>
  <c r="K27" i="37" s="1"/>
  <c r="M22" i="15"/>
  <c r="F25" i="37"/>
  <c r="K25" i="37" s="1"/>
  <c r="M16" i="15"/>
  <c r="E27" i="15"/>
  <c r="M27" i="15" s="1"/>
  <c r="G75" i="36"/>
  <c r="F75" i="36"/>
  <c r="F21" i="37" s="1"/>
  <c r="K21" i="37" s="1"/>
  <c r="E75" i="36"/>
  <c r="E21" i="37"/>
  <c r="J21" i="37" s="1"/>
  <c r="M21" i="37" s="1"/>
  <c r="G71" i="36"/>
  <c r="G20" i="37" s="1"/>
  <c r="L20" i="37" s="1"/>
  <c r="E71" i="36"/>
  <c r="E20" i="37"/>
  <c r="J20" i="37" s="1"/>
  <c r="F71" i="36"/>
  <c r="F20" i="37" s="1"/>
  <c r="K20" i="37" s="1"/>
  <c r="G47" i="36"/>
  <c r="F47" i="36"/>
  <c r="F55" i="36"/>
  <c r="K16" i="36"/>
  <c r="K20" i="36"/>
  <c r="K25" i="36"/>
  <c r="E16" i="7"/>
  <c r="E16" i="36"/>
  <c r="E20" i="36"/>
  <c r="E25" i="36"/>
  <c r="E32" i="36"/>
  <c r="E36" i="36"/>
  <c r="F16" i="7"/>
  <c r="H16" i="36"/>
  <c r="H20" i="36"/>
  <c r="H25" i="36"/>
  <c r="H32" i="36"/>
  <c r="H36" i="36"/>
  <c r="F95" i="12"/>
  <c r="G94" i="12"/>
  <c r="E52" i="7"/>
  <c r="E55" i="7"/>
  <c r="E59" i="7"/>
  <c r="E63" i="7"/>
  <c r="E67" i="7"/>
  <c r="E70" i="7"/>
  <c r="E22" i="7"/>
  <c r="E27" i="7"/>
  <c r="E30" i="7"/>
  <c r="E34" i="7"/>
  <c r="E43" i="7"/>
  <c r="F17" i="12"/>
  <c r="F29" i="12"/>
  <c r="F36" i="12"/>
  <c r="F45" i="12"/>
  <c r="F54" i="12"/>
  <c r="F66" i="12"/>
  <c r="F73" i="12"/>
  <c r="F79" i="12"/>
  <c r="F72" i="12"/>
  <c r="F88" i="12" s="1"/>
  <c r="F85" i="12"/>
  <c r="G95" i="12"/>
  <c r="H94" i="12"/>
  <c r="F27" i="7"/>
  <c r="F22" i="7"/>
  <c r="F30" i="7"/>
  <c r="F34" i="7"/>
  <c r="F43" i="7"/>
  <c r="F52" i="7"/>
  <c r="F55" i="7"/>
  <c r="F59" i="7"/>
  <c r="F63" i="7"/>
  <c r="F67" i="7"/>
  <c r="F70" i="7"/>
  <c r="G17" i="12"/>
  <c r="G29" i="12"/>
  <c r="G36" i="12"/>
  <c r="G45" i="12"/>
  <c r="G54" i="12"/>
  <c r="G63" i="12" s="1"/>
  <c r="G66" i="12"/>
  <c r="G73" i="12"/>
  <c r="G79" i="12"/>
  <c r="G72" i="12"/>
  <c r="G85" i="12"/>
  <c r="H17" i="12"/>
  <c r="H29" i="12"/>
  <c r="H36" i="12"/>
  <c r="H45" i="12"/>
  <c r="H54" i="12"/>
  <c r="H63" i="12" s="1"/>
  <c r="H66" i="12"/>
  <c r="H73" i="12"/>
  <c r="H79" i="12"/>
  <c r="H85" i="12"/>
  <c r="L16" i="36"/>
  <c r="L20" i="36"/>
  <c r="L25" i="36"/>
  <c r="L19" i="36" s="1"/>
  <c r="L43" i="36" s="1"/>
  <c r="L32" i="36"/>
  <c r="L31" i="36" s="1"/>
  <c r="L36" i="36"/>
  <c r="I16" i="36"/>
  <c r="I20" i="36"/>
  <c r="I19" i="36" s="1"/>
  <c r="I25" i="36"/>
  <c r="I32" i="36"/>
  <c r="I31" i="36" s="1"/>
  <c r="I30" i="36" s="1"/>
  <c r="I43" i="36" s="1"/>
  <c r="I36" i="36"/>
  <c r="F16" i="36"/>
  <c r="F20" i="36"/>
  <c r="F25" i="36"/>
  <c r="F32" i="36"/>
  <c r="F36" i="36"/>
  <c r="F31" i="36" s="1"/>
  <c r="F30" i="36" s="1"/>
  <c r="F43" i="36" s="1"/>
  <c r="E40" i="29"/>
  <c r="H31" i="15"/>
  <c r="K31" i="15"/>
  <c r="E39" i="29" s="1"/>
  <c r="E38" i="29"/>
  <c r="E37" i="29"/>
  <c r="E36" i="29"/>
  <c r="E32" i="29"/>
  <c r="E21" i="29"/>
  <c r="E22" i="29"/>
  <c r="E23" i="29"/>
  <c r="E24" i="29"/>
  <c r="E26" i="29"/>
  <c r="E27" i="29"/>
  <c r="G79" i="18"/>
  <c r="E29" i="29"/>
  <c r="E25" i="31"/>
  <c r="E26" i="31"/>
  <c r="E28" i="31"/>
  <c r="N42" i="23"/>
  <c r="E47" i="34" s="1"/>
  <c r="E50" i="32" s="1"/>
  <c r="G31" i="15"/>
  <c r="E63" i="32"/>
  <c r="J31" i="15"/>
  <c r="E65" i="32"/>
  <c r="L31" i="15"/>
  <c r="E66" i="32"/>
  <c r="I25" i="17"/>
  <c r="I34" i="17"/>
  <c r="E67" i="32" s="1"/>
  <c r="I49" i="17"/>
  <c r="I58" i="17"/>
  <c r="E16" i="32"/>
  <c r="E17" i="32"/>
  <c r="E24" i="34"/>
  <c r="E24" i="32" s="1"/>
  <c r="E23" i="34"/>
  <c r="E23" i="32" s="1"/>
  <c r="H25" i="17"/>
  <c r="H49" i="17"/>
  <c r="H58" i="17"/>
  <c r="E46" i="32"/>
  <c r="G25" i="17"/>
  <c r="G34" i="17"/>
  <c r="G49" i="17"/>
  <c r="E46" i="34" s="1"/>
  <c r="E48" i="34" s="1"/>
  <c r="G58" i="17"/>
  <c r="O42" i="23"/>
  <c r="G70" i="36"/>
  <c r="F70" i="36"/>
  <c r="E70" i="36"/>
  <c r="M16" i="23"/>
  <c r="K42" i="23"/>
  <c r="Q16" i="23"/>
  <c r="O16" i="23"/>
  <c r="N16" i="23"/>
  <c r="L16" i="23"/>
  <c r="E46" i="13"/>
  <c r="E14" i="37"/>
  <c r="F14" i="37"/>
  <c r="G14" i="37"/>
  <c r="D9" i="37"/>
  <c r="G6" i="37"/>
  <c r="G65" i="36"/>
  <c r="F65" i="36"/>
  <c r="E65" i="36"/>
  <c r="G46" i="36"/>
  <c r="F46" i="36"/>
  <c r="E46" i="36"/>
  <c r="M14" i="36"/>
  <c r="J14" i="36"/>
  <c r="G14" i="36"/>
  <c r="D9" i="36"/>
  <c r="M6" i="36"/>
  <c r="D9" i="34"/>
  <c r="E6" i="34"/>
  <c r="D9" i="33"/>
  <c r="E6" i="33"/>
  <c r="D9" i="32"/>
  <c r="E6" i="32"/>
  <c r="D9" i="31"/>
  <c r="F6" i="31"/>
  <c r="E18" i="29"/>
  <c r="D9" i="29"/>
  <c r="G6" i="29"/>
  <c r="F33" i="28"/>
  <c r="E33" i="28"/>
  <c r="F16" i="28"/>
  <c r="D9" i="28"/>
  <c r="G6" i="28"/>
  <c r="H69" i="27"/>
  <c r="E69" i="27"/>
  <c r="H56" i="27"/>
  <c r="E56" i="27"/>
  <c r="G68" i="27"/>
  <c r="G67" i="27"/>
  <c r="G66" i="27"/>
  <c r="G65" i="27"/>
  <c r="G64" i="27"/>
  <c r="G55" i="27"/>
  <c r="G54" i="27"/>
  <c r="G53" i="27"/>
  <c r="G52" i="27"/>
  <c r="G51" i="27"/>
  <c r="G50" i="27"/>
  <c r="G49" i="27"/>
  <c r="G48" i="27"/>
  <c r="G47" i="27"/>
  <c r="G46" i="27"/>
  <c r="G45" i="27"/>
  <c r="G44" i="27"/>
  <c r="G4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D9" i="27"/>
  <c r="H6" i="27"/>
  <c r="E45" i="25"/>
  <c r="F30" i="25"/>
  <c r="I45" i="25"/>
  <c r="H45" i="25"/>
  <c r="G45" i="25"/>
  <c r="F45" i="25"/>
  <c r="C28" i="25"/>
  <c r="E9" i="25"/>
  <c r="J6" i="25"/>
  <c r="D9" i="23"/>
  <c r="S6" i="23"/>
  <c r="N20" i="21"/>
  <c r="M20" i="21"/>
  <c r="L20" i="21"/>
  <c r="K20" i="21"/>
  <c r="J20" i="21"/>
  <c r="I20" i="21"/>
  <c r="H20" i="21"/>
  <c r="G20" i="21"/>
  <c r="F20" i="21"/>
  <c r="E20" i="21"/>
  <c r="N14" i="21"/>
  <c r="M14" i="21"/>
  <c r="L14" i="21"/>
  <c r="K14" i="21"/>
  <c r="J14" i="21"/>
  <c r="I14" i="21"/>
  <c r="H14" i="21"/>
  <c r="G14" i="21"/>
  <c r="F14" i="21"/>
  <c r="E14" i="21"/>
  <c r="D9" i="21"/>
  <c r="N6" i="21"/>
  <c r="I30" i="20"/>
  <c r="H30" i="20"/>
  <c r="G30" i="20"/>
  <c r="I26" i="20"/>
  <c r="H26" i="20"/>
  <c r="G26" i="20"/>
  <c r="I19" i="20"/>
  <c r="H19" i="20"/>
  <c r="G19" i="20"/>
  <c r="F30" i="20"/>
  <c r="F26" i="20"/>
  <c r="H15" i="20"/>
  <c r="G15" i="20"/>
  <c r="F15" i="20"/>
  <c r="D9" i="20"/>
  <c r="I6" i="20"/>
  <c r="F79" i="18"/>
  <c r="G16" i="18"/>
  <c r="F16" i="18"/>
  <c r="D9" i="18"/>
  <c r="L6" i="18"/>
  <c r="L58" i="17"/>
  <c r="F58" i="17"/>
  <c r="L49" i="17"/>
  <c r="F49" i="17"/>
  <c r="L40" i="17"/>
  <c r="J40" i="17"/>
  <c r="F40" i="17"/>
  <c r="L34" i="17"/>
  <c r="F34" i="17"/>
  <c r="L25" i="17"/>
  <c r="F25" i="17"/>
  <c r="L16" i="17"/>
  <c r="J16" i="17"/>
  <c r="F16" i="17"/>
  <c r="D9" i="17"/>
  <c r="M6" i="17"/>
  <c r="L20" i="15"/>
  <c r="K20" i="15"/>
  <c r="J20" i="15"/>
  <c r="H20" i="15"/>
  <c r="G20" i="15"/>
  <c r="F20" i="15"/>
  <c r="M25" i="15"/>
  <c r="E25" i="15"/>
  <c r="D25" i="15"/>
  <c r="D14" i="15"/>
  <c r="M14" i="15"/>
  <c r="E14" i="15"/>
  <c r="D9" i="15"/>
  <c r="N6" i="15"/>
  <c r="G14" i="14"/>
  <c r="F14" i="14"/>
  <c r="E14" i="14"/>
  <c r="D9" i="14"/>
  <c r="G6" i="14"/>
  <c r="R46" i="13"/>
  <c r="Q46" i="13"/>
  <c r="P46" i="13"/>
  <c r="O46" i="13"/>
  <c r="N46" i="13"/>
  <c r="Q13" i="13"/>
  <c r="Q15" i="13"/>
  <c r="P15" i="13"/>
  <c r="O15" i="13"/>
  <c r="N15" i="13"/>
  <c r="L15" i="13"/>
  <c r="K15" i="13"/>
  <c r="J15" i="13"/>
  <c r="I15" i="13"/>
  <c r="H15" i="13"/>
  <c r="D9" i="13"/>
  <c r="R6" i="13"/>
  <c r="H14" i="12"/>
  <c r="G14" i="12"/>
  <c r="F14" i="12"/>
  <c r="D9" i="12"/>
  <c r="H6" i="12"/>
  <c r="G14" i="9"/>
  <c r="F14" i="9"/>
  <c r="E14" i="9"/>
  <c r="D9" i="9"/>
  <c r="G6" i="9"/>
  <c r="G14" i="7"/>
  <c r="F14" i="7"/>
  <c r="E14" i="7"/>
  <c r="D9" i="7"/>
  <c r="G6" i="7"/>
  <c r="P6" i="3"/>
  <c r="D9" i="3"/>
  <c r="H6" i="1"/>
  <c r="D9" i="1"/>
  <c r="M6" i="4"/>
  <c r="H15" i="1"/>
  <c r="H13" i="1" s="1"/>
  <c r="H72" i="12"/>
  <c r="H88" i="12" s="1"/>
  <c r="G88" i="12"/>
  <c r="J45" i="25"/>
  <c r="F31" i="25" s="1"/>
  <c r="G39" i="37" s="1"/>
  <c r="L39" i="37" s="1"/>
  <c r="M39" i="37" s="1"/>
  <c r="G43" i="14"/>
  <c r="Q74" i="23"/>
  <c r="G38" i="37" s="1"/>
  <c r="L38" i="37" s="1"/>
  <c r="M38" i="37" s="1"/>
  <c r="G50" i="18"/>
  <c r="G35" i="37" s="1"/>
  <c r="L35" i="37" s="1"/>
  <c r="M35" i="37" s="1"/>
  <c r="F50" i="18"/>
  <c r="F35" i="37"/>
  <c r="K35" i="37" s="1"/>
  <c r="J49" i="17"/>
  <c r="G31" i="37"/>
  <c r="E64" i="32"/>
  <c r="E42" i="34"/>
  <c r="E45" i="32" s="1"/>
  <c r="E47" i="32" s="1"/>
  <c r="E33" i="15"/>
  <c r="M33" i="15"/>
  <c r="G26" i="37" s="1"/>
  <c r="L26" i="37" s="1"/>
  <c r="M28" i="15"/>
  <c r="G28" i="37"/>
  <c r="H46" i="13"/>
  <c r="G22" i="37" s="1"/>
  <c r="L22" i="37" s="1"/>
  <c r="M22" i="37" s="1"/>
  <c r="G21" i="37"/>
  <c r="L21" i="37"/>
  <c r="F19" i="37"/>
  <c r="K19" i="37" s="1"/>
  <c r="E20" i="33"/>
  <c r="E20" i="34" s="1"/>
  <c r="E20" i="32" s="1"/>
  <c r="E21" i="32" s="1"/>
  <c r="J44" i="38"/>
  <c r="F61" i="14"/>
  <c r="F86" i="14" s="1"/>
  <c r="G61" i="14"/>
  <c r="F17" i="14"/>
  <c r="F16" i="14" s="1"/>
  <c r="G17" i="14"/>
  <c r="G16" i="14" s="1"/>
  <c r="G16" i="9"/>
  <c r="F26" i="37"/>
  <c r="K26" i="37" s="1"/>
  <c r="M26" i="37" s="1"/>
  <c r="F16" i="9"/>
  <c r="F24" i="37"/>
  <c r="K24" i="37" s="1"/>
  <c r="E39" i="33"/>
  <c r="F19" i="36"/>
  <c r="H19" i="36"/>
  <c r="H43" i="36" s="1"/>
  <c r="F18" i="37" s="1"/>
  <c r="K18" i="37" s="1"/>
  <c r="E31" i="36"/>
  <c r="H31" i="36"/>
  <c r="E19" i="36"/>
  <c r="K31" i="36"/>
  <c r="E18" i="31" s="1"/>
  <c r="E40" i="33"/>
  <c r="E37" i="34" s="1"/>
  <c r="E40" i="32" s="1"/>
  <c r="K19" i="36"/>
  <c r="G19" i="37"/>
  <c r="L19" i="37" s="1"/>
  <c r="E17" i="31"/>
  <c r="F63" i="12"/>
  <c r="E61" i="14"/>
  <c r="E17" i="14"/>
  <c r="E16" i="14" s="1"/>
  <c r="E50" i="9"/>
  <c r="E16" i="9"/>
  <c r="E35" i="29"/>
  <c r="F51" i="7"/>
  <c r="F74" i="7"/>
  <c r="E25" i="29"/>
  <c r="M27" i="37"/>
  <c r="E33" i="29"/>
  <c r="G49" i="7"/>
  <c r="M20" i="37"/>
  <c r="F49" i="7"/>
  <c r="E51" i="7"/>
  <c r="E74" i="7" s="1"/>
  <c r="E76" i="7" s="1"/>
  <c r="E49" i="7"/>
  <c r="E86" i="14"/>
  <c r="J17" i="3"/>
  <c r="J18" i="3" s="1"/>
  <c r="J19" i="3"/>
  <c r="J20" i="3"/>
  <c r="K44" i="38"/>
  <c r="L44" i="38" s="1"/>
  <c r="R74" i="23"/>
  <c r="G37" i="37"/>
  <c r="L37" i="37" s="1"/>
  <c r="M37" i="37" s="1"/>
  <c r="E24" i="31"/>
  <c r="E23" i="31"/>
  <c r="E44" i="34"/>
  <c r="G46" i="13"/>
  <c r="F46" i="13"/>
  <c r="G86" i="14"/>
  <c r="G94" i="9"/>
  <c r="F76" i="7"/>
  <c r="G16" i="12" s="1"/>
  <c r="G42" i="12"/>
  <c r="G92" i="12" s="1"/>
  <c r="F17" i="37" s="1"/>
  <c r="K17" i="37" s="1"/>
  <c r="G76" i="7"/>
  <c r="G15" i="37"/>
  <c r="L15" i="37" s="1"/>
  <c r="G94" i="14" s="1"/>
  <c r="E40" i="36"/>
  <c r="E30" i="36"/>
  <c r="E43" i="36"/>
  <c r="E18" i="37"/>
  <c r="J18" i="37" s="1"/>
  <c r="F40" i="36"/>
  <c r="H40" i="36"/>
  <c r="H30" i="36"/>
  <c r="I40" i="36"/>
  <c r="K40" i="36"/>
  <c r="E21" i="31"/>
  <c r="L40" i="36"/>
  <c r="L30" i="36"/>
  <c r="E55" i="36"/>
  <c r="E19" i="37"/>
  <c r="J19" i="37"/>
  <c r="M19" i="37" s="1"/>
  <c r="E79" i="7" l="1"/>
  <c r="E84" i="7" s="1"/>
  <c r="E16" i="37" s="1"/>
  <c r="J16" i="37" s="1"/>
  <c r="F16" i="12"/>
  <c r="F42" i="12" s="1"/>
  <c r="F92" i="12" s="1"/>
  <c r="E17" i="37" s="1"/>
  <c r="J17" i="37" s="1"/>
  <c r="M17" i="37" s="1"/>
  <c r="M18" i="37"/>
  <c r="F15" i="37"/>
  <c r="K15" i="37" s="1"/>
  <c r="F94" i="14" s="1"/>
  <c r="E21" i="34"/>
  <c r="K30" i="36"/>
  <c r="K43" i="36" s="1"/>
  <c r="G18" i="37" s="1"/>
  <c r="L18" i="37" s="1"/>
  <c r="H16" i="12"/>
  <c r="H42" i="12" s="1"/>
  <c r="H92" i="12" s="1"/>
  <c r="G17" i="37" s="1"/>
  <c r="L17" i="37" s="1"/>
  <c r="G79" i="7"/>
  <c r="G84" i="7" s="1"/>
  <c r="E16" i="31"/>
  <c r="E33" i="31"/>
  <c r="E21" i="33"/>
  <c r="E31" i="33" s="1"/>
  <c r="E35" i="33" s="1"/>
  <c r="E31" i="29"/>
  <c r="E49" i="32"/>
  <c r="E51" i="32" s="1"/>
  <c r="E25" i="32"/>
  <c r="E31" i="32" s="1"/>
  <c r="E35" i="32" s="1"/>
  <c r="E62" i="32"/>
  <c r="E61" i="32" s="1"/>
  <c r="F35" i="18"/>
  <c r="F33" i="37" s="1"/>
  <c r="K33" i="37" s="1"/>
  <c r="M33" i="37" s="1"/>
  <c r="F19" i="20"/>
  <c r="G24" i="37"/>
  <c r="L24" i="37" s="1"/>
  <c r="M24" i="37" s="1"/>
  <c r="M15" i="15"/>
  <c r="E20" i="15"/>
  <c r="G35" i="18"/>
  <c r="G33" i="37" s="1"/>
  <c r="L33" i="37" s="1"/>
  <c r="E70" i="32"/>
  <c r="E36" i="34"/>
  <c r="E43" i="33"/>
  <c r="E53" i="33" s="1"/>
  <c r="E57" i="33" s="1"/>
  <c r="F18" i="31"/>
  <c r="F79" i="7"/>
  <c r="F84" i="7" s="1"/>
  <c r="F16" i="37" s="1"/>
  <c r="K16" i="37" s="1"/>
  <c r="E94" i="9"/>
  <c r="E15" i="37" s="1"/>
  <c r="J15" i="37" s="1"/>
  <c r="G25" i="37"/>
  <c r="L25" i="37" s="1"/>
  <c r="M25" i="37" s="1"/>
  <c r="E29" i="34"/>
  <c r="E27" i="32"/>
  <c r="E29" i="32" s="1"/>
  <c r="E25" i="34"/>
  <c r="F34" i="37"/>
  <c r="E28" i="29"/>
  <c r="E20" i="29" s="1"/>
  <c r="E45" i="29" s="1"/>
  <c r="J28" i="17"/>
  <c r="J34" i="17" s="1"/>
  <c r="G30" i="37" s="1"/>
  <c r="M15" i="37" l="1"/>
  <c r="E94" i="14"/>
  <c r="G16" i="37"/>
  <c r="L16" i="37" s="1"/>
  <c r="E39" i="32"/>
  <c r="E43" i="32" s="1"/>
  <c r="E53" i="32" s="1"/>
  <c r="E57" i="32" s="1"/>
  <c r="E59" i="32" s="1"/>
  <c r="E73" i="32" s="1"/>
  <c r="E40" i="34"/>
  <c r="E50" i="34" s="1"/>
  <c r="F23" i="37"/>
  <c r="K23" i="37" s="1"/>
  <c r="M20" i="15"/>
  <c r="E26" i="15"/>
  <c r="E59" i="33"/>
  <c r="G41" i="37" s="1"/>
  <c r="L41" i="37" s="1"/>
  <c r="M41" i="37" s="1"/>
  <c r="M16" i="37"/>
  <c r="F29" i="31"/>
  <c r="F33" i="31"/>
  <c r="F28" i="31"/>
  <c r="F30" i="31"/>
  <c r="F26" i="31"/>
  <c r="F19" i="31"/>
  <c r="F31" i="31"/>
  <c r="F25" i="31"/>
  <c r="F17" i="31"/>
  <c r="F24" i="31"/>
  <c r="F23" i="31"/>
  <c r="F16" i="31"/>
  <c r="E31" i="34"/>
  <c r="F21" i="31"/>
  <c r="E31" i="15" l="1"/>
  <c r="M26" i="15"/>
  <c r="G23" i="37" l="1"/>
  <c r="L23" i="37" s="1"/>
  <c r="M23" i="37" s="1"/>
  <c r="M31" i="15"/>
</calcChain>
</file>

<file path=xl/sharedStrings.xml><?xml version="1.0" encoding="utf-8"?>
<sst xmlns="http://schemas.openxmlformats.org/spreadsheetml/2006/main" count="1876" uniqueCount="1042">
  <si>
    <t xml:space="preserve"> PRESUPUESTO GENERAL</t>
  </si>
  <si>
    <t xml:space="preserve"> PROGRAMA DE ACTUACIÓN, INVERSIONES Y FINANCIACIÓN (PAIF)</t>
  </si>
  <si>
    <t xml:space="preserve"> ENTIDAD:</t>
  </si>
  <si>
    <t>a) Por el Cabildo Insular de Tenerife o sus Entes Dependientes</t>
  </si>
  <si>
    <t>b) Por otras Administraciones Públicas</t>
  </si>
  <si>
    <t>Nombre</t>
  </si>
  <si>
    <t>Cargo</t>
  </si>
  <si>
    <t>Fecha nombramiento:</t>
  </si>
  <si>
    <t>Vocal 1</t>
  </si>
  <si>
    <t>Vocal 2</t>
  </si>
  <si>
    <t>Vocal 3</t>
  </si>
  <si>
    <t>Vocal 4</t>
  </si>
  <si>
    <t>Vocal 5</t>
  </si>
  <si>
    <t>Vocal 6</t>
  </si>
  <si>
    <t>Vocal 7</t>
  </si>
  <si>
    <t>Vocal 8</t>
  </si>
  <si>
    <t>Vocal 9</t>
  </si>
  <si>
    <t>Vocal 10</t>
  </si>
  <si>
    <t>Vocal 11</t>
  </si>
  <si>
    <t>Vocal 12</t>
  </si>
  <si>
    <t>Razón Social</t>
  </si>
  <si>
    <t>NIF</t>
  </si>
  <si>
    <t>% Participación</t>
  </si>
  <si>
    <t>Incremento en la participación</t>
  </si>
  <si>
    <t>Incremento en el nº de acciones</t>
  </si>
  <si>
    <t>Reducciones en la participación</t>
  </si>
  <si>
    <t>Reducciones en el nº de acciones</t>
  </si>
  <si>
    <t>b) PARTICIPACIONES EN OTRAS ENTIDADES</t>
  </si>
  <si>
    <t>Desembolsos pendientes</t>
  </si>
  <si>
    <t>c) AUDITORES DE CUENTAS</t>
  </si>
  <si>
    <t>Nombre ó Razón Social</t>
  </si>
  <si>
    <t>Área de Presidencia</t>
  </si>
  <si>
    <t>Dirección Insular de Hacienda</t>
  </si>
  <si>
    <t xml:space="preserve"> DATOS GENERALES E ÍNDICE</t>
  </si>
  <si>
    <t xml:space="preserve">  Entidad:</t>
  </si>
  <si>
    <t xml:space="preserve">  Ejercicio:</t>
  </si>
  <si>
    <t>Letrado Asesor</t>
  </si>
  <si>
    <t>FC-1</t>
  </si>
  <si>
    <t>Órganos de Gobierno</t>
  </si>
  <si>
    <t xml:space="preserve">FC-2 </t>
  </si>
  <si>
    <t>Accionistas</t>
  </si>
  <si>
    <t>FC-3</t>
  </si>
  <si>
    <t>Cuenta de Pérdidas y Ganancias</t>
  </si>
  <si>
    <t>FC-4</t>
  </si>
  <si>
    <t>FC-5</t>
  </si>
  <si>
    <t>Estado de Flujos de Efectivo</t>
  </si>
  <si>
    <t>FC-6</t>
  </si>
  <si>
    <t>FC-3.1</t>
  </si>
  <si>
    <t>Información adicional Cuenta de Pérdidas y Ganancias</t>
  </si>
  <si>
    <t>Inversiones reales</t>
  </si>
  <si>
    <t>FC-7</t>
  </si>
  <si>
    <t>Inversiones no financieras</t>
  </si>
  <si>
    <t>FC-8</t>
  </si>
  <si>
    <t>Inversiones financieras</t>
  </si>
  <si>
    <t>FC-9</t>
  </si>
  <si>
    <t>Transferencias y subvenciones</t>
  </si>
  <si>
    <t>FC-10</t>
  </si>
  <si>
    <t>Deuda viva y previsión de vencimientos de deuda</t>
  </si>
  <si>
    <t>FC-11</t>
  </si>
  <si>
    <t>Perfíl de vencimientos de deuda a 10 años</t>
  </si>
  <si>
    <t>FC-12</t>
  </si>
  <si>
    <t>FC-13</t>
  </si>
  <si>
    <t>Personal</t>
  </si>
  <si>
    <t>FC-16</t>
  </si>
  <si>
    <t>Operaciones internas</t>
  </si>
  <si>
    <t>Encomiendas</t>
  </si>
  <si>
    <t>Estabilidad presupuestaria</t>
  </si>
  <si>
    <t>ÍNDICE</t>
  </si>
  <si>
    <t>FC-90</t>
  </si>
  <si>
    <t>Fuentes de financiación</t>
  </si>
  <si>
    <t>FC-91</t>
  </si>
  <si>
    <t>Comprobación estructura presupuestaria</t>
  </si>
  <si>
    <t>FC-92</t>
  </si>
  <si>
    <t>Presupuesto</t>
  </si>
  <si>
    <t>FC-93</t>
  </si>
  <si>
    <t>Presupuesto CPyG</t>
  </si>
  <si>
    <t>ÓRGANOS DE GOBIERNO DE LA ENTIDAD</t>
  </si>
  <si>
    <t>Cabildo Insular de Tenerife</t>
  </si>
  <si>
    <t>Plaza de España, S/N</t>
  </si>
  <si>
    <t>38003 Santa Cruz de Tenerife</t>
  </si>
  <si>
    <t>Teléfono: 901 501 901</t>
  </si>
  <si>
    <t>www.tenerife.es</t>
  </si>
  <si>
    <t>GENERAL</t>
  </si>
  <si>
    <t>ACCIONISTAS, PARTICIPACIONES EN OTRAS ENTIDADES Y AUDITORES DE CUENTAS</t>
  </si>
  <si>
    <t>FC-2</t>
  </si>
  <si>
    <t>CUENTA DE PÉRDIDAS Y GANANCIAS</t>
  </si>
  <si>
    <t>A)</t>
  </si>
  <si>
    <t>OPERACIONES CONTINUADAS</t>
  </si>
  <si>
    <t>1.</t>
  </si>
  <si>
    <t>a)</t>
  </si>
  <si>
    <t>Ventas</t>
  </si>
  <si>
    <t>b)</t>
  </si>
  <si>
    <t>Prestaciones de servicios</t>
  </si>
  <si>
    <t>c)</t>
  </si>
  <si>
    <t>Ingresos de carácter financiero de las sociedades holding</t>
  </si>
  <si>
    <t>2.</t>
  </si>
  <si>
    <t>Variación de existencias de productos terminados y en curso de fabricación</t>
  </si>
  <si>
    <t>3.</t>
  </si>
  <si>
    <t>Trabajos realizados por la empresa para su activo</t>
  </si>
  <si>
    <t>4.</t>
  </si>
  <si>
    <t>Aprovisionamientos</t>
  </si>
  <si>
    <t>Consumo de mercaderías</t>
  </si>
  <si>
    <t>Consumo de materias primas y otros materiales consumibles</t>
  </si>
  <si>
    <t>Trabajos realizados por otras empresas</t>
  </si>
  <si>
    <t>d)</t>
  </si>
  <si>
    <t>Deterioro de mercaderías, materias primas y otros aprovisionamientos</t>
  </si>
  <si>
    <t xml:space="preserve">5. </t>
  </si>
  <si>
    <t>Ingresos accesorios y otros de gestión corriente</t>
  </si>
  <si>
    <t>Subvenciones de explotación incorporadas al resultado del ejercicio</t>
  </si>
  <si>
    <t>6.</t>
  </si>
  <si>
    <t>Gastos de personal</t>
  </si>
  <si>
    <t>Sueldos, salarios y asimilados</t>
  </si>
  <si>
    <t>Cargas sociales</t>
  </si>
  <si>
    <t>Provisiones</t>
  </si>
  <si>
    <t>7.</t>
  </si>
  <si>
    <t>Otros gastos de explotación</t>
  </si>
  <si>
    <t>Servicios exteriores</t>
  </si>
  <si>
    <t>Tributos</t>
  </si>
  <si>
    <t>Pérdidas, deterioro y variación de provisiones por operaciones comerciales</t>
  </si>
  <si>
    <t>Otros gastos de gestión corriente</t>
  </si>
  <si>
    <t>e)</t>
  </si>
  <si>
    <t>Gastos por emisión de gases de efecto invernadero</t>
  </si>
  <si>
    <t>8.</t>
  </si>
  <si>
    <t>Amortización del inmovilizado</t>
  </si>
  <si>
    <t>9.</t>
  </si>
  <si>
    <t>Imputación de subvenciones de inmovilizado no financiero y otras</t>
  </si>
  <si>
    <t>10.</t>
  </si>
  <si>
    <t>Excesos de provisiones</t>
  </si>
  <si>
    <t>11.</t>
  </si>
  <si>
    <t>Deteriorio y resultados por enajenaciones del inmovilizado</t>
  </si>
  <si>
    <t>Deterioro y pérdidas</t>
  </si>
  <si>
    <t>Resultados por enajenaciones y otras</t>
  </si>
  <si>
    <t>Deterioro y resultados por enajenaciones del inmovilizado de las sociedades holding</t>
  </si>
  <si>
    <t>12.</t>
  </si>
  <si>
    <t>Diferencia negativa de combinaciones de negocio</t>
  </si>
  <si>
    <t>13.</t>
  </si>
  <si>
    <t>A1)</t>
  </si>
  <si>
    <t>RESULTADO DE EXPLOTACIÓN (1+2+3+4+5+6+7+8+9+10+11+12+13)</t>
  </si>
  <si>
    <t>14.</t>
  </si>
  <si>
    <t>Ingresos financieros</t>
  </si>
  <si>
    <t>De participaciones en instrumentos de patrimonio</t>
  </si>
  <si>
    <t>a1)</t>
  </si>
  <si>
    <t>En empresas del grupo y asociadas</t>
  </si>
  <si>
    <t>a2)</t>
  </si>
  <si>
    <t>En terceros</t>
  </si>
  <si>
    <t>De valores negociables y otros instrumentos financieros</t>
  </si>
  <si>
    <t>b1)</t>
  </si>
  <si>
    <t>De empresas del grupo y asociadas</t>
  </si>
  <si>
    <t>b2)</t>
  </si>
  <si>
    <t>De terceros</t>
  </si>
  <si>
    <t>Imputación de subvenciones, donaciones y legados de carácter financiero</t>
  </si>
  <si>
    <t>15.</t>
  </si>
  <si>
    <t>Gastos financieros</t>
  </si>
  <si>
    <t>Por deudas con empresas del grupo y asociadas</t>
  </si>
  <si>
    <t>Por deudas con terceros</t>
  </si>
  <si>
    <t>Por actualización de provisiones</t>
  </si>
  <si>
    <t>16.</t>
  </si>
  <si>
    <t>Variación de valor razonable en instrumentos financieros</t>
  </si>
  <si>
    <t>Cartera de negociación y otros</t>
  </si>
  <si>
    <t>Imputación al resultado del ejercicio por activos financieros disponibles para la venta</t>
  </si>
  <si>
    <t>17.</t>
  </si>
  <si>
    <t>Diferencias de cambio</t>
  </si>
  <si>
    <t>18.</t>
  </si>
  <si>
    <t>Deterioro y resultado por enajenaciones de instrumentos financieros</t>
  </si>
  <si>
    <t>Deterioros y pérdidas</t>
  </si>
  <si>
    <t>19.</t>
  </si>
  <si>
    <t>Otros ingresos y gastos de carácter financiero</t>
  </si>
  <si>
    <t>Incorporación al activo de gastos financieros</t>
  </si>
  <si>
    <t>Ingresos financieros derivados de convenios de acreedores</t>
  </si>
  <si>
    <t>Resto de ingresos y gastos</t>
  </si>
  <si>
    <t>A2)</t>
  </si>
  <si>
    <t>RESULTADO FINANCIERO (14+15+16+17+18+19)</t>
  </si>
  <si>
    <t>A3)</t>
  </si>
  <si>
    <t>RESULTADO ANTES DE IMPUESTOS (A1+A2)</t>
  </si>
  <si>
    <t>20.</t>
  </si>
  <si>
    <t>Impuesto sobre beneficios</t>
  </si>
  <si>
    <t>A4)</t>
  </si>
  <si>
    <t>B)</t>
  </si>
  <si>
    <t>OPERACIONES INTERRUMPIDAS</t>
  </si>
  <si>
    <t>21.</t>
  </si>
  <si>
    <t>Resultado procedente de operaciones interrumpidas neto de impuestos</t>
  </si>
  <si>
    <t>A5)</t>
  </si>
  <si>
    <t>RESULTADO DEL EJERCICIO (A4+21)</t>
  </si>
  <si>
    <t>Real</t>
  </si>
  <si>
    <t>Estimación</t>
  </si>
  <si>
    <t>Previsión</t>
  </si>
  <si>
    <t>RESULTADOS EJERC. PROCEDENTES ACTIVIDADES CONTINUADAS (A3+20)</t>
  </si>
  <si>
    <t xml:space="preserve">A) </t>
  </si>
  <si>
    <t>ACTIVO NO CORRIENTE</t>
  </si>
  <si>
    <t>I.</t>
  </si>
  <si>
    <t>Inmovilizado intangible</t>
  </si>
  <si>
    <t>Desarrollo</t>
  </si>
  <si>
    <t>Concesiones</t>
  </si>
  <si>
    <t>Patentes, licencias, marcas y similares</t>
  </si>
  <si>
    <t>Fondo de comercio</t>
  </si>
  <si>
    <t>5.</t>
  </si>
  <si>
    <t>Aplicaciones informáticas</t>
  </si>
  <si>
    <t>Investigación</t>
  </si>
  <si>
    <t>Otros inmovilizado intangible</t>
  </si>
  <si>
    <t>II.</t>
  </si>
  <si>
    <t>Inmovilizado material</t>
  </si>
  <si>
    <t>Terrenos y construcciones</t>
  </si>
  <si>
    <t>Instalaciones técnicas y otro inmovilizado material</t>
  </si>
  <si>
    <t>Inmovilizado en curso y anticipos</t>
  </si>
  <si>
    <t>III.</t>
  </si>
  <si>
    <t>Inversiones inmobiliarias</t>
  </si>
  <si>
    <t>Terrenos</t>
  </si>
  <si>
    <t>Construcciones</t>
  </si>
  <si>
    <t>IV.</t>
  </si>
  <si>
    <t>Inversiones en empresas del grupo y asociadas a largo plazo</t>
  </si>
  <si>
    <t>Instrumentos de patrimonio</t>
  </si>
  <si>
    <t>Créditos a empresas</t>
  </si>
  <si>
    <t>Valores representativos de deuda</t>
  </si>
  <si>
    <t>Derivados</t>
  </si>
  <si>
    <t>Otros activos financieros</t>
  </si>
  <si>
    <t>Otras inversiones</t>
  </si>
  <si>
    <t>V.</t>
  </si>
  <si>
    <t>Inversiones financieras a largo plazo</t>
  </si>
  <si>
    <t>Créditos a terceros</t>
  </si>
  <si>
    <t>VI.</t>
  </si>
  <si>
    <t>Activos por impuesto diferido</t>
  </si>
  <si>
    <t>VII.</t>
  </si>
  <si>
    <t>Deudas comerciales no corrientes</t>
  </si>
  <si>
    <t>ACTIVO CORRIENTE</t>
  </si>
  <si>
    <t>Activos no corrientes mantenidos para la venta</t>
  </si>
  <si>
    <t>Existencias</t>
  </si>
  <si>
    <t>Comerciales</t>
  </si>
  <si>
    <t>Materias primas y otros aprovisionamientos</t>
  </si>
  <si>
    <t>Productos en curso</t>
  </si>
  <si>
    <t>De ciclo largo de producción</t>
  </si>
  <si>
    <t>De ciclo corto de producción</t>
  </si>
  <si>
    <t>Productos terminados</t>
  </si>
  <si>
    <t>Subproductos, residuos y materiales recuperados</t>
  </si>
  <si>
    <t>Anticipos a proveedores</t>
  </si>
  <si>
    <t>Deudores comerciales y otras cuentas a cobrar</t>
  </si>
  <si>
    <t>Clientes por ventas y prestaciones de servicios</t>
  </si>
  <si>
    <t>Clientes por ventas y prestaciones de servicios a largo plazo</t>
  </si>
  <si>
    <t>Clientes por ventas y prestaciones de servicios a corto plazo</t>
  </si>
  <si>
    <t>Clientes empresas del grupo y asociadas</t>
  </si>
  <si>
    <t>Deudores varios</t>
  </si>
  <si>
    <t>Activos por impuesto corriente</t>
  </si>
  <si>
    <t>Otros créditos con las administraciones públicas</t>
  </si>
  <si>
    <t>Accionistas (socios) por desembolsos exigidos</t>
  </si>
  <si>
    <t>Inversiones en empresas del grupo y asociadas a corto plazo</t>
  </si>
  <si>
    <t>Inversiones financieras a corto plazo</t>
  </si>
  <si>
    <t>Periodificaciones a corto plazo</t>
  </si>
  <si>
    <t>Efectivo y otros activos líquidos equivalentes</t>
  </si>
  <si>
    <t>Tesorería</t>
  </si>
  <si>
    <t>Otros activos líquidos equivalentes</t>
  </si>
  <si>
    <t>Propiedad intelectual</t>
  </si>
  <si>
    <t>ACTIVO</t>
  </si>
  <si>
    <t>Materias primas y otros aprovisionamientos a largo plazo</t>
  </si>
  <si>
    <t>Materias primas y otros aprovisionamientos a corto plazo</t>
  </si>
  <si>
    <t xml:space="preserve">      TOTAL ACTIVO (A+B)</t>
  </si>
  <si>
    <t>BALANCE DE SITUACIÓN - ACTIVO</t>
  </si>
  <si>
    <t>BALANCE DE SITUACIÓN - PATRIMONIO NETO Y PASIVO</t>
  </si>
  <si>
    <t>PATRIMONIO NETO</t>
  </si>
  <si>
    <t>Fondos propios</t>
  </si>
  <si>
    <t>Capital</t>
  </si>
  <si>
    <t>Capital escriturado</t>
  </si>
  <si>
    <t>(Capital no exigido)</t>
  </si>
  <si>
    <t>Prima de emisión</t>
  </si>
  <si>
    <t>Reservas</t>
  </si>
  <si>
    <t>Legal y estatutarias</t>
  </si>
  <si>
    <t>Otras reservas</t>
  </si>
  <si>
    <t>Reserva de revalorización</t>
  </si>
  <si>
    <t>(Acciones y participaciones en patrimonio propias)</t>
  </si>
  <si>
    <t>Resultados de ejercicios anteriores</t>
  </si>
  <si>
    <t>Remanente</t>
  </si>
  <si>
    <t>(Resultados negativos de ejercicios anteriores)</t>
  </si>
  <si>
    <t>Otras aportaciones de socios</t>
  </si>
  <si>
    <t>Resultado del ejercicio</t>
  </si>
  <si>
    <t>VIII.</t>
  </si>
  <si>
    <t>(Dividendo a cuenta)</t>
  </si>
  <si>
    <t>IX.</t>
  </si>
  <si>
    <t>Otros instrumentos de patrimonio neto</t>
  </si>
  <si>
    <t>Ajustes por cambios de valor</t>
  </si>
  <si>
    <t>Activos financieros disponibles para la venta</t>
  </si>
  <si>
    <t>Operaciones de cobertura</t>
  </si>
  <si>
    <t>Activos no corrientes y pasivos vinculados, mantenidos para la venta</t>
  </si>
  <si>
    <t>Diferencia de conversión</t>
  </si>
  <si>
    <t>Otros</t>
  </si>
  <si>
    <t>Subvenciones, donaciones y legados recibidos</t>
  </si>
  <si>
    <t xml:space="preserve">B) </t>
  </si>
  <si>
    <t>PASIVO NO CORRIENTE</t>
  </si>
  <si>
    <t>Provisiones a largo plazo</t>
  </si>
  <si>
    <t>Obligaciones por prestaciones a largo plazo al personal</t>
  </si>
  <si>
    <t>Actuaciones medioambientales</t>
  </si>
  <si>
    <t>Provisiones por reestructuración</t>
  </si>
  <si>
    <t>Otras provisiones</t>
  </si>
  <si>
    <t>Deudas a largo plazo</t>
  </si>
  <si>
    <t>Obligaciones y otros valores negociales</t>
  </si>
  <si>
    <t>Deudas con entidades de crédito</t>
  </si>
  <si>
    <t>Acreedores por arrendamiento financiero</t>
  </si>
  <si>
    <t>Otros pasivos financieros</t>
  </si>
  <si>
    <t>Deudas con empresas del grupo y asociadas a largo plazo</t>
  </si>
  <si>
    <t>Pasivos por impuesto diferido</t>
  </si>
  <si>
    <t>Periodificaciones a largo plazo</t>
  </si>
  <si>
    <t>Acreedores comerciales no corrientes</t>
  </si>
  <si>
    <t>Deuda con características especiales a largo plazo</t>
  </si>
  <si>
    <t>C)</t>
  </si>
  <si>
    <t>PASIVO CORRIENTE</t>
  </si>
  <si>
    <t>Pasivos vinculados con activos no corrientes mantenidos para la venta</t>
  </si>
  <si>
    <t>Provisiones a corto plazo</t>
  </si>
  <si>
    <t>Provisiones por derechos de emisión de gases de efecto invernadero</t>
  </si>
  <si>
    <t>Deudas a corto plazo</t>
  </si>
  <si>
    <t>Obligaciones y otros valores negociables</t>
  </si>
  <si>
    <t>Deudas con empresas del grupo y asociadas a corto plazo</t>
  </si>
  <si>
    <t>Acreedores comerciales y otras cuentas a pagar</t>
  </si>
  <si>
    <t>Proveedores</t>
  </si>
  <si>
    <t>Proveedores a largo plazo</t>
  </si>
  <si>
    <t>Proveedores a corto plazo</t>
  </si>
  <si>
    <t>Proveedores, empresas del grupo y asociadas</t>
  </si>
  <si>
    <t>Acreedores varios</t>
  </si>
  <si>
    <t>Personal (remuneraciones pendientes de pago)</t>
  </si>
  <si>
    <t>Pasivos por impuesto corriente</t>
  </si>
  <si>
    <t>Otras deudas con las Administraciones Públicas</t>
  </si>
  <si>
    <t>Anticipos de clientes</t>
  </si>
  <si>
    <t>Deudas con características especiales a corto plazo</t>
  </si>
  <si>
    <t>TOTAL PATRIMONIO NETO Y PASIVO (A+B+C)</t>
  </si>
  <si>
    <t>Reserva de capitalización</t>
  </si>
  <si>
    <t>ESTADO DE FLUJOS DE EFECTIVO</t>
  </si>
  <si>
    <t>A) FLUJOS DE EFECTIVO DE LAS ACTIVIDADES DE EXPLOTACIÓN</t>
  </si>
  <si>
    <t>1. Resultado del ejercicio antes de impuestos</t>
  </si>
  <si>
    <t>2. Ajustes del resultado</t>
  </si>
  <si>
    <t>a) Amortización del inmovilizado (+)</t>
  </si>
  <si>
    <t>b) Correcciones valorativas por deterioro (+/-)</t>
  </si>
  <si>
    <t>c) Variaciones de provisiones (+/-)</t>
  </si>
  <si>
    <t>d) Imputación de subvenciones (-)</t>
  </si>
  <si>
    <t>e) Resultados por bajas y enajenaciones del inmovilizado (+/-)</t>
  </si>
  <si>
    <t>f) Resultados por bajas y enajenaciones de instrumentos financieros (+/-)</t>
  </si>
  <si>
    <t>g) Ingresos financieros (-)</t>
  </si>
  <si>
    <t>h) Gastos financieros (+)</t>
  </si>
  <si>
    <t>i) Diferencias de cambio (+/-)</t>
  </si>
  <si>
    <t>j) Variación de valor razonable en instrumentos financieros (+/-)</t>
  </si>
  <si>
    <t>k) Otros ingresos y gastos (-/+)</t>
  </si>
  <si>
    <t>3. Cambios en el capital corriente</t>
  </si>
  <si>
    <t>a) Existencias (+/-)</t>
  </si>
  <si>
    <t>b) Deudores y otras cuentas a cobrar (+/-)</t>
  </si>
  <si>
    <t>c) Otros activos corrientes (+/-)</t>
  </si>
  <si>
    <t>d) Acreedores y otras cuentas a pagar (+/-)</t>
  </si>
  <si>
    <t>e) Otros pasivos corrientes (+/-)</t>
  </si>
  <si>
    <t>f) Otros activos y pasivos no corrientes (+/-)</t>
  </si>
  <si>
    <t>4. Otros flujos de efectivo de las actividades de explotación</t>
  </si>
  <si>
    <t>a) Pagos de intereses (-)</t>
  </si>
  <si>
    <t>b) Cobro de dividendos (+)</t>
  </si>
  <si>
    <t>c) Cobro de intereses (+)</t>
  </si>
  <si>
    <t>d) Cobros (pagos) por impuesto sobre beneficios (+/-)</t>
  </si>
  <si>
    <t>e) Otros pagos (cobros) (-/+)</t>
  </si>
  <si>
    <t>5. Flujos de efectivo de las actividades de explotación ( 1 + 2 + 3 + 4 )</t>
  </si>
  <si>
    <t>B) FLUJOS DE EFECTIVO DE LAS ACTIVIDADES DE INVERSIÓN</t>
  </si>
  <si>
    <t>6. Pagos por inversiones (-)</t>
  </si>
  <si>
    <t>a) Empresas del grupo y asociadas</t>
  </si>
  <si>
    <t>b) Inmovilizado intangible</t>
  </si>
  <si>
    <t>c) Inmovilizado material</t>
  </si>
  <si>
    <t>d) Inversiones inmobiliarias</t>
  </si>
  <si>
    <t>e) Otros activos financieros</t>
  </si>
  <si>
    <t>f) Activos no corrientes mantenidos para la venta</t>
  </si>
  <si>
    <t>7. Cobros por desinversiones (+)</t>
  </si>
  <si>
    <t>8. Flujos de efectivo de las actividades de inversión ( 6 +7 )</t>
  </si>
  <si>
    <t>C) FLUJOS DE EFECTIVO DE LAS ACTIVIDADES DE FINANCIACIÓN</t>
  </si>
  <si>
    <t>9. Cobros y pagos por instrumentos financieros</t>
  </si>
  <si>
    <t>a) Emisión de instrumentos de patrimonio (+)</t>
  </si>
  <si>
    <t>b) Amortización de instrumentos de patrimonio (-)</t>
  </si>
  <si>
    <t>d) Enajenación de instrumentos de patrimonio propio (+)</t>
  </si>
  <si>
    <t>e) Subvenciones, donaciones y legados recibidos (+)</t>
  </si>
  <si>
    <t>10. Cobros y pagos por instrumentos de pasivo financiero</t>
  </si>
  <si>
    <t>a) Emisión</t>
  </si>
  <si>
    <t>1. Obligaciones y otros valores negociables (+)</t>
  </si>
  <si>
    <t>2. Deudas con entidades de crédito (+)</t>
  </si>
  <si>
    <t>3. Deudas con empresas del grupo y asociadas (+)</t>
  </si>
  <si>
    <t>4. Deudas con características especiales (+)</t>
  </si>
  <si>
    <t>5. Otras deudas (+)</t>
  </si>
  <si>
    <t>b) Devolución y amortización de</t>
  </si>
  <si>
    <t>11. Pagos por dividendos y remuneraciones de otros instrumentos de patrimonio</t>
  </si>
  <si>
    <t>a) Dividendos (-)</t>
  </si>
  <si>
    <t>b) Remuneración de otros instrumentos de patrimonio (-)</t>
  </si>
  <si>
    <t>D) EFECTO DE LAS VARIACIONES DE LOS TIPOS DE CAMBIO</t>
  </si>
  <si>
    <t>Efectivo o equivalentes al final del ejercicio</t>
  </si>
  <si>
    <t xml:space="preserve">    Área de Presidencia</t>
  </si>
  <si>
    <t xml:space="preserve">    Dirección Insular de Hacienda</t>
  </si>
  <si>
    <t>12. Flujos de efectivo de las actividades de financiación ( 9 + 10 + 11)</t>
  </si>
  <si>
    <t>E) AUMENTO / DISMINUCIÓN NETA DEL EFECTIVO O EQUIVALENTES  ( 5+8+12+D )</t>
  </si>
  <si>
    <t>g) Unidades de negocio</t>
  </si>
  <si>
    <t>h) Otros activos</t>
  </si>
  <si>
    <t>Código</t>
  </si>
  <si>
    <t>Denominación</t>
  </si>
  <si>
    <t>Año inicial</t>
  </si>
  <si>
    <t>Año fin</t>
  </si>
  <si>
    <t>Ejecución prevista</t>
  </si>
  <si>
    <t>hasta 31 diciembre</t>
  </si>
  <si>
    <t>Resto</t>
  </si>
  <si>
    <t>Previsión de importe comprometidos a 31-12-</t>
  </si>
  <si>
    <t>TOTALES</t>
  </si>
  <si>
    <t xml:space="preserve">    PATRIMONIO NETO Y PASIVO</t>
  </si>
  <si>
    <t>Intereses</t>
  </si>
  <si>
    <t>(-)Amortización del ejercicio (5)</t>
  </si>
  <si>
    <t>(+/-)Deterioro o Reversión del deterioro (6)</t>
  </si>
  <si>
    <t>(+/-) Otras variaciones (especificar en observaciones) (8)</t>
  </si>
  <si>
    <t>Saldo inicial</t>
  </si>
  <si>
    <t xml:space="preserve">  Inmovilizado Intangible</t>
  </si>
  <si>
    <t xml:space="preserve">  Inmovilizado material (excepto terrenos)</t>
  </si>
  <si>
    <t xml:space="preserve">  Inversiones inmobiliarias (excepto terrenos)</t>
  </si>
  <si>
    <t xml:space="preserve">  Inmovilizado material (terrenos)</t>
  </si>
  <si>
    <t xml:space="preserve">  Inversiones inmobiliarias (terrenos)</t>
  </si>
  <si>
    <t>TOTAL</t>
  </si>
  <si>
    <t xml:space="preserve">  Existencias</t>
  </si>
  <si>
    <t>Variaciones</t>
  </si>
  <si>
    <t>(+/-)Provisión por desmantelamiento (3)</t>
  </si>
  <si>
    <t>(+)Adquisiciones      (2)</t>
  </si>
  <si>
    <t>(+)Intereses capitalizados          (4)</t>
  </si>
  <si>
    <t>(-)Amortización del ejercicio                    (5)</t>
  </si>
  <si>
    <t>(+/-)Deterioro o Reversión del deterioro                   (6)</t>
  </si>
  <si>
    <t>(-) Ventas                   (7)</t>
  </si>
  <si>
    <t xml:space="preserve"> I. Estimación</t>
  </si>
  <si>
    <t>II. Previsión</t>
  </si>
  <si>
    <t>NOTAS</t>
  </si>
  <si>
    <r>
      <t xml:space="preserve">Saldo inicial </t>
    </r>
    <r>
      <rPr>
        <b/>
        <sz val="9"/>
        <color theme="1"/>
        <rFont val="Arial"/>
        <family val="2"/>
      </rPr>
      <t>(1)</t>
    </r>
  </si>
  <si>
    <r>
      <t xml:space="preserve">Saldo final </t>
    </r>
    <r>
      <rPr>
        <b/>
        <sz val="9"/>
        <color theme="1"/>
        <rFont val="Arial"/>
        <family val="2"/>
      </rPr>
      <t>(9)</t>
    </r>
  </si>
  <si>
    <t>OBSERVACIONES (10)</t>
  </si>
  <si>
    <t>INVERSIONES NO FINANCIERAS. Variaciones del inmovilizado y existencias</t>
  </si>
  <si>
    <t>INVERSIONES FINANCIERAS. Variación de las inversiones financieras e instrumentos de patrimonio.</t>
  </si>
  <si>
    <t>Entidad beneficiaria</t>
  </si>
  <si>
    <t>Cuenta</t>
  </si>
  <si>
    <t>de balance</t>
  </si>
  <si>
    <t>Adquisiciones (3)</t>
  </si>
  <si>
    <t>Enajenaciones o reembolsos de préstamos concedidos</t>
  </si>
  <si>
    <t>Pérdidas de valor y otros</t>
  </si>
  <si>
    <t>Porcentaje</t>
  </si>
  <si>
    <t>Dividendo</t>
  </si>
  <si>
    <t>INVERSIONES EN INSTRUMENTOS DE PATRIMONIO (4)</t>
  </si>
  <si>
    <t>RESTO DE INVERSIONES (5)</t>
  </si>
  <si>
    <t>I. INVERSIONES EN EMPRESAS DEL GRUPO Y ASOCIADAS (1)</t>
  </si>
  <si>
    <t>II. INVERSIONES EN OTRAS EMPRESAS (6)</t>
  </si>
  <si>
    <t>INVERSIONES EN INSTRUMENTOS DE PATRIMONIO (9)</t>
  </si>
  <si>
    <t>RESTO DE INVERSIONES (10)</t>
  </si>
  <si>
    <t>(1) INVERSIONES: Inclyue las inversiones financieras, tanto a largo como a corto plazo, que la entidad realiza en entidades del grupo y asociadas con independencia de que la empresa tenga la intención de venderlos en el corto plazo.</t>
  </si>
  <si>
    <t>(2) % PARTICIPACION: poncentaje total de participación que, al final del ejercicio, la entidad posee en la sociedad del grupo o asociada.</t>
  </si>
  <si>
    <t>(3) OBSERVACIONES: se recogera cualquier otra información que se considere relevante relativa a cada operación. En particular, se señalará el importe de los desembolsos pendientes en instrumentos de patrimonio.</t>
  </si>
  <si>
    <t>(4) INVERSIONES EN INSTRUMENTOS DE PATRIMONIO: recoge las inversiones a corto o largo plazo en derechos sobre el patrimonio neto tales como acciones con o sin cotización oficial y otros valores en empresas del grupo o asociadas.</t>
  </si>
  <si>
    <t>(5) RESTO DE INVERSIONES: se incluyen en este apartado el importe de los valores representativos de deuda así como los créditos, tanto a largo como a corto plazo, en entidades del grupo y asociadas.</t>
  </si>
  <si>
    <t>(8) OBSERVACIONES: se recogera cualquier otra información que se considere relevante relativa a cada operación. En particular, se señalará el importe de los desembolsos pendientes en instrumentos de patrimonio.</t>
  </si>
  <si>
    <t>(9) INVERSIONES EN INSTRUMENTOS DE PATRIMONIO: recoge las inversiones a corto o largo plazo en derechos sobre el patrimonio neto tales como acciones con o sin cotización oficial y otros valores en empresas QUE NO SON del grupo  NI asociadas.</t>
  </si>
  <si>
    <t>(10) RESTO DE INVERSIONES: se incluyen en este apartado el importe de los valores representativos de deuda así como los créditos, tanto a largo como a corto plazo, en entidades QUE NO SON del grupo  NI asociadas.</t>
  </si>
  <si>
    <t>I. SUBVENCIONES Y TRANSFERENCIAS.</t>
  </si>
  <si>
    <t>I.1. SUBVENCIONES DE CAPITAL</t>
  </si>
  <si>
    <t>Ente</t>
  </si>
  <si>
    <t>Área</t>
  </si>
  <si>
    <t>ÁREA</t>
  </si>
  <si>
    <t>ECON.</t>
  </si>
  <si>
    <t>PROG.</t>
  </si>
  <si>
    <t xml:space="preserve">TOTAL CONCEDIDAS </t>
  </si>
  <si>
    <t>Menos efecto impositivo de las subvenciones concedidas</t>
  </si>
  <si>
    <t>Menos imputación de subvenciones al resultado del ejercicio</t>
  </si>
  <si>
    <t>Más efecto impositivo de la imputación subvenciones al rtdo. ejercicio</t>
  </si>
  <si>
    <t>SALDO FINAL DE SUBVENCIONES, DONACIONES Y LEGADOS</t>
  </si>
  <si>
    <t>DEUDA VIVA Y PREVISIÓN DE VENCIMIENTOS DE DEUDA</t>
  </si>
  <si>
    <t>Concepto</t>
  </si>
  <si>
    <t>Deuda viva</t>
  </si>
  <si>
    <t>a 31 dic.</t>
  </si>
  <si>
    <t>ene</t>
  </si>
  <si>
    <t>feb</t>
  </si>
  <si>
    <t>mar</t>
  </si>
  <si>
    <t>Vencimientos previstos</t>
  </si>
  <si>
    <t>Deudas a corto plazo (Operaciones de tesorería)</t>
  </si>
  <si>
    <t xml:space="preserve">   Emisiones de deuda</t>
  </si>
  <si>
    <t xml:space="preserve">   Operaciones con entidades de crédito</t>
  </si>
  <si>
    <t xml:space="preserve">   Factoring sin recurso</t>
  </si>
  <si>
    <t xml:space="preserve">   Deudas con Administraciones Públicas (FFPP)  (1)</t>
  </si>
  <si>
    <t xml:space="preserve">   Otras operaciones de crédito</t>
  </si>
  <si>
    <t>Avales ejecutados durante el ejercicio</t>
  </si>
  <si>
    <r>
      <t xml:space="preserve">   Entidades dependientes de la corporación local </t>
    </r>
    <r>
      <rPr>
        <sz val="10"/>
        <color theme="1"/>
        <rFont val="Arial"/>
        <family val="2"/>
      </rPr>
      <t>(clasificadas con AA PP)</t>
    </r>
  </si>
  <si>
    <t xml:space="preserve">   Resto de entidades</t>
  </si>
  <si>
    <t>Avales reintegrados durante el ejercicio</t>
  </si>
  <si>
    <t>(1) Solo se incluyen los préstamos con el Fondo de Financiación de Pago a Proveedores (FFPP) instrumentados a través de operaciones de endeudamiento</t>
  </si>
  <si>
    <r>
      <t xml:space="preserve">Vencimientos previstos en el ejercicio </t>
    </r>
    <r>
      <rPr>
        <b/>
        <sz val="10"/>
        <rFont val="Arial"/>
        <family val="2"/>
      </rPr>
      <t>(Incluyendo las operaciones contratadas y previsto contratar en el ejercicio presupuestado)</t>
    </r>
  </si>
  <si>
    <r>
      <t>PERFIL DE VENCIMIENTO DE DEUDA EN LOS PRÓXIMOS 10 AÑOS.</t>
    </r>
    <r>
      <rPr>
        <b/>
        <sz val="10"/>
        <color theme="1"/>
        <rFont val="Arial"/>
        <family val="2"/>
      </rPr>
      <t xml:space="preserve"> (Total de operaciones contratadas y previsto contratar en el ejercicio presupuestado)</t>
    </r>
  </si>
  <si>
    <t xml:space="preserve">   Total vencimientos</t>
  </si>
  <si>
    <t>Nº</t>
  </si>
  <si>
    <t>Operación</t>
  </si>
  <si>
    <t>Tipo</t>
  </si>
  <si>
    <t>Concesión</t>
  </si>
  <si>
    <t>Entidad</t>
  </si>
  <si>
    <t>Financiera</t>
  </si>
  <si>
    <t>Importe</t>
  </si>
  <si>
    <t>Concedido</t>
  </si>
  <si>
    <t xml:space="preserve">   Total </t>
  </si>
  <si>
    <t>Epígrafe</t>
  </si>
  <si>
    <t>Balance</t>
  </si>
  <si>
    <t>Avalada por</t>
  </si>
  <si>
    <t>PERSONAL</t>
  </si>
  <si>
    <t xml:space="preserve">  Administracion General y Resto de sectores</t>
  </si>
  <si>
    <t xml:space="preserve">  Sector Asistencia social y dependencia</t>
  </si>
  <si>
    <t xml:space="preserve">  Sector Sanitario (personal que presta servicio en las Instituciones del Servicio Nacional de Salud</t>
  </si>
  <si>
    <t xml:space="preserve">  Educativo Universitario (personal que presta servicio en universidades)</t>
  </si>
  <si>
    <t xml:space="preserve">  Educativo no Universitario (personal que presta servicio en centros de la docencia no universitaria</t>
  </si>
  <si>
    <t xml:space="preserve">  Número total de efectivos</t>
  </si>
  <si>
    <t xml:space="preserve">  Número total de gastos</t>
  </si>
  <si>
    <t>II. DATOS DE PLANTILLAS Y RETRIBUCIONES DE UN DETERMINADO SECTOR</t>
  </si>
  <si>
    <t>III. GASTOS DISTRIBUIDOS POR GRUPOS DE PERSONAL</t>
  </si>
  <si>
    <t>Grupo de</t>
  </si>
  <si>
    <t>Órganos Gobierno</t>
  </si>
  <si>
    <t>Máximos responsables</t>
  </si>
  <si>
    <t>Resto personal directivo</t>
  </si>
  <si>
    <t>Laboral contrato indefinido</t>
  </si>
  <si>
    <t>Laboral duración determinada</t>
  </si>
  <si>
    <t>Otro personal</t>
  </si>
  <si>
    <t>Número de</t>
  </si>
  <si>
    <t>efectivos</t>
  </si>
  <si>
    <t>Sueldos y salarios</t>
  </si>
  <si>
    <t>(excepto variable)</t>
  </si>
  <si>
    <t>Variable</t>
  </si>
  <si>
    <t>Planes de</t>
  </si>
  <si>
    <t>Pensiones</t>
  </si>
  <si>
    <t xml:space="preserve">Otras </t>
  </si>
  <si>
    <t xml:space="preserve">I. SECTORES A CONSIDERAR. (Se cumplimentará un cuadro para cada uno de los sectores de actividad de la Entidad)    </t>
  </si>
  <si>
    <t>Total</t>
  </si>
  <si>
    <t>Retribuciones</t>
  </si>
  <si>
    <t>Retribuciones distribuidas por grupos</t>
  </si>
  <si>
    <t>IV. GASTOS COMUNES SIN DISTRIBUIR POR GRUPOS</t>
  </si>
  <si>
    <t xml:space="preserve">Total </t>
  </si>
  <si>
    <t>Acción social</t>
  </si>
  <si>
    <t>Seguridad Social</t>
  </si>
  <si>
    <t>V. OBSERVACIONES</t>
  </si>
  <si>
    <t>(Marcar con X)</t>
  </si>
  <si>
    <t>FC-14</t>
  </si>
  <si>
    <t>FC-15</t>
  </si>
  <si>
    <t>OPERACIONES INTERNAS</t>
  </si>
  <si>
    <t>VENTAS Y PRESTACIONES DE SERVICIOS PREVISTAS (IGIC Incluido)</t>
  </si>
  <si>
    <t>INSTRUCCIONES GENERALES</t>
  </si>
  <si>
    <r>
      <rPr>
        <b/>
        <sz val="12"/>
        <color theme="1"/>
        <rFont val="Arial"/>
        <family val="2"/>
      </rPr>
      <t>Todas los datos económicos deben expresarse en EUROS</t>
    </r>
    <r>
      <rPr>
        <sz val="12"/>
        <color theme="1"/>
        <rFont val="Arial"/>
        <family val="2"/>
      </rPr>
      <t>. No es válido introducir datos en miles de euros, ni millones de euros.</t>
    </r>
  </si>
  <si>
    <t>INGRESOS</t>
  </si>
  <si>
    <t>GASTOS</t>
  </si>
  <si>
    <t>CABILDO INSULAR DE TENERIFE</t>
  </si>
  <si>
    <t>O.A. DE MUSEOS Y CENTROS</t>
  </si>
  <si>
    <t>O.A. INST. INS. ATENCIÓN SOC. Y SOCIOSAN.</t>
  </si>
  <si>
    <t>O.A. PATRONATO INSULAR DE MUSICA</t>
  </si>
  <si>
    <t>O.A. CONSEJO INSULAR DE AGUAS</t>
  </si>
  <si>
    <t>EPEL. BALSAS DE TENERIFE</t>
  </si>
  <si>
    <t>EPEL AGROTEIDE ENTIDAD INSULAR DESARROLLO AGRICOLA Y GANADERO</t>
  </si>
  <si>
    <t>CASINO DE TAORO, SA</t>
  </si>
  <si>
    <t>CASINO DE PLAYA DE LAS AMÉRICAS, SA</t>
  </si>
  <si>
    <t>CASINO DE SANTA CRUZ, SA</t>
  </si>
  <si>
    <t>INSTIT.FERIAL DE TENERIFE, SA</t>
  </si>
  <si>
    <t>EMPRESA INSULAR DE ARTESANÍA, SA</t>
  </si>
  <si>
    <t>SINPROMI.S.L.</t>
  </si>
  <si>
    <t>AUDITORIO DE TENERIFE, SA</t>
  </si>
  <si>
    <t>GEST. INS. DEPORTE, CULT.Y OCIO, SA (IDECO)</t>
  </si>
  <si>
    <t>TITSA</t>
  </si>
  <si>
    <t>SPET, TURISMO DE TENERIFE, S.A.</t>
  </si>
  <si>
    <t>INSTITUTO MEDICO TINERFEÑO, S.A. (IMETISA)</t>
  </si>
  <si>
    <t>METROPOLITANO DE TENERIFE, S.A.</t>
  </si>
  <si>
    <t>INST. TECNOL. Y DE ENERGIAS RENOVABLES, S.A. (ITER)</t>
  </si>
  <si>
    <t>CULTIVOS Y TECNOLOGÍAS AGRARIAS DE TENERIFE, S.A (CULTESA)</t>
  </si>
  <si>
    <t>BUENAVISTA GOLF, S.A.</t>
  </si>
  <si>
    <t>PARQUE CIENTÍFICO Y TECNOLÓGICO DE TENERIFE, S.A.</t>
  </si>
  <si>
    <t>INSTITUTO TECNOLÓGICO Y DE COMUNICACIONES DE TENERIFE, S.L. (IT3)</t>
  </si>
  <si>
    <t>INSTITUTO VULCANOLÓGICO DE CANARIAS S.A.</t>
  </si>
  <si>
    <t>CANARIAS SUBMARINE LINK, S.L. (Canalink)</t>
  </si>
  <si>
    <t>CANALINK AFRICA, S.L.</t>
  </si>
  <si>
    <t>CANALINK BAHARICOM, S.L.</t>
  </si>
  <si>
    <t>GESTIÓN INSULAR DE AGUAS DE TENERIFE, S.A. (GESTA)</t>
  </si>
  <si>
    <t>FUNDACION TENERIFE RURAL</t>
  </si>
  <si>
    <t>FUNDACIÓN  ITB</t>
  </si>
  <si>
    <t>FIFEDE</t>
  </si>
  <si>
    <t>AGENCIA INSULAR DE LA ENERGIA</t>
  </si>
  <si>
    <t>FUNDACIÓN CANARIAS FACTORÍA DE LA INNOVACIÓN TURÍSTICA</t>
  </si>
  <si>
    <t>CONSORCIO PREVENSIÓN, EXTINCIÓN INCENDIOS Y SALVAMENTO DE LA ISLA DE TENERIFE</t>
  </si>
  <si>
    <t>CONSORCIO DE TRIBUTOS DE LA ISLA DE TENERIFE</t>
  </si>
  <si>
    <t>CONSORCIO ISLA BAJA</t>
  </si>
  <si>
    <t>CONSORCIO URBANÍSTICO PARA LA REHABILITACIÓN DEL PTO. DE LA CRUZ</t>
  </si>
  <si>
    <t>A.M.C. POLÍGONO INDUSTRIAL DE GÜIMAR</t>
  </si>
  <si>
    <t>MERCATENERIFE, S.A.</t>
  </si>
  <si>
    <t>POLÍGONO INDUSTRIAL DE GRANADILLA-PARQUE TECNOLÓGICO DE TENERIFE, S.A.</t>
  </si>
  <si>
    <t>PARQUES EÓLICOS DE GRANADILLA, A.I.E.</t>
  </si>
  <si>
    <t>EÓLICAS DE TENERIFE, A.I.E.</t>
  </si>
  <si>
    <t>Deberá informarse en la memoria de actividades sobre la naturaleza de las operaciones que se prevé realizar y a qué grupo de función pertenece.</t>
  </si>
  <si>
    <t>ENCOMIENDAS DE GESTIÓN</t>
  </si>
  <si>
    <t>RELACIÓN DE ENCOMIENDAS DE GESTIÓN DEL CABILDO INSULAR DE TENERIFE</t>
  </si>
  <si>
    <t>Encomienda</t>
  </si>
  <si>
    <t>Importe anualidad</t>
  </si>
  <si>
    <t>Duración</t>
  </si>
  <si>
    <t>( +/- ) Importe</t>
  </si>
  <si>
    <t>contemplado</t>
  </si>
  <si>
    <t>Informe Evaluación</t>
  </si>
  <si>
    <t>Observaciones</t>
  </si>
  <si>
    <t>CAPACIDAD / NECESIDAD DE FINANCIACIÓN DE LA ENTIDAD (Calculada conforme a las normas del Sistema Europeo de Cuentas)</t>
  </si>
  <si>
    <t>I. Ingresos a efectos de Contabilidad Nacional</t>
  </si>
  <si>
    <t>Importe Neto Cifra Negocios</t>
  </si>
  <si>
    <t>Trabajos previstos realizar por la empresa para su activo</t>
  </si>
  <si>
    <t>Ingresos accesorios y otros de la gestión corriente</t>
  </si>
  <si>
    <t>Subvenciones y Transferencias corrientes</t>
  </si>
  <si>
    <t>Ingresos Financieros por intereses</t>
  </si>
  <si>
    <t>Ingresos de participaciones en instrumentos de patrimonio (dividendos)</t>
  </si>
  <si>
    <t>Ingresos excepcionales</t>
  </si>
  <si>
    <t>Subvenciones de capital previsto recibir</t>
  </si>
  <si>
    <t>II. Gastos a efectos de Contabilidad Nacional</t>
  </si>
  <si>
    <t>Gtos. de Personal</t>
  </si>
  <si>
    <t>Gtos. Financieros y asimilados</t>
  </si>
  <si>
    <t>Impuesto de Sociedades</t>
  </si>
  <si>
    <t>Otros impuestos</t>
  </si>
  <si>
    <t>Gtos. Excepcionales</t>
  </si>
  <si>
    <t>Variaciones del Inmovilizado material e intangible; de inversiones inmobiliarias; de existencias</t>
  </si>
  <si>
    <t>Variación de existencias de productos terminados y en curso de fabricación de la cuenta de PyG (1)</t>
  </si>
  <si>
    <t>Aplicación de Provisiones</t>
  </si>
  <si>
    <t>Inversiones efectuadas por cuenta de Administraciones y Entidades Públicas</t>
  </si>
  <si>
    <t>Ayudas, transferencias y subvenciones concedidas</t>
  </si>
  <si>
    <t xml:space="preserve">Capacidad / Necesidad de financiación de la entidad (Sistema Europeo Cuentas)    -     ( I + II ) </t>
  </si>
  <si>
    <t>FUENTES DE FINANCIACIÓN</t>
  </si>
  <si>
    <t>%</t>
  </si>
  <si>
    <t>1. Ventas de bienes y prestaciones de servicios dentro del sector público</t>
  </si>
  <si>
    <t>a.</t>
  </si>
  <si>
    <t>b.</t>
  </si>
  <si>
    <t>c.</t>
  </si>
  <si>
    <t>A la Entidad Local o a sus unidades dependientes</t>
  </si>
  <si>
    <t>A otras administraciones públicas</t>
  </si>
  <si>
    <t>A empresas y entes públicos</t>
  </si>
  <si>
    <t>2. Ventas de bienes y prestaciones de servicios dentro al sector privado</t>
  </si>
  <si>
    <t>3. Transferencias y subvenciones recibidas</t>
  </si>
  <si>
    <t>De la Entidad Local o a sus unidades dependientes</t>
  </si>
  <si>
    <t>De la Unión Europea</t>
  </si>
  <si>
    <t>De otras administraciones y entes públicos</t>
  </si>
  <si>
    <t>4. Otros ingresos (especificar en su caso)</t>
  </si>
  <si>
    <t>TOTAL ( 1 + 2 + 3 + 4 )</t>
  </si>
  <si>
    <t>ESTRUCTURA PRESUPUESTARIA  -  ESTADO DE PREVISIÓN DE INGRESOS Y GASTOS</t>
  </si>
  <si>
    <t>Impuestos directos</t>
  </si>
  <si>
    <t>Impuestos indirectos</t>
  </si>
  <si>
    <t>Tasas y otros ingresos</t>
  </si>
  <si>
    <t>Transferencias corrientes</t>
  </si>
  <si>
    <t>Ingresos patrimoniales</t>
  </si>
  <si>
    <t xml:space="preserve">  Total Ingresos Corrientes</t>
  </si>
  <si>
    <t>Enajenación de inversiones</t>
  </si>
  <si>
    <t>Transferencias de capital</t>
  </si>
  <si>
    <t xml:space="preserve">  Total Ingresos de Capital</t>
  </si>
  <si>
    <t>Activos financieros</t>
  </si>
  <si>
    <t>Pasivos financieros</t>
  </si>
  <si>
    <t xml:space="preserve">  Total Ingresos Financieros</t>
  </si>
  <si>
    <t xml:space="preserve">  TOTAL INGRESOS</t>
  </si>
  <si>
    <t xml:space="preserve">  Otros ingresos de la cuenta de pérdidas y ganancias</t>
  </si>
  <si>
    <t>Capítulos Ingresos</t>
  </si>
  <si>
    <t>Capítulos Gastos</t>
  </si>
  <si>
    <t>Gastos de Personal</t>
  </si>
  <si>
    <t>Compra de Bienes y Servicios</t>
  </si>
  <si>
    <t>Transferencias Corrientes</t>
  </si>
  <si>
    <t xml:space="preserve">  Total Gastos Corrientes</t>
  </si>
  <si>
    <t>Inversiones Reales</t>
  </si>
  <si>
    <t xml:space="preserve">  Total Gastos de Capital</t>
  </si>
  <si>
    <t xml:space="preserve">  Total Gastos Financieros</t>
  </si>
  <si>
    <t xml:space="preserve">  TOTAL GASTOS</t>
  </si>
  <si>
    <t xml:space="preserve">  Otros gastos de la cuenta de pérdidas y ganancias</t>
  </si>
  <si>
    <t xml:space="preserve">  A. DIFERENCIA INGRESOS - GASTOS</t>
  </si>
  <si>
    <t xml:space="preserve">  B. Ajuste VARIACIONES DE BALANCE</t>
  </si>
  <si>
    <t>ACTIVO FIJO NO FINANCIERO</t>
  </si>
  <si>
    <t>RESULTADO DE LA COMPROBACIÓN  ( A + B )</t>
  </si>
  <si>
    <t xml:space="preserve">  TOTAL INGRESOS CON INGRESOS NO PRESUPUESTARIOS</t>
  </si>
  <si>
    <t xml:space="preserve">  TOTAL GASTOS CON GASTOS NO PRESUPUESTARIOS</t>
  </si>
  <si>
    <t>INFORMACIÓN ADICIONAL RELATIVA A LA CUENTA DE PÉRDIDAS Y GANANCIAS</t>
  </si>
  <si>
    <t>Sin incluir Igic</t>
  </si>
  <si>
    <t>Igic Facturado</t>
  </si>
  <si>
    <t>A.- A la Corporación Local (CL):</t>
  </si>
  <si>
    <t>A.1.- Ventas:</t>
  </si>
  <si>
    <t>A.2.- Prestaciones de servicios:</t>
  </si>
  <si>
    <t>B.- A Organismos y Entes Dependientes de la CL:</t>
  </si>
  <si>
    <t>C.- Resto de Ventas y Prestaciones de servicios:</t>
  </si>
  <si>
    <t>C.1.- A otras AA PP</t>
  </si>
  <si>
    <t>C.2.- Sector Privado</t>
  </si>
  <si>
    <t>C.2.1.- Ventas</t>
  </si>
  <si>
    <t>C.2.2.- Prestaciones de servicios</t>
  </si>
  <si>
    <t>TOTAL IMPORTE NETO CIFRA NEGOCIOS:</t>
  </si>
  <si>
    <t>INGRESOS Y GASTOS EXCEPCIONALES</t>
  </si>
  <si>
    <t>IMPUESTO SOBRE SOCIEDADES</t>
  </si>
  <si>
    <t>Retenciones y pagos a cuenta del ejercicio</t>
  </si>
  <si>
    <t>Cuota líquida a ingresar (+) o a devolver (-) del ejercicio anterior</t>
  </si>
  <si>
    <t>I. VENTAS Y PRESTACIONES DE SERVICIOS (1)</t>
  </si>
  <si>
    <t>(2) 778. Gastos Excepcionales: Beneficios e ingresos de carácter excepcional y cuantía significativa que, atendiendo a su naturaleza, no deban contabilizarse en otras cuentas del grupo 7. Se incluirán, entre otros, los procedentes de aquellos créditos que en su día fueron amortizados por insolvencias firmes.</t>
  </si>
  <si>
    <t>Activo = Pasivo y patrimonio neto</t>
  </si>
  <si>
    <t>Balance de Situación, Activo - Pasivo y Patrimonio Neto</t>
  </si>
  <si>
    <t>Rtdo. Ejercicio PN = Rtdo. PyG</t>
  </si>
  <si>
    <t>Aumento/disminución neta efectivo = variación efectivo</t>
  </si>
  <si>
    <t>Inmovilizado material = Detalle de movimientos (FC-7)</t>
  </si>
  <si>
    <t>Inmovilizado intangible = Detalle de movimientos (FC-7)</t>
  </si>
  <si>
    <t>Inversiones inmobiliarias = Detalle de movimientos (FC-7)</t>
  </si>
  <si>
    <t xml:space="preserve"> </t>
  </si>
  <si>
    <t>x</t>
  </si>
  <si>
    <t>Retribución</t>
  </si>
  <si>
    <t>Número total</t>
  </si>
  <si>
    <t>Designados por el sector público</t>
  </si>
  <si>
    <t>Designados por el sector privado</t>
  </si>
  <si>
    <t>Presidencia</t>
  </si>
  <si>
    <t>Vicepresidencia</t>
  </si>
  <si>
    <t>Secretaría</t>
  </si>
  <si>
    <t>Vicesecretaría</t>
  </si>
  <si>
    <t>Gerencia</t>
  </si>
  <si>
    <t>Fecha</t>
  </si>
  <si>
    <t>Vencimiento</t>
  </si>
  <si>
    <t>Saldo 31-12</t>
  </si>
  <si>
    <t>Intereses (4)</t>
  </si>
  <si>
    <t>Capital Amort. (3)</t>
  </si>
  <si>
    <t>corto plazo</t>
  </si>
  <si>
    <t>largo plazo</t>
  </si>
  <si>
    <r>
      <t>FC-</t>
    </r>
    <r>
      <rPr>
        <sz val="12"/>
        <color theme="1"/>
        <rFont val="Arial"/>
        <family val="2"/>
      </rPr>
      <t>14</t>
    </r>
  </si>
  <si>
    <r>
      <t>FC-</t>
    </r>
    <r>
      <rPr>
        <sz val="12"/>
        <color theme="1"/>
        <rFont val="Arial"/>
        <family val="2"/>
      </rPr>
      <t>15</t>
    </r>
  </si>
  <si>
    <r>
      <t>FC-</t>
    </r>
    <r>
      <rPr>
        <sz val="12"/>
        <color theme="1"/>
        <rFont val="Arial"/>
        <family val="2"/>
      </rPr>
      <t>16</t>
    </r>
  </si>
  <si>
    <r>
      <t>FC-</t>
    </r>
    <r>
      <rPr>
        <sz val="12"/>
        <color theme="1"/>
        <rFont val="Arial"/>
        <family val="2"/>
      </rPr>
      <t>17</t>
    </r>
  </si>
  <si>
    <r>
      <t>Deuda a</t>
    </r>
    <r>
      <rPr>
        <sz val="12"/>
        <color theme="1"/>
        <rFont val="Arial"/>
        <family val="2"/>
      </rPr>
      <t xml:space="preserve"> corto y</t>
    </r>
    <r>
      <rPr>
        <sz val="12"/>
        <color theme="1"/>
        <rFont val="Arial"/>
        <family val="2"/>
      </rPr>
      <t xml:space="preserve"> largo plazo</t>
    </r>
  </si>
  <si>
    <t>FC-4 - ACTIVO</t>
  </si>
  <si>
    <t>FC-4 - PASIVO Y PATRIMONIO NETO</t>
  </si>
  <si>
    <t>OBSERVACIONES Y NOTAS DE LA ENTIDAD</t>
  </si>
  <si>
    <t>Disposición Capital</t>
  </si>
  <si>
    <t>OTROS INGRESOS DE EXPLOTACIÓN</t>
  </si>
  <si>
    <t>a) Ingresos accesorios y otros de gestión corriente</t>
  </si>
  <si>
    <t xml:space="preserve">   a.1. Resultados de operaciones en común</t>
  </si>
  <si>
    <t xml:space="preserve">   a.2. Ingresos arrendamientos y pro. Industrial cedida en explotación</t>
  </si>
  <si>
    <t xml:space="preserve">   a.3. Ingresos por comisiones, servicios al personal y servicios diversos</t>
  </si>
  <si>
    <t xml:space="preserve">   b.1. Estado</t>
  </si>
  <si>
    <t xml:space="preserve">   b.2. Comunidad autónoma</t>
  </si>
  <si>
    <t xml:space="preserve">   b.3. Corporaciones locales</t>
  </si>
  <si>
    <t xml:space="preserve">   b.4. Cabildo Insular de Tenerife</t>
  </si>
  <si>
    <t xml:space="preserve">   b.6. Imputación de subvenciones de explotac. de ejercicios anteriores</t>
  </si>
  <si>
    <t>b) Subvenc. explotación incorporadas al resultado del ejercicio</t>
  </si>
  <si>
    <t>1. Obligaciones y otros valores negociables (-)</t>
  </si>
  <si>
    <t>2. Deudas con entidades de crédito (-)</t>
  </si>
  <si>
    <t>3. Deudas con empresas del grupo y asociadas (-)</t>
  </si>
  <si>
    <t>4. Deudas con características especiales (-)</t>
  </si>
  <si>
    <t>5. Otras deudas (-)</t>
  </si>
  <si>
    <r>
      <t>c) Adquisición de instrumentos de patrimonio propio (</t>
    </r>
    <r>
      <rPr>
        <sz val="12"/>
        <color theme="1"/>
        <rFont val="Arial"/>
        <family val="2"/>
      </rPr>
      <t>-</t>
    </r>
    <r>
      <rPr>
        <sz val="12"/>
        <color theme="1"/>
        <rFont val="Arial"/>
        <family val="2"/>
      </rPr>
      <t>)</t>
    </r>
  </si>
  <si>
    <t>Existencias finales = Detalle de movimientos (FC-7)</t>
  </si>
  <si>
    <t>Dotaciones a la amortización PyG = Detalle de movimientos (FC-7)</t>
  </si>
  <si>
    <t>(7) % PARTICIPACION: porcentaje total de participación que, al final del ejercicio, la entidad posee en la sociedad.</t>
  </si>
  <si>
    <t>Saldo inicial (neto de efecto impositivo)</t>
  </si>
  <si>
    <t>Subvenciones capital en balance = dato en FC-9</t>
  </si>
  <si>
    <t>Subvenciones explotación en PyG = dato en FC-9</t>
  </si>
  <si>
    <t>I.2. SUBVENCIONES DE EXPLOTACIÓN.</t>
  </si>
  <si>
    <t>II. APORTACIONES DE SOCIOS.</t>
  </si>
  <si>
    <t>Variación aportaciones socios en FC-4 PASIVO = detalle en FC-9</t>
  </si>
  <si>
    <t>Cabildo (2)</t>
  </si>
  <si>
    <t>Deuda ent. Crédito + arrend. Financ. en FC-4 PASIVO = desglose en FC-10</t>
  </si>
  <si>
    <t>Clasificación CP+LP = Total deuda a 31-12-2018 en FC-10</t>
  </si>
  <si>
    <t>Gastos de personal en PyG = desglose en FC-13</t>
  </si>
  <si>
    <t>DEUDAS A CORTO Y LARGO PLAZO</t>
  </si>
  <si>
    <t>Resultado de PyG = Resultado FC-92</t>
  </si>
  <si>
    <t>ACTIVO FIJO FINANCIERO</t>
  </si>
  <si>
    <t>VARIACIÓN DEL PATRIMONIO NETO</t>
  </si>
  <si>
    <t>VARIACIÓN DEL PASIVO CORRIENTE - NO CORRIENTE</t>
  </si>
  <si>
    <t>VARIACIÓN ACTIVO CORRIENTE SIN INVERSIONES FINANCIERAS A C/P</t>
  </si>
  <si>
    <r>
      <t xml:space="preserve">   b.5. Otros entes</t>
    </r>
    <r>
      <rPr>
        <sz val="12"/>
        <color theme="1"/>
        <rFont val="Arial"/>
        <family val="2"/>
      </rPr>
      <t xml:space="preserve"> (U.E.)</t>
    </r>
  </si>
  <si>
    <t>(1) Este saldo aparecerá como mayor gasto en caso de reducción de existencias (-) y como menor gasto en caso de incremento (+)</t>
  </si>
  <si>
    <t>Importe neto de la cifra de negocios (Detalle en FC-3.1)</t>
  </si>
  <si>
    <t>Inversiones reales: Coste total = ejecución prevista 31-12-(n-1) + programación plurianual (FC-6)</t>
  </si>
  <si>
    <t>Importe neto de la cifra de negocios = detalle en FC-3.1</t>
  </si>
  <si>
    <t>Otros ingresos de explotación (Detalle en FC-3.1)</t>
  </si>
  <si>
    <t>Otros resultados (Detalle en FC-3.1)</t>
  </si>
  <si>
    <t>Otros resultados PyG = detalle gastos e ingresos extraordinarios en FC-3.1</t>
  </si>
  <si>
    <t>Ingresos accesorios PyG = detalle ingresos accesorios en FC-3.1</t>
  </si>
  <si>
    <t>Subvenc. Explotación PyG = detalle Subv. en FC-3.1</t>
  </si>
  <si>
    <t>Clase</t>
  </si>
  <si>
    <t>Nº Acciones / Participaciones</t>
  </si>
  <si>
    <t>Avalado por</t>
  </si>
  <si>
    <t>Otros gastos financieros(5)</t>
  </si>
  <si>
    <t>Variaciones producidas o previsibles en</t>
  </si>
  <si>
    <t xml:space="preserve">Datos a 31 de diciembre de </t>
  </si>
  <si>
    <t>a) ACCIONISTAS (1)</t>
  </si>
  <si>
    <t>(1) IMPORTANTE: LA participación del Excmo. Cabildo Insular de Tenerife (ECIT), además de incluirse en este cuadro se detallará en la pestaña adjunta FC-2.1 Información adicional de la participación del ECIT</t>
  </si>
  <si>
    <t>Valor Nominal (2)</t>
  </si>
  <si>
    <t>Valor Teórico (3)</t>
  </si>
  <si>
    <t>(2) Valor nominal de una acción o participación</t>
  </si>
  <si>
    <t>Incremento en la participación (Euros)</t>
  </si>
  <si>
    <t>Reducciones en la participación (Euros)</t>
  </si>
  <si>
    <t>Nº de titulos (Acciones o participaciones)</t>
  </si>
  <si>
    <t>Fecha de adquisición</t>
  </si>
  <si>
    <t>Valor nominal por titulo</t>
  </si>
  <si>
    <t>Prima de emisión por titulo</t>
  </si>
  <si>
    <t>Serie y numeración                        (desde    -        hasta)</t>
  </si>
  <si>
    <t>Valor teórico contable      TOTAL</t>
  </si>
  <si>
    <t>Desembolso TOTAL</t>
  </si>
  <si>
    <t>INFORMACIÓN ADICIONAL SOBRE LA PARTICIPACIÓN DEL EXMO. CABILDO INSULAR DE TENERIFE EN LA ENTIDAD (1)</t>
  </si>
  <si>
    <t>(1) IMPORTANTE  Los datos deben obtenerse del libro registro de socios (Art. 104 de la Ley de Sociedades de Capital) o del Libro registro de acciones nominativas (art. 116 Ley de Sociedades de Capital) chequeado con las escrituras públicas correspondientes.</t>
  </si>
  <si>
    <t>Valor teórico        por titulo                     (2)</t>
  </si>
  <si>
    <t>Introducir el mismo dato que en FC-2 en la celda K44</t>
  </si>
  <si>
    <t>(2) Patrimonio neto a fin del ejercicio cerrado / nº de acciones o participaciones que componen el capital social. Datos correspondientes  ejercicio finalizado 31-12-</t>
  </si>
  <si>
    <t>Observaciones (3)</t>
  </si>
  <si>
    <r>
      <rPr>
        <b/>
        <i/>
        <sz val="14"/>
        <color theme="1"/>
        <rFont val="Arial"/>
        <family val="2"/>
      </rPr>
      <t>"SUBVENCIONES"</t>
    </r>
    <r>
      <rPr>
        <b/>
        <sz val="14"/>
        <color theme="1"/>
        <rFont val="Arial"/>
        <family val="2"/>
      </rPr>
      <t xml:space="preserve"> CONCEDIDAS y TRANSFERENCIAS A REALIZAR POR LA ENTIDAD REGISTRADAS COMO GASTO EN LA CUENTA DE PÉRDIDAS Y GANANCIAS</t>
    </r>
  </si>
  <si>
    <t>Contable GASTO</t>
  </si>
  <si>
    <r>
      <t xml:space="preserve">   a.1.</t>
    </r>
    <r>
      <rPr>
        <sz val="12"/>
        <color theme="1"/>
        <rFont val="Arial"/>
        <family val="2"/>
      </rPr>
      <t xml:space="preserve"> Al sector público local de carácter administrativo</t>
    </r>
  </si>
  <si>
    <t xml:space="preserve">   a.2. Al sector público local de carácter empresarial o fundacional</t>
  </si>
  <si>
    <r>
      <t xml:space="preserve">   a.3</t>
    </r>
    <r>
      <rPr>
        <sz val="12"/>
        <color theme="1"/>
        <rFont val="Arial"/>
        <family val="2"/>
      </rPr>
      <t>.</t>
    </r>
    <r>
      <rPr>
        <sz val="12"/>
        <color theme="1"/>
        <rFont val="Arial"/>
        <family val="2"/>
      </rPr>
      <t xml:space="preserve"> A otros</t>
    </r>
  </si>
  <si>
    <t>a) Total</t>
  </si>
  <si>
    <t>FC-2,1</t>
  </si>
  <si>
    <t>FC-2.1</t>
  </si>
  <si>
    <r>
      <t>I</t>
    </r>
    <r>
      <rPr>
        <sz val="12"/>
        <color theme="1"/>
        <rFont val="Arial"/>
        <family val="2"/>
      </rPr>
      <t>nformación adicional sobre la participación del Excmo. Cabildo Insular de Tenerife en la Entidad</t>
    </r>
  </si>
  <si>
    <t>NOTAS:</t>
  </si>
  <si>
    <t xml:space="preserve">(1)  Se incluiran todos los proyectos de inversión que se estén realizando en el ejercicio </t>
  </si>
  <si>
    <t>, así como los que está previsto realizar en los tres ejercicios siguientes.</t>
  </si>
  <si>
    <t xml:space="preserve">       Aquellos proyectos de inversión cuyos importe sean de escasa importancia en relación al volumen total de inversiones, podrán agruparse en uno o varios proyectos genéricos</t>
  </si>
  <si>
    <t>INVERSIONES REALES (1)</t>
  </si>
  <si>
    <t>Coste total (2)</t>
  </si>
  <si>
    <t xml:space="preserve">(2)  El coste total de cada inversión se desglosará entre el importe que se prevé ejecutar hasta    31 / dic / </t>
  </si>
  <si>
    <t>, y la programación plurianual</t>
  </si>
  <si>
    <t>(3)  Estimación de los importes de inversión que se ejecutarán en cada uno de los ejercicios.</t>
  </si>
  <si>
    <t>Programación Plurianual (3)</t>
  </si>
  <si>
    <t>(4)</t>
  </si>
  <si>
    <t>, desglosandolos por los ejercicios en los que se prevé realizar la inversión.</t>
  </si>
  <si>
    <r>
      <t xml:space="preserve">(4)  Se detallarán los importes comprometidos, es decir, las inversiones que estén </t>
    </r>
    <r>
      <rPr>
        <b/>
        <u/>
        <sz val="12"/>
        <rFont val="Arial"/>
        <family val="2"/>
      </rPr>
      <t>adjudicadas</t>
    </r>
    <r>
      <rPr>
        <sz val="12"/>
        <color theme="1"/>
        <rFont val="Arial"/>
        <family val="2"/>
      </rPr>
      <t xml:space="preserve"> a 31 / dic /</t>
    </r>
  </si>
  <si>
    <t>Programación plurianual (año n) en FC-6 = Adquisiciones (año n) en FC-7</t>
  </si>
  <si>
    <t>( n-1 )</t>
  </si>
  <si>
    <t>( n-2 )</t>
  </si>
  <si>
    <t>( n )</t>
  </si>
  <si>
    <t>Otra entidad (3)</t>
  </si>
  <si>
    <t>(3) Indicar la entidad, distinta del Excmo. Cabildo Insular de Tenerife que avala la operación</t>
  </si>
  <si>
    <t xml:space="preserve">(5) Intereses devengados en el ejercicio. </t>
  </si>
  <si>
    <t>(6) Otros gastos financieros relacionados con la operación, por ejemplo, gastos de avales, gastos de formalización, etc.</t>
  </si>
  <si>
    <t>Clasificación (7)</t>
  </si>
  <si>
    <t>II. OPERACIONES DE CRÉDITO A  LARGO PLAZO. (1)</t>
  </si>
  <si>
    <t>I. OPERACIONES DE CRÉDITO A CORTO PLAZO  (1)</t>
  </si>
  <si>
    <t xml:space="preserve">(1)  SALDO INICIAL: Saldo del valor neto contable recogido en balance a 1 de enero del ejercicio al que esté referido el período </t>
  </si>
  <si>
    <t>(2)  ADQUISICIONES: El importe facturado por el proveedor y otros importes (portes ...) incorporados como mayor valor del activo, salvo los recogidos en las columnas (3) y (4).</t>
  </si>
  <si>
    <t>(3)  PROVISIÓN POR DESMANTELAMIENTO: Se reflejará, con signo positivo o negativo según proceda, el importe de la provisión por desmantelamiento y las posteriores correcciones a la misma dotadas como mayor (o menor) valor del inmovilizado.</t>
  </si>
  <si>
    <t>(4)  INTERESES CAPITALIZADOS: Se reflejará, con signo positivo, el importe de los intereses incorporados como mayor valor del activo.</t>
  </si>
  <si>
    <t>(6)  DETERIORO O REVERSIÓN DEL DETERIORO: se reflejará, con signo negativo, el deterioro contabilizado en el ejercicio. Con signo positivo figurarán los excesos de deterioro que se produzcan.</t>
  </si>
  <si>
    <t>(7)  VENTAS: recoge el valor neto contable de las activos enajenados.</t>
  </si>
  <si>
    <t>(8)  OTRAS VARIACIONES: deben reflejarse el resto de variaciones, distintas de las anteriores, que impliquen un mayor o menor valor de las activos.</t>
  </si>
  <si>
    <t>(9)  SALDO FINAL: Saldo recogido en balance a 31 de diciembre del ejercicio al que está referidas las cuentas anuales.</t>
  </si>
  <si>
    <t>(10)  OBSERVACIONES: se recogera cualquier otra información que se considere relevante relativa a cada operación.</t>
  </si>
  <si>
    <t>(5)  AMORTIZACIÓN DEL EJERCICIO: se reflejará, con signo negativo, el importe de la amortización dotada en el ejercicio. En su caso, con signo positivo, las correcciones a la amortización acumulada</t>
  </si>
  <si>
    <t>Participación (2)</t>
  </si>
  <si>
    <t>OBSERVACIONES (3)</t>
  </si>
  <si>
    <t>(6) INVERSIONES: Inclyue las inversiones financieras, tanto a largo como a corto plazo, que la entidad realiza en entidades QUE NO SON del grupo NI asociadas con independencia de que la empresa tenga la intención de venderlos en el corto plazo.</t>
  </si>
  <si>
    <t>Participación (7)</t>
  </si>
  <si>
    <t>OBSERVACIONES (8)</t>
  </si>
  <si>
    <t>(1) En operaciones de crédito se desglosarán todas las operaciones, existentes y previstas, estén o no avaladas por el Cabildo Insular de Tenerife.</t>
  </si>
  <si>
    <r>
      <t xml:space="preserve">(2) Se especificará si la operación está avalada por el Cabildo </t>
    </r>
    <r>
      <rPr>
        <b/>
        <sz val="10"/>
        <color theme="1"/>
        <rFont val="Arial"/>
        <family val="2"/>
      </rPr>
      <t>(si/no)</t>
    </r>
  </si>
  <si>
    <r>
      <t xml:space="preserve">(4) Cuota de amortización del principal de la deuda, y/o amortización anticipada prevista. (Capital a amortizar). </t>
    </r>
    <r>
      <rPr>
        <b/>
        <sz val="10"/>
        <color theme="1"/>
        <rFont val="Arial"/>
        <family val="2"/>
      </rPr>
      <t>CIFRA EN POSITIVO</t>
    </r>
  </si>
  <si>
    <t>(7) Desglose del saldo a fin de ejercicio entre lo que vence a corto plazo (1 año) y lo que vence a largo plazo (más de un año)</t>
  </si>
  <si>
    <t>(3) Valor teórico por acción o participación. Patrimonio neto a fin del ejercicio / nº de acciones o participaciones que componen el capital social</t>
  </si>
  <si>
    <t>B.1.- Ventas: (detallar)</t>
  </si>
  <si>
    <t>B.2.- Prestaciones de servicios: (detallar)</t>
  </si>
  <si>
    <t>C.1.1.- Ventas: (detallar)</t>
  </si>
  <si>
    <t>C.1.2.- Prestaciones de servicios: (detallar)</t>
  </si>
  <si>
    <t>(1) Ventas y Prestaciones de Servicios. Destallar la cifra del Importe Neto de la Cifra de Negocios de la Cuenta de Pérdidas y Ganancias</t>
  </si>
  <si>
    <t>(3) 678. Gastos Excepcionales: Pérdidas y gastos de carácter excepcional y cuantía significativa que, atendiendo a su naturaleza, no deban contabilizarse en otras cuentas del grupo 6. A título indicativo se señalan los siguientes: los producidos por inundaciones, sanciones y multas, incendios...etc. (CIFRAS EN NEGATIVO)</t>
  </si>
  <si>
    <t>Efectivo o equivalentes al comienzo del ejercicio  (1)</t>
  </si>
  <si>
    <r>
      <rPr>
        <sz val="10"/>
        <color theme="1"/>
        <rFont val="Arial"/>
        <family val="2"/>
      </rPr>
      <t xml:space="preserve">(1) Los datos están referenciados al Activo del Balance de Situación, excepto el dato inicial del periodo n-2 que </t>
    </r>
    <r>
      <rPr>
        <b/>
        <u/>
        <sz val="10"/>
        <color theme="1"/>
        <rFont val="Arial"/>
        <family val="2"/>
      </rPr>
      <t>debe indicarse manualmente en la celda F94</t>
    </r>
  </si>
  <si>
    <t>Inversiones en instrumentos patrimonio CP+LP (grupo y asociadas) = detalle en FC-8</t>
  </si>
  <si>
    <t>Inversiones en instrumentos patrimonio CP + LP (otras) = detalle en FC-8</t>
  </si>
  <si>
    <t>Resto Inversiones financieras (grupo y asociadas) = detalle en FC-8</t>
  </si>
  <si>
    <t>Resto Inversiones financieras (otras) = detalle en FC-8</t>
  </si>
  <si>
    <r>
      <t>Aportaciones patrimoniales</t>
    </r>
    <r>
      <rPr>
        <sz val="12"/>
        <color theme="1"/>
        <rFont val="Arial"/>
        <family val="2"/>
      </rPr>
      <t xml:space="preserve"> (Aumento de capital + aportaciones de socios)</t>
    </r>
  </si>
  <si>
    <t>VARIACIÓN DEUDAS COMERCIALES NO CORRIENTES</t>
  </si>
  <si>
    <t xml:space="preserve"> Listado de comprobaciones (CHECK LIST)</t>
  </si>
  <si>
    <t>º</t>
  </si>
  <si>
    <t>EPEL TEA, TENERFE ESPACIO DE LAS ARTES</t>
  </si>
  <si>
    <t xml:space="preserve">ENTIDADES CON PARTICIPACIÓN MINORITARIA EN EL CAPITAL SOCIAL PERO QUE FORMAN PARTE DEL SECTOR PÚBLICO INSULAR </t>
  </si>
  <si>
    <t>Descripción</t>
  </si>
  <si>
    <t>Subvención</t>
  </si>
  <si>
    <t>SUBVENCIONES Y TRANSFERENCIAS (1)</t>
  </si>
  <si>
    <t>NOTAS ACLARATORIAS DE LA ENTIDAD</t>
  </si>
  <si>
    <t>NOTA:</t>
  </si>
  <si>
    <t>DATOS SEGÚN CRITERIOS ECIT y OTRAS ADM. PÚBLICAS (3)</t>
  </si>
  <si>
    <t>DATOS SEGÚN CRITERIOS CONTABILIDAD ENTIDAD (2)</t>
  </si>
  <si>
    <t xml:space="preserve">      otorgar dichas subvenciones. Es decir, la información y su clasificación por ejercicios económicos vendrá dada por el criterio contable de la administración pública otorgante. Si ambos criterios son coincidentes se pondrán idénticas cifras.</t>
  </si>
  <si>
    <t xml:space="preserve">      de la subvención.</t>
  </si>
  <si>
    <t>DATOS SEGÚN CRITERIOS CONTABILIDAD ENTIDAD (4)</t>
  </si>
  <si>
    <t>DATOS SEGÚN CRITERIOS ECIT y OTRAS ADM. PÚBLICAS (5)</t>
  </si>
  <si>
    <t>DATOS SEGÚN CRITERIOS CONTABILIDAD ENTIDAD (6)</t>
  </si>
  <si>
    <t>DATOS SEGÚN CRITERIOS ECIT y OTRAS ADM. PÚBLICAS (7)</t>
  </si>
  <si>
    <t xml:space="preserve">       pública que otorgara la subvención y la entidad/sociedad son coincidentes, deben indicarse idénticas cifras en ambos cuadros.</t>
  </si>
  <si>
    <t xml:space="preserve">       indicarse idénticas cifras en ambos cuadros.</t>
  </si>
  <si>
    <t xml:space="preserve">      importe total de la ampliación de capital + prima de emisión.</t>
  </si>
  <si>
    <r>
      <t xml:space="preserve">      En las notas siguientes, cuando se refiere a</t>
    </r>
    <r>
      <rPr>
        <b/>
        <sz val="9"/>
        <color theme="1"/>
        <rFont val="Arial"/>
        <family val="2"/>
      </rPr>
      <t xml:space="preserve"> importes estimados</t>
    </r>
    <r>
      <rPr>
        <sz val="9"/>
        <color theme="1"/>
        <rFont val="Arial"/>
        <family val="2"/>
      </rPr>
      <t xml:space="preserve"> son los correspondientes a:</t>
    </r>
  </si>
  <si>
    <r>
      <t>Cuando se refiere a</t>
    </r>
    <r>
      <rPr>
        <b/>
        <sz val="9"/>
        <color theme="1"/>
        <rFont val="Arial"/>
        <family val="2"/>
      </rPr>
      <t xml:space="preserve"> importes previsibles</t>
    </r>
    <r>
      <rPr>
        <sz val="9"/>
        <color theme="1"/>
        <rFont val="Arial"/>
        <family val="2"/>
      </rPr>
      <t xml:space="preserve"> son los correspondientes a:</t>
    </r>
  </si>
  <si>
    <t>(1) Se incluiran en este cuadro todas las aportaciones y subvenciones recibidos del Excmo. Cabildo Insular de Tenerife y de cualquier otras administración pública ó ente privado. Debe detallarse cada subvención o aportación de forma nominativa.</t>
  </si>
  <si>
    <t xml:space="preserve">      (efecto impositivo clasificado  en el pasivo del balance en el epígrafe B) IV) . El saldo final de esta partida debe cuadrar con la indicada en el epígrafe A3 del patrimonio neto del balance estimado y previsto.</t>
  </si>
  <si>
    <t xml:space="preserve">(2) Se deben incluir los movimientos contables en la entidad/sociedad, estimados y previsibles, correspondientes a las subvenciones de capital registradas en las cuentas 130,131 y 132, y de forma separada. su efecto impositivo registrado en la cuenta 479 </t>
  </si>
  <si>
    <t xml:space="preserve">(3) Se deben incluir de forma detallada todas las subvenciones de capital otorgadas por el Excmo. Cabildo Insular de Tenerife y cualquier otra administración pública, clasificando el importe según el año en que dichas administraciones estimen o prevean </t>
  </si>
  <si>
    <t>(4) Importes estimados y previsibles a registrar por la entidad en la cuenta contable 740. Subvenciones, donaciones y legados de explotación. El importe total debe coincidir con las cifras del epígrafe 5.b de la cuenta de pérdidas y ganancias</t>
  </si>
  <si>
    <t>(6) Se indicarán los importes de las aportaciones de socios estimadas y previsibles que se registran en la cuenta contable 118 y que se recogen en el epígrafe A1) VI. del patrimonio neto del balance.</t>
  </si>
  <si>
    <t>(8) Emisión de instrumentos de patrimonio. Se refiere a aumentos de capital adicionándole, en su caso, los importes de las primas de emisión estimadas o previsibles. Deben detallarse los suscriptores de dicho aumento, ascendiendo su total al</t>
  </si>
  <si>
    <r>
      <t>III. EMISIÓN DE INSTRUMENTOS DE PATRIMONIO PROPIO.</t>
    </r>
    <r>
      <rPr>
        <b/>
        <sz val="12"/>
        <color rgb="FFFF0000"/>
        <rFont val="Arial"/>
        <family val="2"/>
      </rPr>
      <t xml:space="preserve"> </t>
    </r>
    <r>
      <rPr>
        <b/>
        <sz val="12"/>
        <rFont val="Arial"/>
        <family val="2"/>
      </rPr>
      <t>(8)</t>
    </r>
  </si>
  <si>
    <t>TOTAL EMISIÓN</t>
  </si>
  <si>
    <t xml:space="preserve">      Como ejemplo se incluiran en este bloque las subvenciones de capital otorgadas a la entidad que no se han contabilizado en las cuentas de Patrimonio Neto de la entidad/sociedad, a la espera de que se verifiquen las condiciones</t>
  </si>
  <si>
    <r>
      <t xml:space="preserve">(7) Se indicarán los importes de las </t>
    </r>
    <r>
      <rPr>
        <sz val="9"/>
        <rFont val="Arial"/>
        <family val="2"/>
      </rPr>
      <t>aportaciones genéricas</t>
    </r>
    <r>
      <rPr>
        <sz val="9"/>
        <color theme="1"/>
        <rFont val="Arial"/>
        <family val="2"/>
      </rPr>
      <t xml:space="preserve"> estimadas y previsibles otorgadas por el Excmo. Cabildo Insular de Tenerife (Anexo III) o cualquier otro socio, de acuerdo a su criterio de imputación contable. Si los criterios son coincidentes, deben</t>
    </r>
  </si>
  <si>
    <t>(5) Se indicaran los importes de las subvenciones de explotación estimadas o previsibles otorgadas por el Excmo. Cabildo Insular de Tenerife (Anexo IV) y otros organismos de acuerdo a sus criterios de imputación contable. Si los criterios de la administración</t>
  </si>
  <si>
    <t>Esta hoja se cumplimentará con los mismos datos que resulten de la hoja 'Resumen Personal' del fichero "Desglose gastos personal".</t>
  </si>
  <si>
    <t>NOTA</t>
  </si>
  <si>
    <r>
      <t xml:space="preserve">DETALLE DE INGRESOS (Cta 778) (2).   Cifras en </t>
    </r>
    <r>
      <rPr>
        <b/>
        <u/>
        <sz val="12"/>
        <color theme="1"/>
        <rFont val="Arial"/>
        <family val="2"/>
      </rPr>
      <t>positivo</t>
    </r>
  </si>
  <si>
    <r>
      <t xml:space="preserve">DETALLE DE GASTOS (Cta 678) (3).     Cifras en </t>
    </r>
    <r>
      <rPr>
        <b/>
        <u/>
        <sz val="12"/>
        <color theme="1"/>
        <rFont val="Arial"/>
        <family val="2"/>
      </rPr>
      <t>negativo</t>
    </r>
  </si>
  <si>
    <t>Imputación de subvenciones capital en PyG (FC-3) = detalle de imputación en FC-9</t>
  </si>
  <si>
    <t>EN LA PRESTACIÓN DE LOS SERVICIOS EXISTE IGIC FACTURADO A DISTINTOS TIPOS IMPOSITIVOS:</t>
  </si>
  <si>
    <t>Servicio de transporte</t>
  </si>
  <si>
    <t>Producción de energía</t>
  </si>
  <si>
    <t>Publicidad</t>
  </si>
  <si>
    <t>Gestión Ten + Móvil</t>
  </si>
  <si>
    <t>Resto ingresos no sujetos</t>
  </si>
  <si>
    <t>% igic</t>
  </si>
  <si>
    <t>Carlos Alonso Rodríguez</t>
  </si>
  <si>
    <t>Miguel Becerra Domínguez</t>
  </si>
  <si>
    <t>José Antonio Duque Díaz</t>
  </si>
  <si>
    <t>Ofelia Manjón Cabeza Cruz</t>
  </si>
  <si>
    <t>Efraín Medina Hernández</t>
  </si>
  <si>
    <t>Fernando Rafael Sabaté Bel</t>
  </si>
  <si>
    <t>Aurelio Abreu Expósito</t>
  </si>
  <si>
    <t>Estefanía Castro Chávez</t>
  </si>
  <si>
    <t>Manuel Fernández Vega</t>
  </si>
  <si>
    <t>José Jonathan Domínguez Roger</t>
  </si>
  <si>
    <t>Andrés Muñoz de Dios Rodríguez</t>
  </si>
  <si>
    <t>Dámaso Arteaga Suárez</t>
  </si>
  <si>
    <t>P3800001D</t>
  </si>
  <si>
    <t>A</t>
  </si>
  <si>
    <t>TENEMETRO, S.L.</t>
  </si>
  <si>
    <t>B38749164</t>
  </si>
  <si>
    <t>B</t>
  </si>
  <si>
    <t>AUTOCARTERA</t>
  </si>
  <si>
    <t>A38620209</t>
  </si>
  <si>
    <t>C</t>
  </si>
  <si>
    <t>C2</t>
  </si>
  <si>
    <t>Ingresos ajustes facturas no recibidas</t>
  </si>
  <si>
    <t>Saldos de pedidos contabilizados al cierre de ejercicios anteriores que finalmente no se materializaron.</t>
  </si>
  <si>
    <t>Ingreso Ajuste saldos Acciona</t>
  </si>
  <si>
    <t>Importe que debió descontarse de una factura de Acciona contabilizada en el ejercicio 2015,</t>
  </si>
  <si>
    <t>SE INCLUYEN LOS IMPORTES DEVENGADOS CON EL CABILDO INSULAR DE TENERIFE EN CONCEPTO DE COMPENSACIÓN DE POLÍTICAS DE TRANSPORTE PUBLICO:</t>
  </si>
  <si>
    <t>COMPENSACIÓN CIT</t>
  </si>
  <si>
    <t>Gastos Servicios de Descanso Revisores</t>
  </si>
  <si>
    <t>Saldo pendiente de cobro del CIT correspondiente a la subvención dpara el mantenimiento de la plataforma del césped del ejercicio 2009. En 2017 se regulariza al considerarse incobrable.</t>
  </si>
  <si>
    <t>Gastos correspondientes a servicios de cafetería no deducibles.</t>
  </si>
  <si>
    <t>Cancelación subvención césped 2009</t>
  </si>
  <si>
    <t>Compras on line realizadas por el departamento de Informática cuyos importes no son fiscalmente deducibles.</t>
  </si>
  <si>
    <t>Compras material informático.</t>
  </si>
  <si>
    <t>Anticipos cancelados</t>
  </si>
  <si>
    <t>Regularización de anticipos de ejercicios anteriores.</t>
  </si>
  <si>
    <t>Pago Prima Fotovoltaica</t>
  </si>
  <si>
    <t>Importe pagado a la Comisiçon Nacional del Mercado y la Competencia por la devolución de la prima de la planta fotovoltaica cobrada indebidamente.</t>
  </si>
  <si>
    <t>Incluye el importe del Pago Por Disponibilidad facturado al Cabildo.</t>
  </si>
  <si>
    <t>-</t>
  </si>
  <si>
    <t>CONSTITUCIÓN DE LA SOCIEDAD</t>
  </si>
  <si>
    <t>REDUCCIÓN DEL VALOR NOMINAL - AJUSTE AL EURO</t>
  </si>
  <si>
    <t>VENTA DE ACCIONES A SODECAN</t>
  </si>
  <si>
    <t>AUMENTO VALOR NOMINAL-RENUMERACIÓN ACCIONES</t>
  </si>
  <si>
    <t>SUSCRIPCIÓN AUMENTO DEL CAPITAL SOCIAL. APORTACIÓN DINERARIA POR 8.117.820,04 Y NO DINERARIA POR 2.482.179,96. DESEMBOLSO DEL 25%</t>
  </si>
  <si>
    <t>COMPRA DE ACCIONES A SODECAN</t>
  </si>
  <si>
    <t>DESEMBOLSO DE DIVIDENDOS PASIVOS.DESEMBOLSADAS EN UN 34,89%</t>
  </si>
  <si>
    <t>AMORTIZACIÓN DE ACCIONES</t>
  </si>
  <si>
    <t>DESEMBOLSO DE DIVIDENDOS PASIVOS. DESEMBOLSADAS EN UN 73,07%</t>
  </si>
  <si>
    <t>DESEMBOLSO DE DIVIDENDOS PASIVOS. DESEMBOLSADAS EN UN 84,77%</t>
  </si>
  <si>
    <t>DESEMBOLSO DE DIVIDENCOS PASIVOS. DESEMBOLSADAS AL 100%</t>
  </si>
  <si>
    <t>SUSCRIPCIÓN AUMENTO DEL CAPITAL SOCIAL. APORTACIÓN DINERARIA. DESEMBOLSO DEL 66,67%</t>
  </si>
  <si>
    <t>DESEMBOLSO DE DIVIDENDOS PASIVOS. DESEMBOLSADAS AL 100%</t>
  </si>
  <si>
    <t>Bonificaciones del INEM.</t>
  </si>
  <si>
    <t>Corresponde a paret de la subvencón recibida en 2017 para el lanzamiento del Billetaje sin Contacto (400.846 €).</t>
  </si>
  <si>
    <t>A Metropolitano de Tenerife le es de aplicación la Orden EHA/3362/2010, de 23 de diciembre, por la que se aprueban las normas de adaptación al Plan General de Contabilidad a las empresas concesionarias de infraestructuras públicas.</t>
  </si>
  <si>
    <t>Ello implica que su estructura de Inmovilizado Intangible incorpora dos epígrafes que no figuran en los modelos de balances normales:</t>
  </si>
  <si>
    <t xml:space="preserve">       7. Acuerdo de Concesión, Activo Regulado</t>
  </si>
  <si>
    <t xml:space="preserve">       8. Acuerdo de Concesión, Activación Financiera</t>
  </si>
  <si>
    <t>Se incluyen en el apartado 8. Otros Inmovilizado Intangible.</t>
  </si>
  <si>
    <t>RENOVACIÓN OFICINAS COMERCIALES</t>
  </si>
  <si>
    <t>SISTEMAS</t>
  </si>
  <si>
    <t>SUSTITUIR VALLADO PERIMETRAL SALIDAS TÚNELES (PLASTIFICADO)</t>
  </si>
  <si>
    <t>IMBORNALES CURVA DE GRACIA</t>
  </si>
  <si>
    <t xml:space="preserve">ACOPLAMIENTO NUEVA ACOMETIDA AGUA TINCER </t>
  </si>
  <si>
    <t>COMPRA 4 VEHÍCULOS ELÉCTRICOS</t>
  </si>
  <si>
    <t>APLICACIONES INFORMÁTICAS</t>
  </si>
  <si>
    <t>PATENTES PROYECTOS MTSA</t>
  </si>
  <si>
    <t>PROYECTOS MTSA</t>
  </si>
  <si>
    <t>PROYECTO AMPLIACIÓN LÍNEA 2 A LA GALLEGA</t>
  </si>
  <si>
    <t>PROYECTOS TREN DEL NORTE Y TREN DEL SUR</t>
  </si>
  <si>
    <t>BILLETAJE SIN CONTACTO</t>
  </si>
  <si>
    <t>SISTEMA DE VIDEOVIGILANCIA</t>
  </si>
  <si>
    <t>EQUIPOS INFORMÁTICOS</t>
  </si>
  <si>
    <t>OTRAS MENORES</t>
  </si>
  <si>
    <t>PROYECTO SIMOVE</t>
  </si>
  <si>
    <t>Pérdida derivada de la baja de las oficinas comerciales sustituidas.</t>
  </si>
  <si>
    <t>ANTICIPO PAGADO A INDRA SISTEMAS</t>
  </si>
  <si>
    <t>AJUSTE DE AUDITORÍA</t>
  </si>
  <si>
    <t>Baja de parte de SIMOVE por modificación</t>
  </si>
  <si>
    <t>Reclasificación a inmovilizado intangible Billetaje Sin Contacto</t>
  </si>
  <si>
    <t>En las Cuentas Anuales del ejercicio 2016 esta partida no se contabiliza dentro de los saldos con empresas del grupo. Se incluyen en V. Inversiones Financieras a L/P.</t>
  </si>
  <si>
    <t>Subvención a Cobrar a L/P CIT</t>
  </si>
  <si>
    <t>Subvención a Cobrar a C/P CIT</t>
  </si>
  <si>
    <t>Movimientos de reclasificación de las cuotas a c/p</t>
  </si>
  <si>
    <t>Equipos INDRA Sistemas Billetaje Sin Contacto Anualidades 2020 en adelante</t>
  </si>
  <si>
    <t>Asistencia Técnica Billetaje Sin Contacto Anualidades 2020 en adelante</t>
  </si>
  <si>
    <t>Asistencia Técnica Billetaje Sin Contacto Anualidad 2019</t>
  </si>
  <si>
    <t>Equipos INDRA Sistemas Billetaje Sin Contacto Anualidad 2019</t>
  </si>
  <si>
    <t>En las Cuentas Anuales del ejercicio 2016 esta partida no se contabiliza dentro de los saldos con empresas del grupo. Se incluyen en 6. Otros créditos con las AAPP.</t>
  </si>
  <si>
    <t>Créditos C/P Empresas del grupo</t>
  </si>
  <si>
    <t>Créditos L/P Empresas del Grupo</t>
  </si>
  <si>
    <t>Movimientos de reclasificación de las cuotas a c/p y cobro de la correspondiente a 2018</t>
  </si>
  <si>
    <t>Alta de la subvención para la adquisición del BSC. Tener en cuenta que ya se había cobrado una anualidad en 2017, que estaba como un anticipo pendiente de aplicar. Contabilizamos directamente las anualidades de 2020 en adelante</t>
  </si>
  <si>
    <t>Fianzas constituidas largo plazo</t>
  </si>
  <si>
    <t>Fianzas de Unelco y Emmasa</t>
  </si>
  <si>
    <t>Fianzas constituidas corto plazo</t>
  </si>
  <si>
    <t>Subvención Tren del Sur Convenio AGE</t>
  </si>
  <si>
    <t>INEM</t>
  </si>
  <si>
    <t>Mantenimiento y Riego Plataforma Tranvía</t>
  </si>
  <si>
    <t>Campaña de Lanzamiento del Billetaje Sin Contacto</t>
  </si>
  <si>
    <t>Campeonato Europeo de Conductores</t>
  </si>
  <si>
    <t>Póliza de crédito</t>
  </si>
  <si>
    <t>Caixabank</t>
  </si>
  <si>
    <t>III. Deudas  a corto plazo-
2. Deudas con entidades de crédito</t>
  </si>
  <si>
    <t xml:space="preserve">No </t>
  </si>
  <si>
    <t>N/A</t>
  </si>
  <si>
    <t>Préstamo</t>
  </si>
  <si>
    <t>Leasing</t>
  </si>
  <si>
    <t>BEI</t>
  </si>
  <si>
    <t>BBVA</t>
  </si>
  <si>
    <t>Derivados de Cobertura de Tipos de Interés</t>
  </si>
  <si>
    <t>B-II-2</t>
  </si>
  <si>
    <t>A)-2 II
B-II-4</t>
  </si>
  <si>
    <t>B-II-3</t>
  </si>
  <si>
    <t>DEXIA CREDIT LOCAL</t>
  </si>
  <si>
    <t>Nomura International PLC</t>
  </si>
  <si>
    <t>Banco Santander</t>
  </si>
  <si>
    <t>Indra Sistemas</t>
  </si>
  <si>
    <t>NO</t>
  </si>
  <si>
    <t>Sindicato Bancario</t>
  </si>
  <si>
    <t>El préstamo de importe 19.777.000 € ha sido concedido por el siguiente sindicato bancario:</t>
  </si>
  <si>
    <t xml:space="preserve">BSCH </t>
  </si>
  <si>
    <t xml:space="preserve">DEXIA </t>
  </si>
  <si>
    <t xml:space="preserve">BANKIA </t>
  </si>
  <si>
    <t xml:space="preserve">BBVA </t>
  </si>
  <si>
    <t xml:space="preserve">CAIXABANK  </t>
  </si>
  <si>
    <t>KUTKA</t>
  </si>
  <si>
    <t xml:space="preserve">HELABA </t>
  </si>
  <si>
    <t>Respecto al leasing de INDRA, se ha estimado que se contabiliza a 31.12.2018, po lo que en le ejercicio 2018 no se generan gastos financieros al respecto.</t>
  </si>
  <si>
    <t>Este sindicato es el que avala a Metropolitano de Tenerife en los préstamo quie tiene suscritos con el BEI. En la columna otros gastos financieros de los tramos del BEI se recogen las comisiones de aval pagadas.</t>
  </si>
  <si>
    <t>En la columna de otros gastos financieros se recoge la comisión de agencia pagada al banco Agente.</t>
  </si>
  <si>
    <t>Cabe destacar que, de acuerdo conn la Orden EHA/3362/2010, Metropolitano de Tenerife incorpora al inmovilizado intangible anualmente una parte de los gastos financieros devengados:</t>
  </si>
  <si>
    <t>Gastos Financieros s/PYG</t>
  </si>
  <si>
    <t>Gastos Financieros s/detalle</t>
  </si>
  <si>
    <t>diferencia</t>
  </si>
  <si>
    <t>Ok con Importe en pestaña de inmovilizado.</t>
  </si>
  <si>
    <t>Los ingresos devengados al Cabildo Insular de Tenerife corresponden a la compensación de las políticas de transporte pagadas en virtud del Contrato de Gestión suscrito entre el CIT y MTSA.</t>
  </si>
  <si>
    <t>Estas políticas están destinadas a los usuarios del tranvía y se canalizan a través de MTSA. Es por ello que forman parta de la cifra de negocios.</t>
  </si>
  <si>
    <t>SIST.BILLETAJE (P. MODERNIZAC)</t>
  </si>
  <si>
    <t>MTSA -ASISTENCIA TCA SISTEMA BILLETAJ</t>
  </si>
  <si>
    <t xml:space="preserve">De acuerdo con la aplicación del plan de empresas concesionarias, Metropolitano de Tenerife no contabiliza las subvenciones recibidas para financiar elementos de inmovilizado afectos a la concesión en el Patrimonio Neto de la </t>
  </si>
  <si>
    <t>Sociedad. Se recoge en la cuenta a cobrar a largo y corto plazo (puesto que existen varias anualidades comprometidas). Como contrapartida figura una menor inversión en el Inmovilizado Intangible</t>
  </si>
  <si>
    <t>Bonificaciones de cursos de formación</t>
  </si>
  <si>
    <t>Tarifa de Compensación 2018</t>
  </si>
  <si>
    <t>Metropolitano de Tenerife devenga las políticas de transporte del CIT como parte de su cifra de negocios al ser una explotación destinada al usuario.</t>
  </si>
  <si>
    <t>Se estima que se firme e convenio con el Estado para la anualidad de 2017 de los proyectos de tren del norte y sur.</t>
  </si>
  <si>
    <t>Reclasificación billetaje sin contacto</t>
  </si>
  <si>
    <t>Esto sucede tanto para la subvención del nuevo sistema de billética como para la destinada a cubrir su Asistencia Técnica.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</si>
</sst>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0.00\ &quot;€&quot;;\-#,##0.00\ &quot;€&quot;"/>
    <numFmt numFmtId="164" formatCode="d\-mmm\-yyyy"/>
    <numFmt numFmtId="165" formatCode="dd\-mm\-yy;@"/>
    <numFmt numFmtId="166" formatCode="#,##0.00;[Red]\-#,##0.00;0"/>
  </numFmts>
  <fonts count="59">
    <font>
      <sz val="12"/>
      <color theme="1"/>
      <name val="Helvetica"/>
      <family val="2"/>
    </font>
    <font>
      <sz val="12"/>
      <color theme="1"/>
      <name val="Arial"/>
      <family val="2"/>
    </font>
    <font>
      <sz val="12"/>
      <color theme="1"/>
      <name val="Arial"/>
      <family val="2"/>
    </font>
    <font>
      <sz val="12"/>
      <color theme="1"/>
      <name val="Arial"/>
      <family val="2"/>
      <charset val="134"/>
    </font>
    <font>
      <sz val="12"/>
      <color theme="1"/>
      <name val="Arial"/>
      <family val="2"/>
      <charset val="134"/>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u/>
      <sz val="12"/>
      <color theme="10"/>
      <name val="Helvetica"/>
      <family val="2"/>
    </font>
    <font>
      <u/>
      <sz val="12"/>
      <color theme="11"/>
      <name val="Helvetica"/>
      <family val="2"/>
    </font>
    <font>
      <b/>
      <sz val="12"/>
      <color theme="1"/>
      <name val="Arial"/>
      <family val="2"/>
    </font>
    <font>
      <sz val="12"/>
      <color theme="1"/>
      <name val="Arial"/>
      <family val="2"/>
    </font>
    <font>
      <b/>
      <sz val="22"/>
      <color theme="1"/>
      <name val="Arial"/>
      <family val="2"/>
    </font>
    <font>
      <b/>
      <sz val="14"/>
      <color theme="1"/>
      <name val="Arial"/>
      <family val="2"/>
    </font>
    <font>
      <b/>
      <sz val="18"/>
      <color theme="1"/>
      <name val="Arial"/>
      <family val="2"/>
    </font>
    <font>
      <sz val="14"/>
      <color theme="1"/>
      <name val="Arial"/>
      <family val="2"/>
    </font>
    <font>
      <b/>
      <sz val="11"/>
      <color theme="1"/>
      <name val="Arial"/>
      <family val="2"/>
    </font>
    <font>
      <sz val="11"/>
      <color theme="1"/>
      <name val="Arial"/>
      <family val="2"/>
    </font>
    <font>
      <sz val="10"/>
      <color rgb="FF000000"/>
      <name val="Arial"/>
      <family val="2"/>
    </font>
    <font>
      <sz val="8"/>
      <name val="Helvetica"/>
      <family val="2"/>
    </font>
    <font>
      <sz val="10"/>
      <color theme="0" tint="-0.34998626667073579"/>
      <name val="Arial"/>
      <family val="2"/>
    </font>
    <font>
      <sz val="10"/>
      <color theme="1"/>
      <name val="Arial"/>
      <family val="2"/>
    </font>
    <font>
      <b/>
      <sz val="10"/>
      <color theme="1"/>
      <name val="Arial"/>
      <family val="2"/>
    </font>
    <font>
      <i/>
      <sz val="11"/>
      <color theme="1"/>
      <name val="Arial"/>
      <family val="2"/>
    </font>
    <font>
      <b/>
      <sz val="16"/>
      <color theme="1"/>
      <name val="Arial"/>
      <family val="2"/>
    </font>
    <font>
      <i/>
      <sz val="10"/>
      <color theme="1"/>
      <name val="Arial"/>
      <family val="2"/>
    </font>
    <font>
      <sz val="16"/>
      <color theme="1"/>
      <name val="Arial"/>
      <family val="2"/>
    </font>
    <font>
      <sz val="12"/>
      <color theme="1"/>
      <name val="Helvetica"/>
      <family val="2"/>
    </font>
    <font>
      <sz val="12"/>
      <color rgb="FFFF0000"/>
      <name val="Arial"/>
      <family val="2"/>
    </font>
    <font>
      <sz val="10"/>
      <name val="Arial"/>
      <family val="2"/>
    </font>
    <font>
      <b/>
      <sz val="10"/>
      <name val="Arial"/>
      <family val="2"/>
    </font>
    <font>
      <b/>
      <sz val="12"/>
      <name val="Arial"/>
      <family val="2"/>
    </font>
    <font>
      <b/>
      <sz val="9"/>
      <color theme="1"/>
      <name val="Arial"/>
      <family val="2"/>
    </font>
    <font>
      <b/>
      <sz val="9"/>
      <name val="Arial"/>
      <family val="2"/>
    </font>
    <font>
      <sz val="8"/>
      <color theme="1"/>
      <name val="Arial"/>
      <family val="2"/>
    </font>
    <font>
      <sz val="9"/>
      <color theme="1"/>
      <name val="Arial"/>
      <family val="2"/>
    </font>
    <font>
      <b/>
      <sz val="12"/>
      <color rgb="FFFF0000"/>
      <name val="Arial"/>
      <family val="2"/>
    </font>
    <font>
      <sz val="8"/>
      <name val="Arial"/>
      <family val="2"/>
    </font>
    <font>
      <b/>
      <sz val="14"/>
      <name val="Arial"/>
      <family val="2"/>
    </font>
    <font>
      <b/>
      <sz val="14"/>
      <color rgb="FF000000"/>
      <name val="Arial"/>
      <family val="2"/>
    </font>
    <font>
      <b/>
      <sz val="12"/>
      <color rgb="FF000000"/>
      <name val="Arial"/>
      <family val="2"/>
    </font>
    <font>
      <sz val="14"/>
      <color rgb="FFFF0000"/>
      <name val="Arial"/>
      <family val="2"/>
    </font>
    <font>
      <b/>
      <sz val="10"/>
      <color rgb="FFFF0000"/>
      <name val="Arial"/>
      <family val="2"/>
    </font>
    <font>
      <b/>
      <i/>
      <sz val="10"/>
      <color theme="1"/>
      <name val="Arial"/>
      <family val="2"/>
    </font>
    <font>
      <b/>
      <i/>
      <sz val="12"/>
      <color theme="1"/>
      <name val="Arial"/>
      <family val="2"/>
    </font>
    <font>
      <sz val="10"/>
      <color rgb="FFFF0000"/>
      <name val="Arial"/>
      <family val="2"/>
    </font>
    <font>
      <b/>
      <i/>
      <sz val="14"/>
      <color theme="1"/>
      <name val="Arial"/>
      <family val="2"/>
    </font>
    <font>
      <sz val="12"/>
      <color theme="0"/>
      <name val="Arial"/>
      <family val="2"/>
    </font>
    <font>
      <sz val="12"/>
      <name val="Arial"/>
      <family val="2"/>
    </font>
    <font>
      <b/>
      <u/>
      <sz val="12"/>
      <name val="Arial"/>
      <family val="2"/>
    </font>
    <font>
      <b/>
      <u/>
      <sz val="10"/>
      <color theme="1"/>
      <name val="Arial"/>
      <family val="2"/>
    </font>
    <font>
      <b/>
      <sz val="14"/>
      <color rgb="FFFF0000"/>
      <name val="Arial"/>
      <family val="2"/>
    </font>
    <font>
      <sz val="9"/>
      <name val="Arial"/>
      <family val="2"/>
    </font>
    <font>
      <b/>
      <u/>
      <sz val="12"/>
      <color theme="1"/>
      <name val="Arial"/>
      <family val="2"/>
    </font>
    <font>
      <sz val="10"/>
      <color theme="1"/>
      <name val="Calibri"/>
      <family val="2"/>
      <scheme val="minor"/>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11C1FF"/>
        <bgColor indexed="64"/>
      </patternFill>
    </fill>
    <fill>
      <patternFill patternType="solid">
        <fgColor rgb="FFABE3FF"/>
        <bgColor indexed="64"/>
      </patternFill>
    </fill>
    <fill>
      <patternFill patternType="solid">
        <fgColor rgb="FFFFFFFF"/>
        <bgColor rgb="FF000000"/>
      </patternFill>
    </fill>
    <fill>
      <patternFill patternType="solid">
        <fgColor rgb="FFFFCC66"/>
        <bgColor indexed="64"/>
      </patternFill>
    </fill>
  </fills>
  <borders count="190">
    <border>
      <left/>
      <right/>
      <top/>
      <bottom/>
      <diagonal/>
    </border>
    <border>
      <left/>
      <right/>
      <top/>
      <bottom style="thin">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right/>
      <top/>
      <bottom style="thin">
        <color theme="0" tint="-0.34998626667073579"/>
      </bottom>
      <diagonal/>
    </border>
    <border>
      <left/>
      <right/>
      <top style="thin">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top style="thin">
        <color theme="0" tint="-0.34998626667073579"/>
      </top>
      <bottom style="medium">
        <color theme="0" tint="-0.34998626667073579"/>
      </bottom>
      <diagonal/>
    </border>
    <border>
      <left/>
      <right/>
      <top/>
      <bottom style="hair">
        <color theme="0" tint="-0.34998626667073579"/>
      </bottom>
      <diagonal/>
    </border>
    <border>
      <left/>
      <right/>
      <top style="medium">
        <color theme="0" tint="-0.34998626667073579"/>
      </top>
      <bottom/>
      <diagonal/>
    </border>
    <border>
      <left/>
      <right/>
      <top/>
      <bottom style="medium">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249977111117893"/>
      </left>
      <right style="thin">
        <color theme="0" tint="-0.249977111117893"/>
      </right>
      <top/>
      <bottom style="medium">
        <color theme="0" tint="-0.34998626667073579"/>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34998626667073579"/>
      </bottom>
      <diagonal/>
    </border>
    <border>
      <left style="thin">
        <color theme="0" tint="-0.249977111117893"/>
      </left>
      <right style="thin">
        <color theme="0" tint="-0.249977111117893"/>
      </right>
      <top style="thin">
        <color theme="0" tint="-0.34998626667073579"/>
      </top>
      <bottom style="hair">
        <color theme="0" tint="-0.34998626667073579"/>
      </bottom>
      <diagonal/>
    </border>
    <border>
      <left style="thin">
        <color theme="0" tint="-0.249977111117893"/>
      </left>
      <right style="thin">
        <color theme="0" tint="-0.249977111117893"/>
      </right>
      <top style="hair">
        <color theme="0" tint="-0.34998626667073579"/>
      </top>
      <bottom style="hair">
        <color theme="0" tint="-0.34998626667073579"/>
      </bottom>
      <diagonal/>
    </border>
    <border>
      <left style="thin">
        <color theme="0" tint="-0.249977111117893"/>
      </left>
      <right style="thin">
        <color theme="0" tint="-0.249977111117893"/>
      </right>
      <top style="thin">
        <color theme="0" tint="-0.34998626667073579"/>
      </top>
      <bottom/>
      <diagonal/>
    </border>
    <border>
      <left style="thin">
        <color theme="0" tint="-0.249977111117893"/>
      </left>
      <right style="thin">
        <color theme="0" tint="-0.34998626667073579"/>
      </right>
      <top style="thin">
        <color theme="0" tint="-0.34998626667073579"/>
      </top>
      <bottom/>
      <diagonal/>
    </border>
    <border>
      <left style="thin">
        <color theme="0" tint="-0.34998626667073579"/>
      </left>
      <right/>
      <top/>
      <bottom/>
      <diagonal/>
    </border>
    <border>
      <left style="thin">
        <color theme="0" tint="-0.249977111117893"/>
      </left>
      <right style="thin">
        <color theme="0" tint="-0.34998626667073579"/>
      </right>
      <top/>
      <bottom/>
      <diagonal/>
    </border>
    <border>
      <left style="thin">
        <color theme="0" tint="-0.249977111117893"/>
      </left>
      <right style="thin">
        <color theme="0" tint="-0.34998626667073579"/>
      </right>
      <top/>
      <bottom style="thin">
        <color theme="0" tint="-0.34998626667073579"/>
      </bottom>
      <diagonal/>
    </border>
    <border>
      <left style="thin">
        <color theme="0" tint="-0.34998626667073579"/>
      </left>
      <right/>
      <top style="thin">
        <color theme="0" tint="-0.34998626667073579"/>
      </top>
      <bottom style="hair">
        <color theme="0" tint="-0.34998626667073579"/>
      </bottom>
      <diagonal/>
    </border>
    <border>
      <left style="thin">
        <color theme="0" tint="-0.249977111117893"/>
      </left>
      <right style="thin">
        <color theme="0" tint="-0.34998626667073579"/>
      </right>
      <top style="thin">
        <color theme="0" tint="-0.34998626667073579"/>
      </top>
      <bottom style="hair">
        <color theme="0" tint="-0.34998626667073579"/>
      </bottom>
      <diagonal/>
    </border>
    <border>
      <left style="thin">
        <color theme="0" tint="-0.34998626667073579"/>
      </left>
      <right/>
      <top style="hair">
        <color theme="0" tint="-0.34998626667073579"/>
      </top>
      <bottom style="hair">
        <color theme="0" tint="-0.34998626667073579"/>
      </bottom>
      <diagonal/>
    </border>
    <border>
      <left style="thin">
        <color theme="0" tint="-0.249977111117893"/>
      </left>
      <right style="thin">
        <color theme="0" tint="-0.34998626667073579"/>
      </right>
      <top style="hair">
        <color theme="0" tint="-0.34998626667073579"/>
      </top>
      <bottom style="hair">
        <color theme="0" tint="-0.34998626667073579"/>
      </bottom>
      <diagonal/>
    </border>
    <border>
      <left style="thin">
        <color theme="0" tint="-0.34998626667073579"/>
      </left>
      <right/>
      <top/>
      <bottom style="medium">
        <color theme="0" tint="-0.34998626667073579"/>
      </bottom>
      <diagonal/>
    </border>
    <border>
      <left style="thin">
        <color theme="0" tint="-0.249977111117893"/>
      </left>
      <right style="thin">
        <color theme="0" tint="-0.34998626667073579"/>
      </right>
      <top/>
      <bottom style="medium">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hair">
        <color theme="0" tint="-0.249977111117893"/>
      </bottom>
      <diagonal/>
    </border>
    <border>
      <left/>
      <right/>
      <top style="thin">
        <color theme="0" tint="-0.249977111117893"/>
      </top>
      <bottom style="hair">
        <color theme="0" tint="-0.249977111117893"/>
      </bottom>
      <diagonal/>
    </border>
    <border>
      <left/>
      <right style="thin">
        <color theme="0" tint="-0.249977111117893"/>
      </right>
      <top style="thin">
        <color theme="0" tint="-0.249977111117893"/>
      </top>
      <bottom style="hair">
        <color theme="0" tint="-0.249977111117893"/>
      </bottom>
      <diagonal/>
    </border>
    <border>
      <left style="thin">
        <color theme="0" tint="-0.249977111117893"/>
      </left>
      <right/>
      <top style="hair">
        <color theme="0" tint="-0.249977111117893"/>
      </top>
      <bottom style="hair">
        <color theme="0" tint="-0.249977111117893"/>
      </bottom>
      <diagonal/>
    </border>
    <border>
      <left/>
      <right/>
      <top style="hair">
        <color theme="0" tint="-0.249977111117893"/>
      </top>
      <bottom style="hair">
        <color theme="0" tint="-0.249977111117893"/>
      </bottom>
      <diagonal/>
    </border>
    <border>
      <left/>
      <right style="thin">
        <color theme="0" tint="-0.249977111117893"/>
      </right>
      <top style="hair">
        <color theme="0" tint="-0.249977111117893"/>
      </top>
      <bottom style="hair">
        <color theme="0" tint="-0.249977111117893"/>
      </bottom>
      <diagonal/>
    </border>
    <border>
      <left style="thin">
        <color theme="0" tint="-0.249977111117893"/>
      </left>
      <right/>
      <top style="hair">
        <color theme="0" tint="-0.249977111117893"/>
      </top>
      <bottom style="thin">
        <color theme="0" tint="-0.249977111117893"/>
      </bottom>
      <diagonal/>
    </border>
    <border>
      <left/>
      <right/>
      <top style="hair">
        <color theme="0" tint="-0.249977111117893"/>
      </top>
      <bottom style="thin">
        <color theme="0" tint="-0.249977111117893"/>
      </bottom>
      <diagonal/>
    </border>
    <border>
      <left/>
      <right style="thin">
        <color theme="0" tint="-0.249977111117893"/>
      </right>
      <top style="hair">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style="hair">
        <color theme="0" tint="-0.249977111117893"/>
      </top>
      <bottom style="hair">
        <color theme="0" tint="-0.249977111117893"/>
      </bottom>
      <diagonal/>
    </border>
    <border>
      <left style="thin">
        <color theme="0" tint="-0.249977111117893"/>
      </left>
      <right style="thin">
        <color theme="0" tint="-0.249977111117893"/>
      </right>
      <top style="hair">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hair">
        <color theme="0" tint="-0.249977111117893"/>
      </bottom>
      <diagonal/>
    </border>
    <border>
      <left style="hair">
        <color theme="0" tint="-0.249977111117893"/>
      </left>
      <right style="hair">
        <color theme="0" tint="-0.249977111117893"/>
      </right>
      <top style="thin">
        <color theme="0" tint="-0.249977111117893"/>
      </top>
      <bottom style="hair">
        <color theme="0" tint="-0.249977111117893"/>
      </bottom>
      <diagonal/>
    </border>
    <border>
      <left style="hair">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hair">
        <color theme="0" tint="-0.249977111117893"/>
      </right>
      <top style="hair">
        <color theme="0" tint="-0.249977111117893"/>
      </top>
      <bottom style="hair">
        <color theme="0" tint="-0.249977111117893"/>
      </bottom>
      <diagonal/>
    </border>
    <border>
      <left style="hair">
        <color theme="0" tint="-0.249977111117893"/>
      </left>
      <right style="hair">
        <color theme="0" tint="-0.249977111117893"/>
      </right>
      <top style="hair">
        <color theme="0" tint="-0.249977111117893"/>
      </top>
      <bottom style="hair">
        <color theme="0" tint="-0.249977111117893"/>
      </bottom>
      <diagonal/>
    </border>
    <border>
      <left style="hair">
        <color theme="0" tint="-0.249977111117893"/>
      </left>
      <right style="thin">
        <color theme="0" tint="-0.249977111117893"/>
      </right>
      <top style="hair">
        <color theme="0" tint="-0.249977111117893"/>
      </top>
      <bottom style="hair">
        <color theme="0" tint="-0.249977111117893"/>
      </bottom>
      <diagonal/>
    </border>
    <border>
      <left style="thin">
        <color theme="0" tint="-0.249977111117893"/>
      </left>
      <right style="hair">
        <color theme="0" tint="-0.249977111117893"/>
      </right>
      <top style="hair">
        <color theme="0" tint="-0.249977111117893"/>
      </top>
      <bottom style="thin">
        <color theme="0" tint="-0.249977111117893"/>
      </bottom>
      <diagonal/>
    </border>
    <border>
      <left style="hair">
        <color theme="0" tint="-0.249977111117893"/>
      </left>
      <right style="hair">
        <color theme="0" tint="-0.249977111117893"/>
      </right>
      <top style="hair">
        <color theme="0" tint="-0.249977111117893"/>
      </top>
      <bottom style="thin">
        <color theme="0" tint="-0.249977111117893"/>
      </bottom>
      <diagonal/>
    </border>
    <border>
      <left style="hair">
        <color theme="0" tint="-0.249977111117893"/>
      </left>
      <right style="thin">
        <color theme="0" tint="-0.249977111117893"/>
      </right>
      <top style="hair">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medium">
        <color theme="0" tint="-0.249977111117893"/>
      </bottom>
      <diagonal/>
    </border>
    <border>
      <left style="hair">
        <color theme="0" tint="-0.249977111117893"/>
      </left>
      <right style="hair">
        <color theme="0" tint="-0.249977111117893"/>
      </right>
      <top style="thin">
        <color theme="0" tint="-0.249977111117893"/>
      </top>
      <bottom style="medium">
        <color theme="0" tint="-0.249977111117893"/>
      </bottom>
      <diagonal/>
    </border>
    <border>
      <left style="hair">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hair">
        <color theme="0" tint="-0.249977111117893"/>
      </top>
      <bottom/>
      <diagonal/>
    </border>
    <border>
      <left/>
      <right/>
      <top style="hair">
        <color theme="0" tint="-0.249977111117893"/>
      </top>
      <bottom/>
      <diagonal/>
    </border>
    <border>
      <left style="thin">
        <color theme="0" tint="-0.249977111117893"/>
      </left>
      <right style="thin">
        <color theme="0" tint="-0.249977111117893"/>
      </right>
      <top style="hair">
        <color theme="0" tint="-0.249977111117893"/>
      </top>
      <bottom/>
      <diagonal/>
    </border>
    <border>
      <left style="thin">
        <color theme="0" tint="-0.249977111117893"/>
      </left>
      <right style="hair">
        <color theme="0" tint="-0.249977111117893"/>
      </right>
      <top style="hair">
        <color theme="0" tint="-0.249977111117893"/>
      </top>
      <bottom/>
      <diagonal/>
    </border>
    <border>
      <left style="hair">
        <color theme="0" tint="-0.249977111117893"/>
      </left>
      <right style="hair">
        <color theme="0" tint="-0.249977111117893"/>
      </right>
      <top style="hair">
        <color theme="0" tint="-0.249977111117893"/>
      </top>
      <bottom/>
      <diagonal/>
    </border>
    <border>
      <left/>
      <right style="thin">
        <color theme="0" tint="-0.249977111117893"/>
      </right>
      <top style="hair">
        <color theme="0" tint="-0.249977111117893"/>
      </top>
      <bottom/>
      <diagonal/>
    </border>
    <border>
      <left style="thin">
        <color theme="0" tint="-0.249977111117893"/>
      </left>
      <right/>
      <top/>
      <bottom style="hair">
        <color theme="0" tint="-0.249977111117893"/>
      </bottom>
      <diagonal/>
    </border>
    <border>
      <left/>
      <right/>
      <top/>
      <bottom style="hair">
        <color theme="0" tint="-0.249977111117893"/>
      </bottom>
      <diagonal/>
    </border>
    <border>
      <left style="thin">
        <color theme="0" tint="-0.249977111117893"/>
      </left>
      <right style="thin">
        <color theme="0" tint="-0.249977111117893"/>
      </right>
      <top/>
      <bottom style="hair">
        <color theme="0" tint="-0.249977111117893"/>
      </bottom>
      <diagonal/>
    </border>
    <border>
      <left style="thin">
        <color theme="0" tint="-0.249977111117893"/>
      </left>
      <right style="hair">
        <color theme="0" tint="-0.249977111117893"/>
      </right>
      <top/>
      <bottom style="hair">
        <color theme="0" tint="-0.249977111117893"/>
      </bottom>
      <diagonal/>
    </border>
    <border>
      <left style="hair">
        <color theme="0" tint="-0.249977111117893"/>
      </left>
      <right style="hair">
        <color theme="0" tint="-0.249977111117893"/>
      </right>
      <top/>
      <bottom style="hair">
        <color theme="0" tint="-0.249977111117893"/>
      </bottom>
      <diagonal/>
    </border>
    <border>
      <left/>
      <right style="thin">
        <color theme="0" tint="-0.249977111117893"/>
      </right>
      <top/>
      <bottom style="hair">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style="thin">
        <color theme="0" tint="-0.249977111117893"/>
      </bottom>
      <diagonal/>
    </border>
    <border>
      <left style="hair">
        <color theme="0" tint="-0.249977111117893"/>
      </left>
      <right style="thin">
        <color theme="0" tint="-0.249977111117893"/>
      </right>
      <top style="thin">
        <color theme="0" tint="-0.249977111117893"/>
      </top>
      <bottom style="thin">
        <color theme="0" tint="-0.249977111117893"/>
      </bottom>
      <diagonal/>
    </border>
    <border>
      <left/>
      <right style="hair">
        <color theme="0" tint="-0.249977111117893"/>
      </right>
      <top/>
      <bottom style="hair">
        <color theme="0" tint="-0.249977111117893"/>
      </bottom>
      <diagonal/>
    </border>
    <border>
      <left/>
      <right style="hair">
        <color theme="0" tint="-0.249977111117893"/>
      </right>
      <top style="hair">
        <color theme="0" tint="-0.249977111117893"/>
      </top>
      <bottom style="hair">
        <color theme="0" tint="-0.249977111117893"/>
      </bottom>
      <diagonal/>
    </border>
    <border>
      <left/>
      <right style="hair">
        <color theme="0" tint="-0.249977111117893"/>
      </right>
      <top style="hair">
        <color theme="0" tint="-0.249977111117893"/>
      </top>
      <bottom style="thin">
        <color theme="0" tint="-0.249977111117893"/>
      </bottom>
      <diagonal/>
    </border>
    <border>
      <left/>
      <right style="hair">
        <color theme="0" tint="-0.249977111117893"/>
      </right>
      <top/>
      <bottom/>
      <diagonal/>
    </border>
    <border>
      <left style="hair">
        <color theme="0" tint="-0.249977111117893"/>
      </left>
      <right style="hair">
        <color theme="0" tint="-0.249977111117893"/>
      </right>
      <top/>
      <bottom/>
      <diagonal/>
    </border>
    <border>
      <left style="hair">
        <color theme="0" tint="-0.249977111117893"/>
      </left>
      <right/>
      <top/>
      <bottom/>
      <diagonal/>
    </border>
    <border>
      <left style="hair">
        <color theme="0" tint="-0.249977111117893"/>
      </left>
      <right style="thin">
        <color theme="0" tint="-0.249977111117893"/>
      </right>
      <top/>
      <bottom style="hair">
        <color theme="0" tint="-0.249977111117893"/>
      </bottom>
      <diagonal/>
    </border>
    <border>
      <left/>
      <right style="hair">
        <color theme="0" tint="-0.249977111117893"/>
      </right>
      <top style="thin">
        <color theme="0" tint="-0.249977111117893"/>
      </top>
      <bottom style="medium">
        <color theme="0" tint="-0.249977111117893"/>
      </bottom>
      <diagonal/>
    </border>
    <border>
      <left style="thin">
        <color theme="0" tint="-0.249977111117893"/>
      </left>
      <right style="hair">
        <color theme="0" tint="-0.249977111117893"/>
      </right>
      <top/>
      <bottom style="thin">
        <color theme="0" tint="-0.249977111117893"/>
      </bottom>
      <diagonal/>
    </border>
    <border>
      <left style="hair">
        <color theme="0" tint="-0.249977111117893"/>
      </left>
      <right style="hair">
        <color theme="0" tint="-0.249977111117893"/>
      </right>
      <top/>
      <bottom style="thin">
        <color theme="0" tint="-0.249977111117893"/>
      </bottom>
      <diagonal/>
    </border>
    <border>
      <left style="hair">
        <color theme="0" tint="-0.249977111117893"/>
      </left>
      <right style="thin">
        <color theme="0" tint="-0.249977111117893"/>
      </right>
      <top/>
      <bottom style="thin">
        <color theme="0" tint="-0.249977111117893"/>
      </bottom>
      <diagonal/>
    </border>
    <border>
      <left style="hair">
        <color theme="0" tint="-0.249977111117893"/>
      </left>
      <right style="thin">
        <color theme="0" tint="-0.249977111117893"/>
      </right>
      <top/>
      <bottom/>
      <diagonal/>
    </border>
    <border>
      <left style="thin">
        <color rgb="FFBFBFBF"/>
      </left>
      <right/>
      <top style="thin">
        <color rgb="FFBFBFBF"/>
      </top>
      <bottom style="medium">
        <color rgb="FFBFBFBF"/>
      </bottom>
      <diagonal/>
    </border>
    <border>
      <left/>
      <right style="thin">
        <color rgb="FFBFBFBF"/>
      </right>
      <top style="thin">
        <color rgb="FFBFBFBF"/>
      </top>
      <bottom style="medium">
        <color rgb="FFBFBFBF"/>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top style="thin">
        <color theme="0" tint="-0.249977111117893"/>
      </top>
      <bottom style="thick">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right style="thin">
        <color theme="0" tint="-0.34998626667073579"/>
      </right>
      <top/>
      <bottom/>
      <diagonal/>
    </border>
    <border>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34998626667073579"/>
      </bottom>
      <diagonal/>
    </border>
    <border>
      <left style="thin">
        <color theme="0" tint="-0.34998626667073579"/>
      </left>
      <right style="thin">
        <color theme="0" tint="-0.249977111117893"/>
      </right>
      <top style="thin">
        <color theme="0" tint="-0.34998626667073579"/>
      </top>
      <bottom style="hair">
        <color theme="0" tint="-0.34998626667073579"/>
      </bottom>
      <diagonal/>
    </border>
    <border>
      <left style="thin">
        <color theme="0" tint="-0.34998626667073579"/>
      </left>
      <right style="thin">
        <color theme="0" tint="-0.249977111117893"/>
      </right>
      <top style="hair">
        <color theme="0" tint="-0.34998626667073579"/>
      </top>
      <bottom style="hair">
        <color theme="0" tint="-0.34998626667073579"/>
      </bottom>
      <diagonal/>
    </border>
    <border>
      <left style="thin">
        <color theme="0" tint="-0.34998626667073579"/>
      </left>
      <right style="thin">
        <color theme="0" tint="-0.249977111117893"/>
      </right>
      <top/>
      <bottom style="medium">
        <color theme="0" tint="-0.34998626667073579"/>
      </bottom>
      <diagonal/>
    </border>
    <border>
      <left style="thin">
        <color theme="0" tint="-0.34998626667073579"/>
      </left>
      <right style="thin">
        <color theme="0" tint="-0.34998626667073579"/>
      </right>
      <top style="thin">
        <color theme="0" tint="-0.249977111117893"/>
      </top>
      <bottom/>
      <diagonal/>
    </border>
    <border>
      <left style="thin">
        <color theme="0" tint="-0.34998626667073579"/>
      </left>
      <right style="thin">
        <color theme="0" tint="-0.249977111117893"/>
      </right>
      <top style="thin">
        <color theme="0" tint="-0.249977111117893"/>
      </top>
      <bottom/>
      <diagonal/>
    </border>
    <border>
      <left style="thin">
        <color theme="0" tint="-0.249977111117893"/>
      </left>
      <right/>
      <top/>
      <bottom style="thin">
        <color theme="0" tint="-0.34998626667073579"/>
      </bottom>
      <diagonal/>
    </border>
    <border>
      <left/>
      <right style="thin">
        <color theme="0" tint="-0.249977111117893"/>
      </right>
      <top/>
      <bottom style="thin">
        <color theme="0" tint="-0.34998626667073579"/>
      </bottom>
      <diagonal/>
    </border>
    <border>
      <left style="thin">
        <color theme="0" tint="-0.249977111117893"/>
      </left>
      <right/>
      <top style="thin">
        <color theme="0" tint="-0.34998626667073579"/>
      </top>
      <bottom style="hair">
        <color theme="0" tint="-0.34998626667073579"/>
      </bottom>
      <diagonal/>
    </border>
    <border>
      <left/>
      <right style="thin">
        <color theme="0" tint="-0.249977111117893"/>
      </right>
      <top style="thin">
        <color theme="0" tint="-0.34998626667073579"/>
      </top>
      <bottom style="hair">
        <color theme="0" tint="-0.34998626667073579"/>
      </bottom>
      <diagonal/>
    </border>
    <border>
      <left style="thin">
        <color theme="0" tint="-0.249977111117893"/>
      </left>
      <right/>
      <top style="hair">
        <color theme="0" tint="-0.34998626667073579"/>
      </top>
      <bottom style="hair">
        <color theme="0" tint="-0.34998626667073579"/>
      </bottom>
      <diagonal/>
    </border>
    <border>
      <left/>
      <right style="thin">
        <color theme="0" tint="-0.249977111117893"/>
      </right>
      <top style="hair">
        <color theme="0" tint="-0.34998626667073579"/>
      </top>
      <bottom style="hair">
        <color theme="0" tint="-0.34998626667073579"/>
      </bottom>
      <diagonal/>
    </border>
    <border>
      <left style="thin">
        <color theme="0" tint="-0.249977111117893"/>
      </left>
      <right/>
      <top style="hair">
        <color theme="0" tint="-0.34998626667073579"/>
      </top>
      <bottom style="thin">
        <color theme="0" tint="-0.249977111117893"/>
      </bottom>
      <diagonal/>
    </border>
    <border>
      <left/>
      <right/>
      <top style="hair">
        <color theme="0" tint="-0.34998626667073579"/>
      </top>
      <bottom style="thin">
        <color theme="0" tint="-0.249977111117893"/>
      </bottom>
      <diagonal/>
    </border>
    <border>
      <left style="thin">
        <color theme="0" tint="-0.34998626667073579"/>
      </left>
      <right style="thin">
        <color theme="0" tint="-0.34998626667073579"/>
      </right>
      <top style="hair">
        <color theme="0" tint="-0.34998626667073579"/>
      </top>
      <bottom style="thin">
        <color theme="0" tint="-0.249977111117893"/>
      </bottom>
      <diagonal/>
    </border>
    <border>
      <left style="thin">
        <color theme="0" tint="-0.34998626667073579"/>
      </left>
      <right style="thin">
        <color theme="0" tint="-0.249977111117893"/>
      </right>
      <top style="hair">
        <color theme="0" tint="-0.34998626667073579"/>
      </top>
      <bottom style="thin">
        <color theme="0" tint="-0.249977111117893"/>
      </bottom>
      <diagonal/>
    </border>
    <border>
      <left/>
      <right style="thin">
        <color theme="0" tint="-0.249977111117893"/>
      </right>
      <top style="hair">
        <color theme="0" tint="-0.34998626667073579"/>
      </top>
      <bottom style="thin">
        <color theme="0" tint="-0.249977111117893"/>
      </bottom>
      <diagonal/>
    </border>
    <border>
      <left style="thin">
        <color theme="0" tint="-0.249977111117893"/>
      </left>
      <right/>
      <top/>
      <bottom style="medium">
        <color theme="0" tint="-0.34998626667073579"/>
      </bottom>
      <diagonal/>
    </border>
    <border>
      <left style="thin">
        <color theme="0" tint="-0.249977111117893"/>
      </left>
      <right/>
      <top/>
      <bottom style="hair">
        <color theme="0" tint="-0.34998626667073579"/>
      </bottom>
      <diagonal/>
    </border>
    <border>
      <left style="thin">
        <color theme="0" tint="-0.249977111117893"/>
      </left>
      <right/>
      <top style="thin">
        <color theme="0" tint="-0.34998626667073579"/>
      </top>
      <bottom style="medium">
        <color theme="0" tint="-0.34998626667073579"/>
      </bottom>
      <diagonal/>
    </border>
    <border>
      <left style="thin">
        <color theme="0" tint="-0.249977111117893"/>
      </left>
      <right/>
      <top style="medium">
        <color theme="0" tint="-0.34998626667073579"/>
      </top>
      <bottom/>
      <diagonal/>
    </border>
    <border>
      <left style="thin">
        <color theme="0" tint="-0.249977111117893"/>
      </left>
      <right style="thin">
        <color theme="0" tint="-0.249977111117893"/>
      </right>
      <top style="thin">
        <color theme="0" tint="-0.34998626667073579"/>
      </top>
      <bottom style="medium">
        <color theme="0" tint="-0.34998626667073579"/>
      </bottom>
      <diagonal/>
    </border>
    <border>
      <left style="thin">
        <color theme="0" tint="-0.249977111117893"/>
      </left>
      <right style="thin">
        <color theme="0" tint="-0.249977111117893"/>
      </right>
      <top/>
      <bottom style="hair">
        <color theme="0" tint="-0.34998626667073579"/>
      </bottom>
      <diagonal/>
    </border>
    <border>
      <left style="thin">
        <color theme="0" tint="-0.249977111117893"/>
      </left>
      <right style="thin">
        <color theme="0" tint="-0.249977111117893"/>
      </right>
      <top style="medium">
        <color theme="0" tint="-0.34998626667073579"/>
      </top>
      <bottom/>
      <diagonal/>
    </border>
    <border>
      <left style="thin">
        <color theme="0" tint="-0.249977111117893"/>
      </left>
      <right/>
      <top style="medium">
        <color theme="0" tint="-0.249977111117893"/>
      </top>
      <bottom style="hair">
        <color theme="0" tint="-0.249977111117893"/>
      </bottom>
      <diagonal/>
    </border>
    <border>
      <left/>
      <right style="thin">
        <color theme="0" tint="-0.249977111117893"/>
      </right>
      <top style="medium">
        <color theme="0" tint="-0.249977111117893"/>
      </top>
      <bottom style="hair">
        <color theme="0" tint="-0.249977111117893"/>
      </bottom>
      <diagonal/>
    </border>
    <border>
      <left style="thin">
        <color theme="0" tint="-0.249977111117893"/>
      </left>
      <right style="thin">
        <color theme="0" tint="-0.249977111117893"/>
      </right>
      <top style="medium">
        <color theme="0" tint="-0.249977111117893"/>
      </top>
      <bottom style="hair">
        <color theme="0" tint="-0.249977111117893"/>
      </bottom>
      <diagonal/>
    </border>
    <border>
      <left/>
      <right/>
      <top style="medium">
        <color theme="0" tint="-0.249977111117893"/>
      </top>
      <bottom style="hair">
        <color theme="0" tint="-0.249977111117893"/>
      </bottom>
      <diagonal/>
    </border>
    <border>
      <left style="thin">
        <color theme="0" tint="-0.24994659260841701"/>
      </left>
      <right style="thin">
        <color theme="0" tint="-0.24994659260841701"/>
      </right>
      <top style="thin">
        <color theme="0" tint="-0.24994659260841701"/>
      </top>
      <bottom style="medium">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bottom/>
      <diagonal/>
    </border>
    <border>
      <left style="thin">
        <color theme="0" tint="-0.24994659260841701"/>
      </left>
      <right/>
      <top/>
      <bottom style="thin">
        <color theme="0" tint="-0.34998626667073579"/>
      </bottom>
      <diagonal/>
    </border>
    <border>
      <left style="thin">
        <color theme="0" tint="-0.24994659260841701"/>
      </left>
      <right/>
      <top/>
      <bottom style="medium">
        <color theme="0" tint="-0.34998626667073579"/>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thin">
        <color theme="0" tint="-0.24994659260841701"/>
      </right>
      <top style="hair">
        <color theme="0" tint="-0.34998626667073579"/>
      </top>
      <bottom style="hair">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hair">
        <color theme="0" tint="-0.34998626667073579"/>
      </bottom>
      <diagonal/>
    </border>
    <border>
      <left style="thin">
        <color theme="0" tint="-0.24994659260841701"/>
      </left>
      <right/>
      <top style="thin">
        <color theme="0" tint="-0.24994659260841701"/>
      </top>
      <bottom style="medium">
        <color theme="0" tint="-0.34998626667073579"/>
      </bottom>
      <diagonal/>
    </border>
    <border>
      <left/>
      <right/>
      <top style="thin">
        <color theme="0" tint="-0.24994659260841701"/>
      </top>
      <bottom style="medium">
        <color theme="0" tint="-0.34998626667073579"/>
      </bottom>
      <diagonal/>
    </border>
    <border>
      <left style="medium">
        <color rgb="FFBFBFBF"/>
      </left>
      <right/>
      <top/>
      <bottom style="medium">
        <color rgb="FFBFBFBF"/>
      </bottom>
      <diagonal/>
    </border>
    <border>
      <left/>
      <right/>
      <top/>
      <bottom style="medium">
        <color rgb="FFBFBFBF"/>
      </bottom>
      <diagonal/>
    </border>
    <border>
      <left/>
      <right style="medium">
        <color rgb="FFBFBFBF"/>
      </right>
      <top/>
      <bottom style="medium">
        <color rgb="FFBFBFBF"/>
      </bottom>
      <diagonal/>
    </border>
    <border>
      <left style="medium">
        <color rgb="FFBFBFBF"/>
      </left>
      <right/>
      <top style="medium">
        <color rgb="FFBFBFBF"/>
      </top>
      <bottom/>
      <diagonal/>
    </border>
    <border>
      <left/>
      <right/>
      <top style="medium">
        <color rgb="FFBFBFBF"/>
      </top>
      <bottom/>
      <diagonal/>
    </border>
    <border>
      <left/>
      <right style="medium">
        <color rgb="FFBFBFBF"/>
      </right>
      <top style="medium">
        <color rgb="FFBFBFBF"/>
      </top>
      <bottom/>
      <diagonal/>
    </border>
    <border>
      <left style="medium">
        <color rgb="FFBFBFBF"/>
      </left>
      <right/>
      <top/>
      <bottom/>
      <diagonal/>
    </border>
    <border>
      <left/>
      <right style="medium">
        <color rgb="FFBFBFBF"/>
      </right>
      <top/>
      <bottom/>
      <diagonal/>
    </border>
    <border>
      <left style="thin">
        <color theme="0" tint="-0.249977111117893"/>
      </left>
      <right/>
      <top style="hair">
        <color theme="0" tint="-0.249977111117893"/>
      </top>
      <bottom style="medium">
        <color theme="0" tint="-0.249977111117893"/>
      </bottom>
      <diagonal/>
    </border>
    <border>
      <left/>
      <right style="thin">
        <color theme="0" tint="-0.249977111117893"/>
      </right>
      <top style="hair">
        <color theme="0" tint="-0.249977111117893"/>
      </top>
      <bottom style="medium">
        <color theme="0" tint="-0.249977111117893"/>
      </bottom>
      <diagonal/>
    </border>
    <border>
      <left style="thin">
        <color theme="0" tint="-0.34998626667073579"/>
      </left>
      <right style="medium">
        <color theme="0" tint="-0.34998626667073579"/>
      </right>
      <top style="thin">
        <color theme="0" tint="-0.249977111117893"/>
      </top>
      <bottom style="medium">
        <color theme="0" tint="-0.34998626667073579"/>
      </bottom>
      <diagonal/>
    </border>
    <border>
      <left style="thin">
        <color theme="0" tint="-0.34998626667073579"/>
      </left>
      <right style="thin">
        <color theme="0" tint="-0.34998626667073579"/>
      </right>
      <top style="thin">
        <color theme="0" tint="-0.249977111117893"/>
      </top>
      <bottom style="medium">
        <color theme="0" tint="-0.34998626667073579"/>
      </bottom>
      <diagonal/>
    </border>
    <border>
      <left style="thin">
        <color theme="0" tint="-0.34998626667073579"/>
      </left>
      <right style="hair">
        <color theme="0" tint="-0.34998626667073579"/>
      </right>
      <top style="thin">
        <color theme="0" tint="-0.249977111117893"/>
      </top>
      <bottom style="medium">
        <color theme="0" tint="-0.34998626667073579"/>
      </bottom>
      <diagonal/>
    </border>
  </borders>
  <cellStyleXfs count="709">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9" fontId="30" fillId="0" borderId="0" applyFont="0" applyFill="0" applyBorder="0" applyAlignment="0" applyProtection="0"/>
    <xf numFmtId="0" fontId="32"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228">
    <xf numFmtId="0" fontId="0" fillId="0" borderId="0" xfId="0"/>
    <xf numFmtId="0" fontId="13" fillId="2" borderId="0" xfId="0" applyFont="1" applyFill="1" applyBorder="1"/>
    <xf numFmtId="0" fontId="14" fillId="2" borderId="0" xfId="0" applyFont="1" applyFill="1"/>
    <xf numFmtId="0" fontId="14" fillId="2" borderId="0" xfId="0" applyFont="1" applyFill="1" applyBorder="1"/>
    <xf numFmtId="0" fontId="14" fillId="0" borderId="0" xfId="0" applyFont="1"/>
    <xf numFmtId="0" fontId="14" fillId="2" borderId="6" xfId="0" applyFont="1" applyFill="1" applyBorder="1"/>
    <xf numFmtId="0" fontId="14" fillId="2" borderId="7" xfId="0" applyFont="1" applyFill="1" applyBorder="1"/>
    <xf numFmtId="0" fontId="14" fillId="2" borderId="8" xfId="0" applyFont="1" applyFill="1" applyBorder="1"/>
    <xf numFmtId="0" fontId="14" fillId="2" borderId="9" xfId="0" applyFont="1" applyFill="1" applyBorder="1"/>
    <xf numFmtId="0" fontId="14" fillId="2" borderId="10" xfId="0" applyFont="1" applyFill="1" applyBorder="1"/>
    <xf numFmtId="0" fontId="14" fillId="2" borderId="0" xfId="0" applyFont="1" applyFill="1" applyBorder="1" applyAlignment="1">
      <alignment horizontal="center"/>
    </xf>
    <xf numFmtId="0" fontId="16" fillId="5" borderId="0" xfId="0" applyFont="1" applyFill="1" applyBorder="1" applyAlignment="1">
      <alignment vertical="center"/>
    </xf>
    <xf numFmtId="0" fontId="13" fillId="2" borderId="0" xfId="0" applyFont="1" applyFill="1"/>
    <xf numFmtId="0" fontId="13" fillId="2" borderId="1" xfId="0" applyFont="1" applyFill="1" applyBorder="1"/>
    <xf numFmtId="0" fontId="14" fillId="2" borderId="0" xfId="0" applyFont="1" applyFill="1" applyBorder="1" applyAlignment="1"/>
    <xf numFmtId="0" fontId="14" fillId="2" borderId="0" xfId="0" applyFont="1" applyFill="1" applyAlignment="1">
      <alignment vertical="center"/>
    </xf>
    <xf numFmtId="0" fontId="15" fillId="2" borderId="0" xfId="0" applyFont="1" applyFill="1" applyBorder="1" applyAlignment="1">
      <alignment horizontal="center" vertical="center"/>
    </xf>
    <xf numFmtId="0" fontId="14" fillId="2" borderId="0" xfId="0" applyFont="1" applyFill="1" applyAlignment="1">
      <alignment horizontal="left"/>
    </xf>
    <xf numFmtId="0" fontId="14" fillId="2" borderId="11" xfId="0" applyFont="1" applyFill="1" applyBorder="1"/>
    <xf numFmtId="0" fontId="14" fillId="2" borderId="12" xfId="0" applyFont="1" applyFill="1" applyBorder="1"/>
    <xf numFmtId="0" fontId="14" fillId="2" borderId="13" xfId="0" applyFont="1" applyFill="1" applyBorder="1"/>
    <xf numFmtId="0" fontId="14" fillId="2" borderId="0" xfId="0" applyFont="1" applyFill="1" applyBorder="1" applyAlignment="1">
      <alignment horizontal="left" vertical="center"/>
    </xf>
    <xf numFmtId="0" fontId="13" fillId="2" borderId="0" xfId="0" applyFont="1" applyFill="1" applyBorder="1" applyAlignment="1">
      <alignment vertical="center"/>
    </xf>
    <xf numFmtId="0" fontId="17" fillId="2" borderId="0" xfId="0" applyFont="1" applyFill="1" applyBorder="1"/>
    <xf numFmtId="0" fontId="18" fillId="2" borderId="9" xfId="0" applyFont="1" applyFill="1" applyBorder="1"/>
    <xf numFmtId="0" fontId="13" fillId="2" borderId="10" xfId="0" applyFont="1" applyFill="1" applyBorder="1"/>
    <xf numFmtId="0" fontId="14" fillId="2" borderId="2" xfId="0" applyFont="1" applyFill="1" applyBorder="1"/>
    <xf numFmtId="0" fontId="19" fillId="2" borderId="1" xfId="0" applyFont="1" applyFill="1" applyBorder="1"/>
    <xf numFmtId="0" fontId="19" fillId="2" borderId="1" xfId="0" applyFont="1" applyFill="1" applyBorder="1" applyAlignment="1">
      <alignment horizontal="center" wrapText="1"/>
    </xf>
    <xf numFmtId="0" fontId="20" fillId="2" borderId="4" xfId="0" applyFont="1" applyFill="1" applyBorder="1"/>
    <xf numFmtId="0" fontId="20" fillId="2" borderId="5" xfId="0" applyFont="1" applyFill="1" applyBorder="1"/>
    <xf numFmtId="0" fontId="20" fillId="2" borderId="0" xfId="0" applyFont="1" applyFill="1" applyBorder="1"/>
    <xf numFmtId="0" fontId="20" fillId="2" borderId="0" xfId="0" applyFont="1" applyFill="1" applyBorder="1" applyAlignment="1">
      <alignment horizontal="left"/>
    </xf>
    <xf numFmtId="164" fontId="20" fillId="2" borderId="0" xfId="0" applyNumberFormat="1" applyFont="1" applyFill="1" applyBorder="1" applyAlignment="1">
      <alignment horizontal="center"/>
    </xf>
    <xf numFmtId="0" fontId="20" fillId="2" borderId="2" xfId="0" applyFont="1" applyFill="1" applyBorder="1"/>
    <xf numFmtId="164" fontId="14" fillId="2" borderId="12" xfId="0" applyNumberFormat="1" applyFont="1" applyFill="1" applyBorder="1" applyAlignment="1">
      <alignment horizontal="center"/>
    </xf>
    <xf numFmtId="164" fontId="14" fillId="2" borderId="0" xfId="0" applyNumberFormat="1" applyFont="1" applyFill="1" applyAlignment="1">
      <alignment horizontal="center"/>
    </xf>
    <xf numFmtId="0" fontId="21" fillId="2" borderId="0" xfId="0" applyFont="1" applyFill="1" applyBorder="1"/>
    <xf numFmtId="0" fontId="21" fillId="2" borderId="0" xfId="0" applyFont="1" applyFill="1"/>
    <xf numFmtId="0" fontId="13" fillId="4" borderId="0" xfId="0" applyFont="1" applyFill="1" applyBorder="1" applyAlignment="1">
      <alignment vertical="center"/>
    </xf>
    <xf numFmtId="0" fontId="13" fillId="4" borderId="0" xfId="0" applyFont="1" applyFill="1" applyBorder="1" applyAlignment="1">
      <alignment horizontal="left" vertical="center"/>
    </xf>
    <xf numFmtId="0" fontId="23" fillId="2" borderId="0" xfId="0" applyFont="1" applyFill="1" applyAlignment="1">
      <alignment horizontal="right"/>
    </xf>
    <xf numFmtId="0" fontId="24" fillId="2" borderId="0" xfId="0" applyFont="1" applyFill="1"/>
    <xf numFmtId="164" fontId="24" fillId="2" borderId="0" xfId="0" applyNumberFormat="1" applyFont="1" applyFill="1" applyAlignment="1">
      <alignment horizontal="center"/>
    </xf>
    <xf numFmtId="0" fontId="24" fillId="2" borderId="0" xfId="0" applyFont="1" applyFill="1" applyBorder="1"/>
    <xf numFmtId="0" fontId="24" fillId="2" borderId="6" xfId="0" applyFont="1" applyFill="1" applyBorder="1"/>
    <xf numFmtId="0" fontId="24" fillId="2" borderId="7" xfId="0" applyFont="1" applyFill="1" applyBorder="1"/>
    <xf numFmtId="0" fontId="24" fillId="2" borderId="8" xfId="0" applyFont="1" applyFill="1" applyBorder="1"/>
    <xf numFmtId="0" fontId="24" fillId="2" borderId="9" xfId="0" applyFont="1" applyFill="1" applyBorder="1"/>
    <xf numFmtId="0" fontId="25" fillId="2" borderId="0" xfId="0" applyFont="1" applyFill="1" applyBorder="1"/>
    <xf numFmtId="0" fontId="24" fillId="2" borderId="10" xfId="0" applyFont="1" applyFill="1" applyBorder="1"/>
    <xf numFmtId="0" fontId="25" fillId="2" borderId="0" xfId="0" applyFont="1" applyFill="1" applyBorder="1" applyAlignment="1">
      <alignment horizontal="center" vertical="center"/>
    </xf>
    <xf numFmtId="0" fontId="24" fillId="2" borderId="11" xfId="0" applyFont="1" applyFill="1" applyBorder="1"/>
    <xf numFmtId="0" fontId="24" fillId="2" borderId="12" xfId="0" applyFont="1" applyFill="1" applyBorder="1" applyAlignment="1">
      <alignment horizontal="left"/>
    </xf>
    <xf numFmtId="0" fontId="24" fillId="2" borderId="12" xfId="0" applyFont="1" applyFill="1" applyBorder="1"/>
    <xf numFmtId="0" fontId="24" fillId="2" borderId="13" xfId="0" applyFont="1" applyFill="1" applyBorder="1"/>
    <xf numFmtId="0" fontId="13" fillId="4" borderId="0" xfId="0" applyFont="1" applyFill="1" applyBorder="1" applyAlignment="1">
      <alignment horizontal="left" vertical="center"/>
    </xf>
    <xf numFmtId="0" fontId="24" fillId="2" borderId="12" xfId="0" applyFont="1" applyFill="1" applyBorder="1" applyAlignment="1">
      <alignment horizontal="left"/>
    </xf>
    <xf numFmtId="0" fontId="10" fillId="2" borderId="9" xfId="0" applyFont="1" applyFill="1" applyBorder="1"/>
    <xf numFmtId="0" fontId="10" fillId="2" borderId="10" xfId="0" applyFont="1" applyFill="1" applyBorder="1"/>
    <xf numFmtId="0" fontId="10" fillId="2" borderId="0" xfId="0" applyFont="1" applyFill="1"/>
    <xf numFmtId="0" fontId="18" fillId="2" borderId="10" xfId="0" applyFont="1" applyFill="1" applyBorder="1"/>
    <xf numFmtId="0" fontId="16" fillId="2" borderId="0" xfId="0" applyFont="1" applyFill="1" applyAlignment="1">
      <alignment vertical="center"/>
    </xf>
    <xf numFmtId="0" fontId="14" fillId="2" borderId="0" xfId="0" applyFont="1" applyFill="1" applyBorder="1" applyAlignment="1">
      <alignment vertical="center"/>
    </xf>
    <xf numFmtId="0" fontId="10" fillId="2" borderId="0" xfId="0" applyFont="1" applyFill="1" applyBorder="1"/>
    <xf numFmtId="0" fontId="10" fillId="2" borderId="0" xfId="0" applyFont="1" applyFill="1" applyBorder="1" applyAlignment="1">
      <alignment horizontal="left" vertical="center"/>
    </xf>
    <xf numFmtId="0" fontId="10" fillId="2" borderId="0" xfId="0" applyFont="1" applyFill="1" applyBorder="1" applyAlignment="1">
      <alignment vertical="center"/>
    </xf>
    <xf numFmtId="0" fontId="10" fillId="2" borderId="0" xfId="0" applyFont="1" applyFill="1" applyAlignment="1">
      <alignment horizontal="left"/>
    </xf>
    <xf numFmtId="0" fontId="16" fillId="2" borderId="0" xfId="0" applyFont="1" applyFill="1" applyBorder="1" applyAlignment="1">
      <alignment vertical="center"/>
    </xf>
    <xf numFmtId="0" fontId="13" fillId="2" borderId="0" xfId="0" applyFont="1" applyFill="1" applyBorder="1" applyAlignment="1">
      <alignment horizontal="left"/>
    </xf>
    <xf numFmtId="0" fontId="24" fillId="3" borderId="0" xfId="0" applyFont="1" applyFill="1" applyBorder="1"/>
    <xf numFmtId="0" fontId="13" fillId="2" borderId="21" xfId="0" applyFont="1" applyFill="1" applyBorder="1" applyAlignment="1">
      <alignment horizontal="center"/>
    </xf>
    <xf numFmtId="0" fontId="13" fillId="2" borderId="21" xfId="0" applyFont="1" applyFill="1" applyBorder="1"/>
    <xf numFmtId="0" fontId="10" fillId="2" borderId="22" xfId="0" applyFont="1" applyFill="1" applyBorder="1"/>
    <xf numFmtId="0" fontId="10" fillId="2" borderId="23" xfId="0" applyFont="1" applyFill="1" applyBorder="1"/>
    <xf numFmtId="0" fontId="10" fillId="2" borderId="25" xfId="0" applyFont="1" applyFill="1" applyBorder="1"/>
    <xf numFmtId="0" fontId="16" fillId="2" borderId="24" xfId="0" applyFont="1" applyFill="1" applyBorder="1"/>
    <xf numFmtId="0" fontId="18" fillId="2" borderId="0" xfId="0" applyFont="1" applyFill="1"/>
    <xf numFmtId="0" fontId="16" fillId="2" borderId="27" xfId="0" applyFont="1" applyFill="1" applyBorder="1"/>
    <xf numFmtId="2" fontId="10" fillId="2" borderId="26" xfId="0" applyNumberFormat="1" applyFont="1" applyFill="1" applyBorder="1"/>
    <xf numFmtId="0" fontId="26" fillId="2" borderId="0" xfId="0" applyFont="1" applyFill="1" applyBorder="1"/>
    <xf numFmtId="0" fontId="27" fillId="2" borderId="27" xfId="0" applyFont="1" applyFill="1" applyBorder="1"/>
    <xf numFmtId="0" fontId="29" fillId="2" borderId="9" xfId="0" applyFont="1" applyFill="1" applyBorder="1"/>
    <xf numFmtId="0" fontId="29" fillId="2" borderId="10" xfId="0" applyFont="1" applyFill="1" applyBorder="1"/>
    <xf numFmtId="0" fontId="29" fillId="2" borderId="0" xfId="0" applyFont="1" applyFill="1"/>
    <xf numFmtId="0" fontId="27" fillId="2" borderId="27" xfId="0" applyFont="1" applyFill="1" applyBorder="1" applyAlignment="1">
      <alignment horizontal="left"/>
    </xf>
    <xf numFmtId="0" fontId="16" fillId="2" borderId="21" xfId="0" applyFont="1" applyFill="1" applyBorder="1"/>
    <xf numFmtId="0" fontId="16" fillId="2" borderId="0" xfId="0" applyFont="1" applyFill="1" applyBorder="1" applyAlignment="1">
      <alignment horizontal="center"/>
    </xf>
    <xf numFmtId="0" fontId="16" fillId="2" borderId="0" xfId="0" applyFont="1" applyFill="1" applyBorder="1"/>
    <xf numFmtId="0" fontId="28" fillId="2" borderId="0" xfId="0" applyFont="1" applyFill="1" applyBorder="1"/>
    <xf numFmtId="4" fontId="24" fillId="2" borderId="0" xfId="0" applyNumberFormat="1" applyFont="1" applyFill="1"/>
    <xf numFmtId="4" fontId="24" fillId="2" borderId="7" xfId="0" applyNumberFormat="1" applyFont="1" applyFill="1" applyBorder="1"/>
    <xf numFmtId="4" fontId="24" fillId="2" borderId="0" xfId="0" applyNumberFormat="1" applyFont="1" applyFill="1" applyBorder="1"/>
    <xf numFmtId="4" fontId="25" fillId="2" borderId="0" xfId="0" applyNumberFormat="1" applyFont="1" applyFill="1" applyBorder="1" applyAlignment="1">
      <alignment horizontal="center" vertical="center"/>
    </xf>
    <xf numFmtId="4" fontId="16" fillId="5" borderId="0" xfId="0" applyNumberFormat="1" applyFont="1" applyFill="1" applyBorder="1" applyAlignment="1">
      <alignment vertical="center"/>
    </xf>
    <xf numFmtId="4" fontId="16" fillId="2" borderId="0" xfId="0" applyNumberFormat="1" applyFont="1" applyFill="1" applyBorder="1" applyAlignment="1">
      <alignment vertical="center"/>
    </xf>
    <xf numFmtId="4" fontId="24" fillId="2" borderId="12" xfId="0" applyNumberFormat="1" applyFont="1" applyFill="1" applyBorder="1"/>
    <xf numFmtId="4" fontId="23" fillId="2" borderId="0" xfId="0" applyNumberFormat="1" applyFont="1" applyFill="1" applyAlignment="1">
      <alignment horizontal="right"/>
    </xf>
    <xf numFmtId="4" fontId="16" fillId="2" borderId="0" xfId="0" applyNumberFormat="1" applyFont="1" applyFill="1" applyBorder="1" applyAlignment="1">
      <alignment horizontal="left" vertical="center"/>
    </xf>
    <xf numFmtId="0" fontId="24" fillId="2" borderId="0" xfId="0" applyFont="1" applyFill="1" applyAlignment="1">
      <alignment horizontal="left"/>
    </xf>
    <xf numFmtId="4" fontId="24" fillId="2" borderId="0" xfId="0" applyNumberFormat="1" applyFont="1" applyFill="1" applyAlignment="1">
      <alignment horizontal="left"/>
    </xf>
    <xf numFmtId="0" fontId="24" fillId="2" borderId="6" xfId="0" applyFont="1" applyFill="1" applyBorder="1" applyAlignment="1">
      <alignment horizontal="left"/>
    </xf>
    <xf numFmtId="0" fontId="24" fillId="2" borderId="7" xfId="0" applyFont="1" applyFill="1" applyBorder="1" applyAlignment="1">
      <alignment horizontal="left"/>
    </xf>
    <xf numFmtId="4" fontId="24" fillId="2" borderId="7" xfId="0" applyNumberFormat="1" applyFont="1" applyFill="1" applyBorder="1" applyAlignment="1">
      <alignment horizontal="left"/>
    </xf>
    <xf numFmtId="0" fontId="24" fillId="2" borderId="8" xfId="0" applyFont="1" applyFill="1" applyBorder="1" applyAlignment="1">
      <alignment horizontal="left"/>
    </xf>
    <xf numFmtId="0" fontId="24" fillId="2" borderId="9" xfId="0" applyFont="1" applyFill="1" applyBorder="1" applyAlignment="1">
      <alignment horizontal="left"/>
    </xf>
    <xf numFmtId="0" fontId="24" fillId="2" borderId="0" xfId="0" applyFont="1" applyFill="1" applyBorder="1" applyAlignment="1">
      <alignment horizontal="left"/>
    </xf>
    <xf numFmtId="4" fontId="24" fillId="2" borderId="0" xfId="0" applyNumberFormat="1" applyFont="1" applyFill="1" applyBorder="1" applyAlignment="1">
      <alignment horizontal="left"/>
    </xf>
    <xf numFmtId="0" fontId="24" fillId="2" borderId="10" xfId="0" applyFont="1" applyFill="1" applyBorder="1" applyAlignment="1">
      <alignment horizontal="left"/>
    </xf>
    <xf numFmtId="0" fontId="25" fillId="2" borderId="0" xfId="0" applyFont="1" applyFill="1" applyBorder="1" applyAlignment="1">
      <alignment horizontal="left"/>
    </xf>
    <xf numFmtId="4" fontId="25" fillId="2" borderId="0" xfId="0" applyNumberFormat="1" applyFont="1" applyFill="1" applyBorder="1" applyAlignment="1">
      <alignment horizontal="left" vertical="center"/>
    </xf>
    <xf numFmtId="0" fontId="10" fillId="2" borderId="9" xfId="0" applyFont="1" applyFill="1" applyBorder="1" applyAlignment="1">
      <alignment horizontal="left"/>
    </xf>
    <xf numFmtId="0" fontId="10" fillId="2" borderId="10" xfId="0" applyFont="1" applyFill="1" applyBorder="1" applyAlignment="1">
      <alignment horizontal="left"/>
    </xf>
    <xf numFmtId="0" fontId="18" fillId="2" borderId="9" xfId="0" applyFont="1" applyFill="1" applyBorder="1" applyAlignment="1">
      <alignment horizontal="left"/>
    </xf>
    <xf numFmtId="0" fontId="16" fillId="5" borderId="0" xfId="0" applyFont="1" applyFill="1" applyBorder="1" applyAlignment="1">
      <alignment horizontal="left" vertical="center"/>
    </xf>
    <xf numFmtId="4" fontId="16" fillId="5" borderId="0" xfId="0" applyNumberFormat="1" applyFont="1" applyFill="1" applyBorder="1" applyAlignment="1">
      <alignment horizontal="left" vertical="center"/>
    </xf>
    <xf numFmtId="0" fontId="18" fillId="2" borderId="10" xfId="0" applyFont="1" applyFill="1" applyBorder="1" applyAlignment="1">
      <alignment horizontal="left"/>
    </xf>
    <xf numFmtId="0" fontId="16" fillId="2" borderId="0" xfId="0" applyFont="1" applyFill="1" applyAlignment="1">
      <alignment horizontal="left" vertical="center"/>
    </xf>
    <xf numFmtId="0" fontId="16" fillId="2" borderId="0" xfId="0" applyFont="1" applyFill="1" applyBorder="1" applyAlignment="1">
      <alignment horizontal="left" vertical="center"/>
    </xf>
    <xf numFmtId="0" fontId="20" fillId="2" borderId="9" xfId="0" applyFont="1" applyFill="1" applyBorder="1" applyAlignment="1">
      <alignment horizontal="left"/>
    </xf>
    <xf numFmtId="0" fontId="20" fillId="2" borderId="10" xfId="0" applyFont="1" applyFill="1" applyBorder="1" applyAlignment="1">
      <alignment horizontal="left"/>
    </xf>
    <xf numFmtId="0" fontId="19" fillId="2" borderId="0" xfId="0" applyFont="1" applyFill="1" applyAlignment="1">
      <alignment horizontal="left" vertical="center"/>
    </xf>
    <xf numFmtId="0" fontId="20" fillId="2" borderId="0" xfId="0" applyFont="1" applyFill="1" applyAlignment="1">
      <alignment horizontal="left"/>
    </xf>
    <xf numFmtId="0" fontId="24" fillId="2" borderId="11" xfId="0" applyFont="1" applyFill="1" applyBorder="1" applyAlignment="1">
      <alignment horizontal="left"/>
    </xf>
    <xf numFmtId="4" fontId="24" fillId="2" borderId="12" xfId="0" applyNumberFormat="1" applyFont="1" applyFill="1" applyBorder="1" applyAlignment="1">
      <alignment horizontal="left"/>
    </xf>
    <xf numFmtId="0" fontId="24" fillId="2" borderId="13" xfId="0" applyFont="1" applyFill="1" applyBorder="1" applyAlignment="1">
      <alignment horizontal="left"/>
    </xf>
    <xf numFmtId="0" fontId="21" fillId="2" borderId="0" xfId="0" applyFont="1" applyFill="1" applyBorder="1" applyAlignment="1">
      <alignment horizontal="left"/>
    </xf>
    <xf numFmtId="0" fontId="21" fillId="2" borderId="0" xfId="0" applyFont="1" applyFill="1" applyAlignment="1">
      <alignment horizontal="left"/>
    </xf>
    <xf numFmtId="3" fontId="13" fillId="2" borderId="38" xfId="0" applyNumberFormat="1" applyFont="1" applyFill="1" applyBorder="1" applyAlignment="1">
      <alignment horizontal="center" vertical="center"/>
    </xf>
    <xf numFmtId="4" fontId="13" fillId="2" borderId="38" xfId="0" applyNumberFormat="1" applyFont="1" applyFill="1" applyBorder="1" applyAlignment="1">
      <alignment vertical="center"/>
    </xf>
    <xf numFmtId="0" fontId="25" fillId="2" borderId="10" xfId="0" applyFont="1" applyFill="1" applyBorder="1" applyAlignment="1">
      <alignment horizontal="left"/>
    </xf>
    <xf numFmtId="0" fontId="25" fillId="2" borderId="0" xfId="0" applyFont="1" applyFill="1" applyAlignment="1">
      <alignment horizontal="left"/>
    </xf>
    <xf numFmtId="0" fontId="24" fillId="2" borderId="42" xfId="0" applyFont="1" applyFill="1" applyBorder="1"/>
    <xf numFmtId="4" fontId="16" fillId="2" borderId="43" xfId="0" applyNumberFormat="1" applyFont="1" applyFill="1" applyBorder="1"/>
    <xf numFmtId="4" fontId="13" fillId="2" borderId="43" xfId="0" applyNumberFormat="1" applyFont="1" applyFill="1" applyBorder="1"/>
    <xf numFmtId="4" fontId="10" fillId="2" borderId="44" xfId="0" applyNumberFormat="1" applyFont="1" applyFill="1" applyBorder="1"/>
    <xf numFmtId="4" fontId="10" fillId="2" borderId="45" xfId="0" applyNumberFormat="1" applyFont="1" applyFill="1" applyBorder="1"/>
    <xf numFmtId="4" fontId="24" fillId="2" borderId="42" xfId="0" applyNumberFormat="1" applyFont="1" applyFill="1" applyBorder="1"/>
    <xf numFmtId="4" fontId="27" fillId="2" borderId="41" xfId="0" applyNumberFormat="1" applyFont="1" applyFill="1" applyBorder="1"/>
    <xf numFmtId="0" fontId="16" fillId="2" borderId="48" xfId="0" applyFont="1" applyFill="1" applyBorder="1" applyAlignment="1">
      <alignment horizontal="center"/>
    </xf>
    <xf numFmtId="0" fontId="24" fillId="2" borderId="49" xfId="0" applyFont="1" applyFill="1" applyBorder="1"/>
    <xf numFmtId="0" fontId="16" fillId="2" borderId="34" xfId="0" applyFont="1" applyFill="1" applyBorder="1" applyAlignment="1">
      <alignment horizontal="center"/>
    </xf>
    <xf numFmtId="4" fontId="16" fillId="2" borderId="50" xfId="0" applyNumberFormat="1" applyFont="1" applyFill="1" applyBorder="1"/>
    <xf numFmtId="0" fontId="13" fillId="2" borderId="34" xfId="0" applyFont="1" applyFill="1" applyBorder="1" applyAlignment="1">
      <alignment horizontal="center"/>
    </xf>
    <xf numFmtId="4" fontId="13" fillId="2" borderId="50" xfId="0" applyNumberFormat="1" applyFont="1" applyFill="1" applyBorder="1"/>
    <xf numFmtId="0" fontId="10" fillId="2" borderId="51" xfId="0" applyFont="1" applyFill="1" applyBorder="1" applyAlignment="1">
      <alignment horizontal="center"/>
    </xf>
    <xf numFmtId="0" fontId="10" fillId="2" borderId="53" xfId="0" applyFont="1" applyFill="1" applyBorder="1" applyAlignment="1">
      <alignment horizontal="center"/>
    </xf>
    <xf numFmtId="4" fontId="10" fillId="2" borderId="54" xfId="0" applyNumberFormat="1" applyFont="1" applyFill="1" applyBorder="1"/>
    <xf numFmtId="0" fontId="10" fillId="2" borderId="48" xfId="0" applyFont="1" applyFill="1" applyBorder="1" applyAlignment="1">
      <alignment horizontal="center"/>
    </xf>
    <xf numFmtId="4" fontId="24" fillId="2" borderId="49" xfId="0" applyNumberFormat="1" applyFont="1" applyFill="1" applyBorder="1"/>
    <xf numFmtId="0" fontId="13" fillId="2" borderId="48" xfId="0" applyFont="1" applyFill="1" applyBorder="1" applyAlignment="1">
      <alignment horizontal="center"/>
    </xf>
    <xf numFmtId="0" fontId="28" fillId="2" borderId="48" xfId="0" applyFont="1" applyFill="1" applyBorder="1" applyAlignment="1">
      <alignment horizontal="center"/>
    </xf>
    <xf numFmtId="0" fontId="27" fillId="2" borderId="55" xfId="0" applyFont="1" applyFill="1" applyBorder="1" applyAlignment="1">
      <alignment horizontal="left"/>
    </xf>
    <xf numFmtId="4" fontId="27" fillId="2" borderId="56" xfId="0" applyNumberFormat="1" applyFont="1" applyFill="1" applyBorder="1"/>
    <xf numFmtId="0" fontId="13" fillId="4" borderId="0" xfId="0" applyFont="1" applyFill="1" applyBorder="1" applyAlignment="1">
      <alignment horizontal="left" vertical="center"/>
    </xf>
    <xf numFmtId="4" fontId="13" fillId="2" borderId="0" xfId="0" applyNumberFormat="1" applyFont="1" applyFill="1" applyBorder="1" applyAlignment="1">
      <alignment horizontal="left" vertical="center"/>
    </xf>
    <xf numFmtId="0" fontId="18" fillId="2" borderId="0" xfId="0" applyFont="1" applyFill="1" applyBorder="1" applyAlignment="1">
      <alignment horizontal="left" vertical="center"/>
    </xf>
    <xf numFmtId="4" fontId="18" fillId="2" borderId="0" xfId="0" applyNumberFormat="1" applyFont="1" applyFill="1" applyBorder="1" applyAlignment="1">
      <alignment horizontal="left" vertical="center"/>
    </xf>
    <xf numFmtId="0" fontId="20"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63" xfId="0" applyFont="1" applyFill="1" applyBorder="1" applyAlignment="1">
      <alignment horizontal="left" vertical="center"/>
    </xf>
    <xf numFmtId="0" fontId="9" fillId="2" borderId="64" xfId="0" applyFont="1" applyFill="1" applyBorder="1" applyAlignment="1">
      <alignment horizontal="left" vertical="center"/>
    </xf>
    <xf numFmtId="0" fontId="9" fillId="2" borderId="66" xfId="0" applyFont="1" applyFill="1" applyBorder="1" applyAlignment="1">
      <alignment horizontal="left" vertical="center"/>
    </xf>
    <xf numFmtId="0" fontId="9" fillId="2" borderId="67" xfId="0" applyFont="1" applyFill="1" applyBorder="1" applyAlignment="1">
      <alignment horizontal="left" vertical="center"/>
    </xf>
    <xf numFmtId="0" fontId="9" fillId="2" borderId="69" xfId="0" applyFont="1" applyFill="1" applyBorder="1" applyAlignment="1">
      <alignment horizontal="left" vertical="center"/>
    </xf>
    <xf numFmtId="0" fontId="9" fillId="2" borderId="70" xfId="0" applyFont="1" applyFill="1" applyBorder="1" applyAlignment="1">
      <alignment horizontal="left" vertical="center"/>
    </xf>
    <xf numFmtId="0" fontId="13" fillId="2" borderId="73" xfId="0" applyFont="1" applyFill="1" applyBorder="1" applyAlignment="1">
      <alignment horizontal="left" vertical="center"/>
    </xf>
    <xf numFmtId="0" fontId="13" fillId="2" borderId="74" xfId="0" applyFont="1" applyFill="1" applyBorder="1" applyAlignment="1">
      <alignment horizontal="left" vertical="center"/>
    </xf>
    <xf numFmtId="4" fontId="13" fillId="2" borderId="75" xfId="0" applyNumberFormat="1" applyFont="1" applyFill="1" applyBorder="1" applyAlignment="1">
      <alignment horizontal="left" vertical="center"/>
    </xf>
    <xf numFmtId="0" fontId="19" fillId="2" borderId="9" xfId="0" applyFont="1" applyFill="1" applyBorder="1" applyAlignment="1">
      <alignment horizontal="left"/>
    </xf>
    <xf numFmtId="0" fontId="9" fillId="2" borderId="73" xfId="0" applyFont="1" applyFill="1" applyBorder="1" applyAlignment="1">
      <alignment horizontal="left" vertical="center"/>
    </xf>
    <xf numFmtId="0" fontId="9" fillId="2" borderId="74" xfId="0" applyFont="1" applyFill="1" applyBorder="1" applyAlignment="1">
      <alignment horizontal="left" vertical="center"/>
    </xf>
    <xf numFmtId="0" fontId="37" fillId="2" borderId="0" xfId="0" applyFont="1" applyFill="1" applyBorder="1" applyAlignment="1">
      <alignment horizontal="left" vertical="center"/>
    </xf>
    <xf numFmtId="0" fontId="38" fillId="2" borderId="0" xfId="0" applyFont="1" applyFill="1" applyBorder="1" applyAlignment="1">
      <alignment horizontal="left" vertical="center"/>
    </xf>
    <xf numFmtId="4" fontId="38" fillId="2" borderId="0" xfId="0" applyNumberFormat="1" applyFont="1" applyFill="1" applyBorder="1" applyAlignment="1">
      <alignment horizontal="left" vertical="center"/>
    </xf>
    <xf numFmtId="0" fontId="35" fillId="2" borderId="0" xfId="0" applyFont="1" applyFill="1" applyBorder="1" applyAlignment="1">
      <alignment horizontal="left" vertical="center"/>
    </xf>
    <xf numFmtId="4" fontId="13" fillId="2" borderId="77" xfId="0" applyNumberFormat="1" applyFont="1" applyFill="1" applyBorder="1" applyAlignment="1">
      <alignment vertical="center"/>
    </xf>
    <xf numFmtId="4" fontId="9" fillId="2" borderId="77" xfId="0" applyNumberFormat="1" applyFont="1" applyFill="1" applyBorder="1" applyAlignment="1">
      <alignment vertical="center"/>
    </xf>
    <xf numFmtId="4" fontId="9" fillId="2" borderId="79" xfId="0" applyNumberFormat="1" applyFont="1" applyFill="1" applyBorder="1" applyAlignment="1">
      <alignment vertical="center"/>
    </xf>
    <xf numFmtId="4" fontId="13" fillId="2" borderId="72" xfId="0" applyNumberFormat="1" applyFont="1" applyFill="1" applyBorder="1" applyAlignment="1">
      <alignment vertical="center"/>
    </xf>
    <xf numFmtId="4" fontId="13" fillId="2" borderId="78" xfId="0" applyNumberFormat="1" applyFont="1" applyFill="1" applyBorder="1" applyAlignment="1">
      <alignment vertical="center"/>
    </xf>
    <xf numFmtId="4" fontId="13" fillId="2" borderId="79" xfId="0" applyNumberFormat="1" applyFont="1" applyFill="1" applyBorder="1" applyAlignment="1">
      <alignment vertical="center"/>
    </xf>
    <xf numFmtId="4" fontId="13" fillId="2" borderId="68" xfId="0" applyNumberFormat="1" applyFont="1" applyFill="1" applyBorder="1" applyAlignment="1">
      <alignment vertical="center"/>
    </xf>
    <xf numFmtId="4" fontId="13" fillId="2" borderId="71" xfId="0" applyNumberFormat="1" applyFont="1" applyFill="1" applyBorder="1" applyAlignment="1">
      <alignment vertical="center"/>
    </xf>
    <xf numFmtId="4" fontId="13" fillId="2" borderId="75" xfId="0" applyNumberFormat="1" applyFont="1" applyFill="1" applyBorder="1" applyAlignment="1">
      <alignment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9" fillId="2" borderId="99" xfId="0" applyFont="1" applyFill="1" applyBorder="1" applyAlignment="1">
      <alignment horizontal="left" vertical="center"/>
    </xf>
    <xf numFmtId="0" fontId="9" fillId="2" borderId="100" xfId="0" applyFont="1" applyFill="1" applyBorder="1" applyAlignment="1">
      <alignment horizontal="left" vertical="center"/>
    </xf>
    <xf numFmtId="4" fontId="13" fillId="2" borderId="101" xfId="0" applyNumberFormat="1" applyFont="1" applyFill="1" applyBorder="1" applyAlignment="1">
      <alignment vertical="center"/>
    </xf>
    <xf numFmtId="4" fontId="13" fillId="2" borderId="104" xfId="0" applyNumberFormat="1" applyFont="1" applyFill="1" applyBorder="1" applyAlignment="1">
      <alignment vertical="center"/>
    </xf>
    <xf numFmtId="0" fontId="34" fillId="2" borderId="0" xfId="132" applyFont="1" applyFill="1" applyBorder="1" applyAlignment="1">
      <alignment horizontal="center" wrapText="1"/>
    </xf>
    <xf numFmtId="0" fontId="9" fillId="2" borderId="9" xfId="0" applyFont="1" applyFill="1" applyBorder="1" applyAlignment="1">
      <alignment horizontal="left"/>
    </xf>
    <xf numFmtId="0" fontId="9" fillId="2" borderId="10" xfId="0" applyFont="1" applyFill="1" applyBorder="1" applyAlignment="1">
      <alignment horizontal="left"/>
    </xf>
    <xf numFmtId="0" fontId="9" fillId="2" borderId="0" xfId="0" applyFont="1" applyFill="1" applyAlignment="1">
      <alignment horizontal="left"/>
    </xf>
    <xf numFmtId="0" fontId="13" fillId="2" borderId="16" xfId="0" applyFont="1" applyFill="1" applyBorder="1" applyAlignment="1">
      <alignment horizontal="left" vertical="center"/>
    </xf>
    <xf numFmtId="0" fontId="13" fillId="2" borderId="17" xfId="0" applyFont="1" applyFill="1" applyBorder="1" applyAlignment="1">
      <alignment horizontal="left" vertical="center"/>
    </xf>
    <xf numFmtId="4" fontId="13" fillId="2" borderId="15" xfId="0" applyNumberFormat="1" applyFont="1" applyFill="1" applyBorder="1" applyAlignment="1">
      <alignment vertical="center"/>
    </xf>
    <xf numFmtId="0" fontId="9" fillId="2" borderId="99" xfId="0" applyFont="1" applyFill="1" applyBorder="1" applyAlignment="1">
      <alignment horizontal="center" vertical="center"/>
    </xf>
    <xf numFmtId="4" fontId="9" fillId="2" borderId="101" xfId="0" applyNumberFormat="1" applyFont="1" applyFill="1" applyBorder="1" applyAlignment="1">
      <alignment vertical="center"/>
    </xf>
    <xf numFmtId="0" fontId="19" fillId="3" borderId="57" xfId="0" applyFont="1" applyFill="1" applyBorder="1" applyAlignment="1">
      <alignment horizontal="left" vertical="center"/>
    </xf>
    <xf numFmtId="0" fontId="19" fillId="3" borderId="59" xfId="0" applyFont="1" applyFill="1" applyBorder="1" applyAlignment="1">
      <alignment horizontal="left" vertical="center"/>
    </xf>
    <xf numFmtId="0" fontId="13" fillId="3" borderId="76" xfId="0" applyFont="1" applyFill="1" applyBorder="1" applyAlignment="1">
      <alignment horizontal="center" vertical="center"/>
    </xf>
    <xf numFmtId="0" fontId="16" fillId="3" borderId="62" xfId="0" applyFont="1" applyFill="1" applyBorder="1" applyAlignment="1">
      <alignment horizontal="left"/>
    </xf>
    <xf numFmtId="0" fontId="16" fillId="3" borderId="19" xfId="0" applyFont="1" applyFill="1" applyBorder="1" applyAlignment="1">
      <alignment horizontal="left"/>
    </xf>
    <xf numFmtId="0" fontId="34" fillId="3" borderId="80" xfId="132" applyFont="1" applyFill="1" applyBorder="1" applyAlignment="1">
      <alignment horizontal="center" wrapText="1"/>
    </xf>
    <xf numFmtId="0" fontId="36" fillId="3" borderId="105" xfId="132" applyFont="1" applyFill="1" applyBorder="1" applyAlignment="1">
      <alignment horizontal="center" wrapText="1"/>
    </xf>
    <xf numFmtId="0" fontId="36" fillId="3" borderId="106" xfId="132" applyFont="1" applyFill="1" applyBorder="1" applyAlignment="1">
      <alignment horizontal="center" wrapText="1"/>
    </xf>
    <xf numFmtId="0" fontId="36" fillId="3" borderId="107" xfId="132" applyFont="1" applyFill="1" applyBorder="1" applyAlignment="1">
      <alignment horizontal="center" wrapText="1"/>
    </xf>
    <xf numFmtId="0" fontId="16" fillId="3" borderId="19" xfId="0" applyFont="1" applyFill="1" applyBorder="1" applyAlignment="1">
      <alignment horizontal="left" vertical="center"/>
    </xf>
    <xf numFmtId="0" fontId="34" fillId="3" borderId="42" xfId="132" applyFont="1" applyFill="1" applyBorder="1" applyAlignment="1">
      <alignment horizontal="center" wrapText="1"/>
    </xf>
    <xf numFmtId="0" fontId="16" fillId="3" borderId="62" xfId="0" applyFont="1" applyFill="1" applyBorder="1" applyAlignment="1">
      <alignment horizontal="left" vertical="center"/>
    </xf>
    <xf numFmtId="0" fontId="13" fillId="2" borderId="18" xfId="0" applyFont="1" applyFill="1" applyBorder="1" applyAlignment="1">
      <alignment horizontal="center" vertical="center"/>
    </xf>
    <xf numFmtId="0" fontId="24" fillId="3" borderId="31" xfId="0" applyFont="1" applyFill="1" applyBorder="1"/>
    <xf numFmtId="0" fontId="24" fillId="3" borderId="32" xfId="0" applyFont="1" applyFill="1" applyBorder="1"/>
    <xf numFmtId="0" fontId="13" fillId="3" borderId="46" xfId="0" applyFont="1" applyFill="1" applyBorder="1" applyAlignment="1">
      <alignment horizontal="center"/>
    </xf>
    <xf numFmtId="0" fontId="13" fillId="3" borderId="47" xfId="0" applyFont="1" applyFill="1" applyBorder="1" applyAlignment="1">
      <alignment horizontal="center"/>
    </xf>
    <xf numFmtId="0" fontId="17" fillId="3" borderId="48" xfId="0" applyFont="1" applyFill="1" applyBorder="1"/>
    <xf numFmtId="0" fontId="27" fillId="3" borderId="42" xfId="0" applyFont="1" applyFill="1" applyBorder="1" applyAlignment="1">
      <alignment horizontal="center"/>
    </xf>
    <xf numFmtId="0" fontId="27" fillId="3" borderId="49" xfId="0" applyFont="1" applyFill="1" applyBorder="1" applyAlignment="1">
      <alignment horizontal="center"/>
    </xf>
    <xf numFmtId="4" fontId="18" fillId="2" borderId="60" xfId="0" applyNumberFormat="1" applyFont="1" applyFill="1" applyBorder="1" applyAlignment="1">
      <alignment horizontal="left" vertical="center"/>
    </xf>
    <xf numFmtId="0" fontId="9" fillId="2" borderId="0" xfId="0" applyFont="1" applyFill="1" applyBorder="1" applyAlignment="1">
      <alignment horizontal="left" vertical="center"/>
    </xf>
    <xf numFmtId="4" fontId="13" fillId="2" borderId="0" xfId="0" applyNumberFormat="1" applyFont="1" applyFill="1" applyBorder="1" applyAlignment="1">
      <alignment vertical="center"/>
    </xf>
    <xf numFmtId="4" fontId="9" fillId="2" borderId="0" xfId="0" applyNumberFormat="1" applyFont="1" applyFill="1" applyBorder="1" applyAlignment="1">
      <alignment vertical="center"/>
    </xf>
    <xf numFmtId="4" fontId="9" fillId="2" borderId="0" xfId="0" applyNumberFormat="1" applyFont="1" applyFill="1" applyBorder="1" applyAlignment="1">
      <alignment horizontal="left" vertical="center"/>
    </xf>
    <xf numFmtId="0" fontId="13" fillId="2" borderId="73" xfId="0" applyFont="1" applyFill="1" applyBorder="1" applyAlignment="1">
      <alignment horizontal="center" vertical="center"/>
    </xf>
    <xf numFmtId="0" fontId="13" fillId="3" borderId="57" xfId="0" applyFont="1" applyFill="1" applyBorder="1" applyAlignment="1">
      <alignment horizontal="left"/>
    </xf>
    <xf numFmtId="0" fontId="34" fillId="3" borderId="76" xfId="132" applyFont="1" applyFill="1" applyBorder="1" applyAlignment="1">
      <alignment horizontal="center" wrapText="1"/>
    </xf>
    <xf numFmtId="0" fontId="13" fillId="3" borderId="60" xfId="0" applyFont="1" applyFill="1" applyBorder="1" applyAlignment="1">
      <alignment horizontal="left"/>
    </xf>
    <xf numFmtId="0" fontId="13" fillId="3" borderId="58" xfId="0" applyFont="1" applyFill="1" applyBorder="1" applyAlignment="1">
      <alignment horizontal="left"/>
    </xf>
    <xf numFmtId="0" fontId="34" fillId="3" borderId="59" xfId="132" applyFont="1" applyFill="1" applyBorder="1" applyAlignment="1">
      <alignment horizontal="center" wrapText="1"/>
    </xf>
    <xf numFmtId="0" fontId="13" fillId="3" borderId="0" xfId="0" applyFont="1" applyFill="1" applyBorder="1" applyAlignment="1">
      <alignment horizontal="left"/>
    </xf>
    <xf numFmtId="0" fontId="34" fillId="3" borderId="61" xfId="132" applyFont="1" applyFill="1" applyBorder="1" applyAlignment="1">
      <alignment horizontal="center" wrapText="1"/>
    </xf>
    <xf numFmtId="4" fontId="13" fillId="2" borderId="115" xfId="0" applyNumberFormat="1" applyFont="1" applyFill="1" applyBorder="1" applyAlignment="1">
      <alignment vertical="center"/>
    </xf>
    <xf numFmtId="4" fontId="13" fillId="2" borderId="91" xfId="0" applyNumberFormat="1" applyFont="1" applyFill="1" applyBorder="1" applyAlignment="1">
      <alignment vertical="center"/>
    </xf>
    <xf numFmtId="4" fontId="13" fillId="2" borderId="74" xfId="0" applyNumberFormat="1" applyFont="1" applyFill="1" applyBorder="1" applyAlignment="1">
      <alignment vertical="center"/>
    </xf>
    <xf numFmtId="0" fontId="9" fillId="2" borderId="65" xfId="0" applyFont="1" applyFill="1" applyBorder="1" applyAlignment="1">
      <alignment horizontal="left" vertical="center"/>
    </xf>
    <xf numFmtId="0" fontId="40" fillId="0" borderId="0" xfId="0" applyFont="1" applyAlignment="1">
      <alignment vertical="center"/>
    </xf>
    <xf numFmtId="4" fontId="20" fillId="2" borderId="0" xfId="0" applyNumberFormat="1" applyFont="1" applyFill="1" applyBorder="1" applyAlignment="1">
      <alignment horizontal="left"/>
    </xf>
    <xf numFmtId="4" fontId="20" fillId="2" borderId="111" xfId="0" applyNumberFormat="1" applyFont="1" applyFill="1" applyBorder="1" applyAlignment="1">
      <alignment horizontal="left"/>
    </xf>
    <xf numFmtId="4" fontId="20" fillId="2" borderId="112" xfId="0" applyNumberFormat="1" applyFont="1" applyFill="1" applyBorder="1" applyAlignment="1">
      <alignment horizontal="left"/>
    </xf>
    <xf numFmtId="4" fontId="20" fillId="2" borderId="113" xfId="0" applyNumberFormat="1" applyFont="1" applyFill="1" applyBorder="1" applyAlignment="1">
      <alignment horizontal="left"/>
    </xf>
    <xf numFmtId="4" fontId="13" fillId="2" borderId="92" xfId="0" applyNumberFormat="1" applyFont="1" applyFill="1" applyBorder="1" applyAlignment="1">
      <alignment vertical="center"/>
    </xf>
    <xf numFmtId="4" fontId="13" fillId="2" borderId="90" xfId="0" applyNumberFormat="1" applyFont="1" applyFill="1" applyBorder="1" applyAlignment="1">
      <alignment vertical="center"/>
    </xf>
    <xf numFmtId="0" fontId="34" fillId="3" borderId="116" xfId="132" applyFont="1" applyFill="1" applyBorder="1" applyAlignment="1">
      <alignment horizontal="center" wrapText="1"/>
    </xf>
    <xf numFmtId="0" fontId="34" fillId="3" borderId="117" xfId="132" applyFont="1" applyFill="1" applyBorder="1" applyAlignment="1">
      <alignment horizontal="center" wrapText="1"/>
    </xf>
    <xf numFmtId="0" fontId="34" fillId="3" borderId="118" xfId="132" applyFont="1" applyFill="1" applyBorder="1" applyAlignment="1">
      <alignment horizontal="center" wrapText="1"/>
    </xf>
    <xf numFmtId="0" fontId="24" fillId="2" borderId="0" xfId="0" applyFont="1" applyFill="1" applyAlignment="1">
      <alignment horizontal="left" vertical="center"/>
    </xf>
    <xf numFmtId="0" fontId="20" fillId="2" borderId="9" xfId="0" applyFont="1" applyFill="1" applyBorder="1" applyAlignment="1">
      <alignment horizontal="left" vertical="center"/>
    </xf>
    <xf numFmtId="0" fontId="13" fillId="3" borderId="58" xfId="0" applyFont="1" applyFill="1" applyBorder="1" applyAlignment="1">
      <alignment horizontal="center" vertical="center"/>
    </xf>
    <xf numFmtId="0" fontId="24" fillId="2" borderId="10" xfId="0" applyFont="1" applyFill="1" applyBorder="1" applyAlignment="1">
      <alignment horizontal="left" vertical="center"/>
    </xf>
    <xf numFmtId="0" fontId="13" fillId="3" borderId="42"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80" xfId="0" applyFont="1" applyFill="1" applyBorder="1" applyAlignment="1">
      <alignment horizontal="center" vertical="center"/>
    </xf>
    <xf numFmtId="0" fontId="13" fillId="3" borderId="20" xfId="0" applyFont="1" applyFill="1" applyBorder="1" applyAlignment="1">
      <alignment horizontal="center" vertical="center"/>
    </xf>
    <xf numFmtId="0" fontId="9" fillId="2" borderId="9" xfId="0" applyFont="1" applyFill="1" applyBorder="1" applyAlignment="1">
      <alignment horizontal="left" vertical="center"/>
    </xf>
    <xf numFmtId="0" fontId="34" fillId="3" borderId="118" xfId="132" applyFont="1" applyFill="1" applyBorder="1" applyAlignment="1">
      <alignment horizontal="center" vertical="center" wrapText="1"/>
    </xf>
    <xf numFmtId="0" fontId="9" fillId="2" borderId="10" xfId="0" applyFont="1" applyFill="1" applyBorder="1" applyAlignment="1">
      <alignment horizontal="left" vertical="center"/>
    </xf>
    <xf numFmtId="0" fontId="9" fillId="2" borderId="0" xfId="0" applyFont="1" applyFill="1" applyAlignment="1">
      <alignment horizontal="left" vertical="center"/>
    </xf>
    <xf numFmtId="0" fontId="34" fillId="3" borderId="107" xfId="132" applyFont="1" applyFill="1" applyBorder="1" applyAlignment="1">
      <alignment horizontal="center" vertical="center" wrapText="1"/>
    </xf>
    <xf numFmtId="0" fontId="37" fillId="2" borderId="0" xfId="0" applyFont="1" applyFill="1" applyAlignment="1">
      <alignment horizontal="left"/>
    </xf>
    <xf numFmtId="0" fontId="34" fillId="3" borderId="119" xfId="132" applyFont="1" applyFill="1" applyBorder="1" applyAlignment="1">
      <alignment horizontal="center" vertical="center" wrapText="1"/>
    </xf>
    <xf numFmtId="4" fontId="41" fillId="2" borderId="0" xfId="0" applyNumberFormat="1" applyFont="1" applyFill="1" applyBorder="1" applyAlignment="1">
      <alignment horizontal="left" vertical="center"/>
    </xf>
    <xf numFmtId="0" fontId="18" fillId="2" borderId="0" xfId="0" applyFont="1" applyFill="1" applyBorder="1" applyAlignment="1">
      <alignment horizontal="left"/>
    </xf>
    <xf numFmtId="0" fontId="13" fillId="4" borderId="0" xfId="0" applyFont="1" applyFill="1" applyBorder="1" applyAlignment="1">
      <alignment vertical="center" wrapText="1"/>
    </xf>
    <xf numFmtId="0" fontId="13" fillId="3" borderId="57" xfId="0" applyFont="1" applyFill="1" applyBorder="1" applyAlignment="1">
      <alignment horizontal="center" vertical="center"/>
    </xf>
    <xf numFmtId="0" fontId="13" fillId="3" borderId="60" xfId="0" applyFont="1" applyFill="1" applyBorder="1" applyAlignment="1">
      <alignment horizontal="center" vertical="center"/>
    </xf>
    <xf numFmtId="0" fontId="13" fillId="3" borderId="62" xfId="0" applyFont="1" applyFill="1" applyBorder="1" applyAlignment="1">
      <alignment horizontal="center" vertical="center"/>
    </xf>
    <xf numFmtId="0" fontId="13" fillId="3" borderId="59" xfId="0" applyFont="1" applyFill="1" applyBorder="1" applyAlignment="1">
      <alignment horizontal="center" vertical="center"/>
    </xf>
    <xf numFmtId="0" fontId="13" fillId="3" borderId="61" xfId="0" applyFont="1" applyFill="1" applyBorder="1" applyAlignment="1">
      <alignment horizontal="center" vertical="center"/>
    </xf>
    <xf numFmtId="0" fontId="13" fillId="3" borderId="19" xfId="0" applyFont="1" applyFill="1" applyBorder="1" applyAlignment="1">
      <alignment horizontal="center" vertical="center"/>
    </xf>
    <xf numFmtId="0" fontId="9" fillId="2" borderId="104" xfId="0" applyFont="1" applyFill="1" applyBorder="1" applyAlignment="1">
      <alignment horizontal="left" vertical="center"/>
    </xf>
    <xf numFmtId="0" fontId="9" fillId="2" borderId="71" xfId="0" applyFont="1" applyFill="1" applyBorder="1" applyAlignment="1">
      <alignment horizontal="left" vertical="center"/>
    </xf>
    <xf numFmtId="0" fontId="13" fillId="2" borderId="18" xfId="0" applyFont="1" applyFill="1" applyBorder="1" applyAlignment="1">
      <alignment horizontal="left" vertical="center"/>
    </xf>
    <xf numFmtId="4" fontId="16" fillId="2" borderId="18" xfId="0" applyNumberFormat="1" applyFont="1" applyFill="1" applyBorder="1" applyAlignment="1">
      <alignment horizontal="left" vertical="center"/>
    </xf>
    <xf numFmtId="0" fontId="13" fillId="3" borderId="15" xfId="0" applyFont="1" applyFill="1" applyBorder="1" applyAlignment="1">
      <alignment horizontal="center" vertical="center"/>
    </xf>
    <xf numFmtId="0" fontId="9" fillId="2" borderId="17" xfId="0" applyFont="1" applyFill="1" applyBorder="1" applyAlignment="1">
      <alignment horizontal="left" vertical="center"/>
    </xf>
    <xf numFmtId="0" fontId="9" fillId="2" borderId="16" xfId="0" applyFont="1" applyFill="1" applyBorder="1" applyAlignment="1">
      <alignment horizontal="left"/>
    </xf>
    <xf numFmtId="4" fontId="13" fillId="2" borderId="72" xfId="0" applyNumberFormat="1" applyFont="1" applyFill="1" applyBorder="1" applyAlignment="1"/>
    <xf numFmtId="4" fontId="13" fillId="2" borderId="75" xfId="0" applyNumberFormat="1" applyFont="1" applyFill="1" applyBorder="1" applyAlignment="1"/>
    <xf numFmtId="0" fontId="13" fillId="2" borderId="62" xfId="0" applyFont="1" applyFill="1" applyBorder="1" applyAlignment="1">
      <alignment horizontal="left" vertical="center"/>
    </xf>
    <xf numFmtId="0" fontId="13" fillId="2" borderId="20"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15" xfId="0" applyFont="1" applyFill="1" applyBorder="1" applyAlignment="1">
      <alignment vertical="center"/>
    </xf>
    <xf numFmtId="0" fontId="13" fillId="2" borderId="20" xfId="0" applyFont="1" applyFill="1" applyBorder="1"/>
    <xf numFmtId="0" fontId="14" fillId="2" borderId="20" xfId="0" applyFont="1" applyFill="1" applyBorder="1" applyAlignment="1">
      <alignment horizontal="left"/>
    </xf>
    <xf numFmtId="0" fontId="9" fillId="2" borderId="0" xfId="0" applyFont="1" applyFill="1"/>
    <xf numFmtId="0" fontId="13" fillId="3" borderId="18" xfId="0" applyFont="1" applyFill="1" applyBorder="1" applyAlignment="1">
      <alignment horizontal="center" vertical="center"/>
    </xf>
    <xf numFmtId="0" fontId="9" fillId="2" borderId="69" xfId="0" applyFont="1" applyFill="1" applyBorder="1" applyAlignment="1">
      <alignment horizontal="center" vertical="center"/>
    </xf>
    <xf numFmtId="0" fontId="20" fillId="2" borderId="63" xfId="0" applyFont="1" applyFill="1" applyBorder="1" applyAlignment="1">
      <alignment vertical="center"/>
    </xf>
    <xf numFmtId="0" fontId="20" fillId="2" borderId="65" xfId="0" applyFont="1" applyFill="1" applyBorder="1" applyAlignment="1">
      <alignment vertical="center"/>
    </xf>
    <xf numFmtId="0" fontId="20" fillId="2" borderId="101" xfId="0" applyFont="1" applyFill="1" applyBorder="1" applyAlignment="1">
      <alignment horizontal="left" vertical="center"/>
    </xf>
    <xf numFmtId="4" fontId="19" fillId="2" borderId="0" xfId="0" applyNumberFormat="1" applyFont="1" applyFill="1" applyBorder="1" applyAlignment="1">
      <alignment horizontal="left" vertical="center"/>
    </xf>
    <xf numFmtId="0" fontId="20" fillId="2" borderId="66" xfId="0" applyFont="1" applyFill="1" applyBorder="1" applyAlignment="1">
      <alignment vertical="center"/>
    </xf>
    <xf numFmtId="0" fontId="20" fillId="2" borderId="68" xfId="0" applyFont="1" applyFill="1" applyBorder="1" applyAlignment="1">
      <alignment vertical="center"/>
    </xf>
    <xf numFmtId="0" fontId="20" fillId="2" borderId="93" xfId="0" applyFont="1" applyFill="1" applyBorder="1" applyAlignment="1">
      <alignment vertical="center"/>
    </xf>
    <xf numFmtId="0" fontId="20" fillId="2" borderId="98" xfId="0" applyFont="1" applyFill="1" applyBorder="1" applyAlignment="1">
      <alignment vertical="center"/>
    </xf>
    <xf numFmtId="0" fontId="16" fillId="3" borderId="80"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61" xfId="0" applyFont="1" applyFill="1" applyBorder="1" applyAlignment="1">
      <alignment horizontal="left" vertical="center"/>
    </xf>
    <xf numFmtId="0" fontId="24" fillId="2" borderId="74" xfId="0" applyFont="1" applyFill="1" applyBorder="1" applyAlignment="1">
      <alignment horizontal="left"/>
    </xf>
    <xf numFmtId="4" fontId="43" fillId="6" borderId="121" xfId="0" applyNumberFormat="1" applyFont="1" applyFill="1" applyBorder="1"/>
    <xf numFmtId="0" fontId="13" fillId="2" borderId="9" xfId="0" applyFont="1" applyFill="1" applyBorder="1" applyAlignment="1">
      <alignment horizontal="left"/>
    </xf>
    <xf numFmtId="0" fontId="13" fillId="2" borderId="10" xfId="0" applyFont="1" applyFill="1" applyBorder="1" applyAlignment="1">
      <alignment horizontal="left"/>
    </xf>
    <xf numFmtId="0" fontId="13" fillId="2" borderId="0" xfId="0" applyFont="1" applyFill="1" applyAlignment="1">
      <alignment horizontal="left"/>
    </xf>
    <xf numFmtId="4" fontId="13" fillId="2" borderId="15" xfId="0" applyNumberFormat="1" applyFont="1" applyFill="1" applyBorder="1" applyAlignment="1"/>
    <xf numFmtId="4" fontId="9" fillId="2" borderId="0" xfId="0" applyNumberFormat="1" applyFont="1" applyFill="1" applyBorder="1" applyAlignment="1">
      <alignment horizontal="right" vertical="center"/>
    </xf>
    <xf numFmtId="10" fontId="43" fillId="6" borderId="121" xfId="0" applyNumberFormat="1" applyFont="1" applyFill="1" applyBorder="1" applyAlignment="1">
      <alignment horizontal="right"/>
    </xf>
    <xf numFmtId="10" fontId="13" fillId="2" borderId="18" xfId="131" applyNumberFormat="1" applyFont="1" applyFill="1" applyBorder="1" applyAlignment="1">
      <alignment horizontal="right"/>
    </xf>
    <xf numFmtId="10" fontId="9" fillId="2" borderId="104" xfId="0" applyNumberFormat="1" applyFont="1" applyFill="1" applyBorder="1" applyAlignment="1">
      <alignment horizontal="right" vertical="center"/>
    </xf>
    <xf numFmtId="10" fontId="9" fillId="2" borderId="68" xfId="0" applyNumberFormat="1" applyFont="1" applyFill="1" applyBorder="1" applyAlignment="1">
      <alignment horizontal="right" vertical="center"/>
    </xf>
    <xf numFmtId="10" fontId="9" fillId="2" borderId="71" xfId="0" applyNumberFormat="1" applyFont="1" applyFill="1" applyBorder="1" applyAlignment="1">
      <alignment horizontal="right" vertical="center"/>
    </xf>
    <xf numFmtId="10" fontId="34" fillId="2" borderId="0" xfId="0" applyNumberFormat="1" applyFont="1" applyFill="1" applyBorder="1" applyAlignment="1">
      <alignment horizontal="right" vertical="center"/>
    </xf>
    <xf numFmtId="10" fontId="13" fillId="2" borderId="18" xfId="0" applyNumberFormat="1" applyFont="1" applyFill="1" applyBorder="1" applyAlignment="1">
      <alignment horizontal="right"/>
    </xf>
    <xf numFmtId="4" fontId="42" fillId="6" borderId="121" xfId="0" applyNumberFormat="1" applyFont="1" applyFill="1" applyBorder="1"/>
    <xf numFmtId="0" fontId="18" fillId="2" borderId="0" xfId="0" applyFont="1" applyFill="1" applyAlignment="1">
      <alignment horizontal="left"/>
    </xf>
    <xf numFmtId="0" fontId="42" fillId="6" borderId="0" xfId="0" applyFont="1" applyFill="1" applyBorder="1" applyAlignment="1">
      <alignment horizontal="left"/>
    </xf>
    <xf numFmtId="4" fontId="42" fillId="6" borderId="0" xfId="0" applyNumberFormat="1" applyFont="1" applyFill="1" applyBorder="1"/>
    <xf numFmtId="0" fontId="16" fillId="3" borderId="123" xfId="0" applyFont="1" applyFill="1" applyBorder="1" applyAlignment="1">
      <alignment vertical="center"/>
    </xf>
    <xf numFmtId="0" fontId="18" fillId="3" borderId="124" xfId="0" applyFont="1" applyFill="1" applyBorder="1" applyAlignment="1">
      <alignment horizontal="center" vertical="center"/>
    </xf>
    <xf numFmtId="4" fontId="16" fillId="3" borderId="122" xfId="0" applyNumberFormat="1" applyFont="1" applyFill="1" applyBorder="1" applyAlignment="1">
      <alignment vertical="center"/>
    </xf>
    <xf numFmtId="0" fontId="9" fillId="2" borderId="0" xfId="0" applyFont="1" applyFill="1" applyBorder="1" applyAlignment="1">
      <alignment vertical="center"/>
    </xf>
    <xf numFmtId="0" fontId="9" fillId="2" borderId="126" xfId="0" applyFont="1" applyFill="1" applyBorder="1" applyAlignment="1">
      <alignment horizontal="center" vertical="center"/>
    </xf>
    <xf numFmtId="0" fontId="13" fillId="2" borderId="127" xfId="0" applyFont="1" applyFill="1" applyBorder="1" applyAlignment="1">
      <alignment horizontal="left" vertical="center"/>
    </xf>
    <xf numFmtId="0" fontId="9" fillId="2" borderId="60" xfId="0" applyFont="1" applyFill="1" applyBorder="1" applyAlignment="1">
      <alignment horizontal="center" vertical="center"/>
    </xf>
    <xf numFmtId="0" fontId="44" fillId="2" borderId="0" xfId="0" applyFont="1" applyFill="1" applyAlignment="1">
      <alignment horizontal="left"/>
    </xf>
    <xf numFmtId="0" fontId="31" fillId="2" borderId="0" xfId="0" applyFont="1" applyFill="1" applyAlignment="1">
      <alignment horizontal="left"/>
    </xf>
    <xf numFmtId="0" fontId="10" fillId="2" borderId="48" xfId="0" applyFont="1" applyFill="1" applyBorder="1"/>
    <xf numFmtId="4" fontId="24" fillId="2" borderId="128" xfId="0" applyNumberFormat="1" applyFont="1" applyFill="1" applyBorder="1"/>
    <xf numFmtId="4" fontId="27" fillId="2" borderId="129" xfId="0" applyNumberFormat="1" applyFont="1" applyFill="1" applyBorder="1"/>
    <xf numFmtId="0" fontId="27" fillId="3" borderId="61" xfId="0" applyFont="1" applyFill="1" applyBorder="1" applyAlignment="1">
      <alignment horizontal="center"/>
    </xf>
    <xf numFmtId="0" fontId="27" fillId="3" borderId="29" xfId="0" applyFont="1" applyFill="1" applyBorder="1" applyAlignment="1">
      <alignment horizontal="center"/>
    </xf>
    <xf numFmtId="0" fontId="24" fillId="2" borderId="29" xfId="0" applyFont="1" applyFill="1" applyBorder="1"/>
    <xf numFmtId="4" fontId="16" fillId="2" borderId="30" xfId="0" applyNumberFormat="1" applyFont="1" applyFill="1" applyBorder="1"/>
    <xf numFmtId="4" fontId="13" fillId="2" borderId="30" xfId="0" applyNumberFormat="1" applyFont="1" applyFill="1" applyBorder="1"/>
    <xf numFmtId="4" fontId="10" fillId="2" borderId="37" xfId="0" applyNumberFormat="1" applyFont="1" applyFill="1" applyBorder="1"/>
    <xf numFmtId="4" fontId="24" fillId="2" borderId="29" xfId="0" applyNumberFormat="1" applyFont="1" applyFill="1" applyBorder="1"/>
    <xf numFmtId="4" fontId="27" fillId="2" borderId="130" xfId="0" applyNumberFormat="1" applyFont="1" applyFill="1" applyBorder="1"/>
    <xf numFmtId="0" fontId="27" fillId="3" borderId="131" xfId="0" applyFont="1" applyFill="1" applyBorder="1" applyAlignment="1">
      <alignment horizontal="center"/>
    </xf>
    <xf numFmtId="0" fontId="24" fillId="2" borderId="131" xfId="0" applyFont="1" applyFill="1" applyBorder="1"/>
    <xf numFmtId="4" fontId="16" fillId="2" borderId="132" xfId="0" applyNumberFormat="1" applyFont="1" applyFill="1" applyBorder="1"/>
    <xf numFmtId="4" fontId="13" fillId="2" borderId="132" xfId="0" applyNumberFormat="1" applyFont="1" applyFill="1" applyBorder="1"/>
    <xf numFmtId="4" fontId="10" fillId="2" borderId="134" xfId="0" applyNumberFormat="1" applyFont="1" applyFill="1" applyBorder="1"/>
    <xf numFmtId="4" fontId="24" fillId="2" borderId="131" xfId="0" applyNumberFormat="1" applyFont="1" applyFill="1" applyBorder="1"/>
    <xf numFmtId="4" fontId="27" fillId="2" borderId="135" xfId="0" applyNumberFormat="1" applyFont="1" applyFill="1" applyBorder="1"/>
    <xf numFmtId="0" fontId="24" fillId="3" borderId="57" xfId="0" applyFont="1" applyFill="1" applyBorder="1"/>
    <xf numFmtId="0" fontId="24" fillId="3" borderId="58" xfId="0" applyFont="1" applyFill="1" applyBorder="1"/>
    <xf numFmtId="0" fontId="13" fillId="3" borderId="136" xfId="0" applyFont="1" applyFill="1" applyBorder="1" applyAlignment="1">
      <alignment horizontal="center"/>
    </xf>
    <xf numFmtId="0" fontId="13" fillId="3" borderId="137" xfId="0" applyFont="1" applyFill="1" applyBorder="1" applyAlignment="1">
      <alignment horizontal="center"/>
    </xf>
    <xf numFmtId="0" fontId="13" fillId="3" borderId="59" xfId="0" applyFont="1" applyFill="1" applyBorder="1" applyAlignment="1">
      <alignment horizontal="center"/>
    </xf>
    <xf numFmtId="0" fontId="17" fillId="3" borderId="60" xfId="0" applyFont="1" applyFill="1" applyBorder="1"/>
    <xf numFmtId="0" fontId="16" fillId="2" borderId="60" xfId="0" applyFont="1" applyFill="1" applyBorder="1" applyAlignment="1">
      <alignment horizontal="center"/>
    </xf>
    <xf numFmtId="0" fontId="24" fillId="2" borderId="61" xfId="0" applyFont="1" applyFill="1" applyBorder="1"/>
    <xf numFmtId="0" fontId="16" fillId="2" borderId="138" xfId="0" applyFont="1" applyFill="1" applyBorder="1" applyAlignment="1">
      <alignment horizontal="center"/>
    </xf>
    <xf numFmtId="4" fontId="16" fillId="2" borderId="139" xfId="0" applyNumberFormat="1" applyFont="1" applyFill="1" applyBorder="1"/>
    <xf numFmtId="0" fontId="13" fillId="2" borderId="138" xfId="0" applyFont="1" applyFill="1" applyBorder="1" applyAlignment="1">
      <alignment horizontal="center"/>
    </xf>
    <xf numFmtId="4" fontId="13" fillId="2" borderId="139" xfId="0" applyNumberFormat="1" applyFont="1" applyFill="1" applyBorder="1"/>
    <xf numFmtId="0" fontId="10" fillId="2" borderId="140" xfId="0" applyFont="1" applyFill="1" applyBorder="1" applyAlignment="1">
      <alignment horizontal="center"/>
    </xf>
    <xf numFmtId="0" fontId="10" fillId="2" borderId="142" xfId="0" applyFont="1" applyFill="1" applyBorder="1" applyAlignment="1">
      <alignment horizontal="center"/>
    </xf>
    <xf numFmtId="4" fontId="10" fillId="2" borderId="143" xfId="0" applyNumberFormat="1" applyFont="1" applyFill="1" applyBorder="1"/>
    <xf numFmtId="0" fontId="10" fillId="2" borderId="60" xfId="0" applyFont="1" applyFill="1" applyBorder="1" applyAlignment="1">
      <alignment horizontal="center"/>
    </xf>
    <xf numFmtId="0" fontId="28" fillId="2" borderId="60" xfId="0" applyFont="1" applyFill="1" applyBorder="1" applyAlignment="1">
      <alignment horizontal="center"/>
    </xf>
    <xf numFmtId="0" fontId="10" fillId="2" borderId="144" xfId="0" applyFont="1" applyFill="1" applyBorder="1" applyAlignment="1">
      <alignment horizontal="center"/>
    </xf>
    <xf numFmtId="0" fontId="10" fillId="2" borderId="145" xfId="0" applyFont="1" applyFill="1" applyBorder="1"/>
    <xf numFmtId="0" fontId="27" fillId="2" borderId="149" xfId="0" applyFont="1" applyFill="1" applyBorder="1" applyAlignment="1">
      <alignment horizontal="left"/>
    </xf>
    <xf numFmtId="0" fontId="13" fillId="2" borderId="60" xfId="0" applyFont="1" applyFill="1" applyBorder="1" applyAlignment="1">
      <alignment horizontal="center"/>
    </xf>
    <xf numFmtId="0" fontId="26" fillId="2" borderId="60" xfId="0" applyFont="1" applyFill="1" applyBorder="1" applyAlignment="1">
      <alignment horizontal="center"/>
    </xf>
    <xf numFmtId="0" fontId="10" fillId="2" borderId="150" xfId="0" applyFont="1" applyFill="1" applyBorder="1" applyAlignment="1">
      <alignment horizontal="center"/>
    </xf>
    <xf numFmtId="0" fontId="16" fillId="2" borderId="151" xfId="0" applyFont="1" applyFill="1" applyBorder="1" applyAlignment="1">
      <alignment horizontal="center"/>
    </xf>
    <xf numFmtId="2" fontId="10" fillId="2" borderId="152" xfId="0" applyNumberFormat="1" applyFont="1" applyFill="1" applyBorder="1" applyAlignment="1">
      <alignment horizontal="center"/>
    </xf>
    <xf numFmtId="0" fontId="16" fillId="2" borderId="149" xfId="0" applyFont="1" applyFill="1" applyBorder="1" applyAlignment="1">
      <alignment horizontal="center"/>
    </xf>
    <xf numFmtId="0" fontId="27" fillId="2" borderId="149" xfId="0" applyFont="1" applyFill="1" applyBorder="1" applyAlignment="1">
      <alignment horizontal="center"/>
    </xf>
    <xf numFmtId="4" fontId="16" fillId="2" borderId="153" xfId="0" applyNumberFormat="1" applyFont="1" applyFill="1" applyBorder="1"/>
    <xf numFmtId="4" fontId="10" fillId="2" borderId="154" xfId="0" applyNumberFormat="1" applyFont="1" applyFill="1" applyBorder="1"/>
    <xf numFmtId="2" fontId="24" fillId="2" borderId="155" xfId="0" applyNumberFormat="1" applyFont="1" applyFill="1" applyBorder="1"/>
    <xf numFmtId="4" fontId="16" fillId="2" borderId="41" xfId="0" applyNumberFormat="1" applyFont="1" applyFill="1" applyBorder="1"/>
    <xf numFmtId="0" fontId="9" fillId="2" borderId="0" xfId="0" applyFont="1" applyFill="1" applyBorder="1"/>
    <xf numFmtId="0" fontId="9" fillId="2" borderId="7" xfId="0" applyFont="1" applyFill="1" applyBorder="1"/>
    <xf numFmtId="0" fontId="9" fillId="2" borderId="8" xfId="0" applyFont="1" applyFill="1" applyBorder="1"/>
    <xf numFmtId="0" fontId="9" fillId="2" borderId="9" xfId="0" applyFont="1" applyFill="1" applyBorder="1"/>
    <xf numFmtId="0" fontId="9" fillId="2" borderId="10" xfId="0" applyFont="1" applyFill="1" applyBorder="1"/>
    <xf numFmtId="0" fontId="9" fillId="2" borderId="0" xfId="0" applyFont="1" applyFill="1" applyAlignment="1">
      <alignment horizontal="center"/>
    </xf>
    <xf numFmtId="0" fontId="9" fillId="2" borderId="0" xfId="0" applyFont="1" applyFill="1" applyBorder="1" applyAlignment="1">
      <alignment horizontal="center"/>
    </xf>
    <xf numFmtId="0" fontId="9" fillId="2" borderId="11" xfId="0" applyFont="1" applyFill="1" applyBorder="1"/>
    <xf numFmtId="0" fontId="9" fillId="2" borderId="12" xfId="0" applyFont="1" applyFill="1" applyBorder="1"/>
    <xf numFmtId="164" fontId="9" fillId="2" borderId="12" xfId="0" applyNumberFormat="1" applyFont="1" applyFill="1" applyBorder="1" applyAlignment="1">
      <alignment horizontal="center"/>
    </xf>
    <xf numFmtId="0" fontId="9" fillId="2" borderId="13" xfId="0" applyFont="1" applyFill="1" applyBorder="1"/>
    <xf numFmtId="164" fontId="9" fillId="2" borderId="0" xfId="0" applyNumberFormat="1" applyFont="1" applyFill="1" applyAlignment="1">
      <alignment horizontal="center"/>
    </xf>
    <xf numFmtId="0" fontId="19" fillId="3" borderId="28" xfId="0" applyFont="1" applyFill="1" applyBorder="1" applyAlignment="1">
      <alignment horizontal="center" vertical="center"/>
    </xf>
    <xf numFmtId="0" fontId="25" fillId="3" borderId="28" xfId="0" applyFont="1" applyFill="1" applyBorder="1" applyAlignment="1">
      <alignment horizontal="center" vertical="center"/>
    </xf>
    <xf numFmtId="4" fontId="19" fillId="3" borderId="31" xfId="0" applyNumberFormat="1" applyFont="1" applyFill="1" applyBorder="1" applyAlignment="1">
      <alignment horizontal="left" vertical="center"/>
    </xf>
    <xf numFmtId="0" fontId="10" fillId="3" borderId="32" xfId="0" applyFont="1" applyFill="1" applyBorder="1" applyAlignment="1">
      <alignment horizontal="left" vertical="center"/>
    </xf>
    <xf numFmtId="4" fontId="19" fillId="3" borderId="32" xfId="0" applyNumberFormat="1" applyFont="1" applyFill="1" applyBorder="1" applyAlignment="1">
      <alignment horizontal="right" vertical="center"/>
    </xf>
    <xf numFmtId="0" fontId="19" fillId="3" borderId="32" xfId="0" applyFont="1" applyFill="1" applyBorder="1" applyAlignment="1">
      <alignment horizontal="left" vertical="center"/>
    </xf>
    <xf numFmtId="0" fontId="19" fillId="3" borderId="29" xfId="0" applyFont="1" applyFill="1" applyBorder="1" applyAlignment="1">
      <alignment horizontal="center" vertical="center"/>
    </xf>
    <xf numFmtId="0" fontId="25" fillId="3" borderId="29" xfId="0" applyFont="1" applyFill="1" applyBorder="1" applyAlignment="1">
      <alignment horizontal="center" vertical="center"/>
    </xf>
    <xf numFmtId="0" fontId="20" fillId="3" borderId="34" xfId="0" applyFont="1" applyFill="1" applyBorder="1" applyAlignment="1">
      <alignment horizontal="left"/>
    </xf>
    <xf numFmtId="0" fontId="20" fillId="3" borderId="21" xfId="0" applyFont="1" applyFill="1" applyBorder="1" applyAlignment="1">
      <alignment horizontal="left"/>
    </xf>
    <xf numFmtId="0" fontId="20" fillId="3" borderId="35" xfId="0" applyFont="1" applyFill="1" applyBorder="1" applyAlignment="1">
      <alignment horizontal="left"/>
    </xf>
    <xf numFmtId="0" fontId="19" fillId="3" borderId="30" xfId="0" applyFont="1" applyFill="1" applyBorder="1" applyAlignment="1">
      <alignment horizontal="center" vertical="center"/>
    </xf>
    <xf numFmtId="0" fontId="24" fillId="2" borderId="161" xfId="0" applyFont="1" applyFill="1" applyBorder="1"/>
    <xf numFmtId="0" fontId="24" fillId="2" borderId="162" xfId="0" applyFont="1" applyFill="1" applyBorder="1"/>
    <xf numFmtId="0" fontId="16" fillId="2" borderId="163" xfId="0" applyFont="1" applyFill="1" applyBorder="1" applyAlignment="1">
      <alignment horizontal="left"/>
    </xf>
    <xf numFmtId="0" fontId="13" fillId="2" borderId="164" xfId="0" applyFont="1" applyFill="1" applyBorder="1" applyAlignment="1">
      <alignment horizontal="left"/>
    </xf>
    <xf numFmtId="0" fontId="10" fillId="2" borderId="163" xfId="0" applyFont="1" applyFill="1" applyBorder="1"/>
    <xf numFmtId="0" fontId="16" fillId="2" borderId="165" xfId="0" applyFont="1" applyFill="1" applyBorder="1" applyAlignment="1">
      <alignment horizontal="left"/>
    </xf>
    <xf numFmtId="0" fontId="28" fillId="2" borderId="163" xfId="0" applyFont="1" applyFill="1" applyBorder="1"/>
    <xf numFmtId="0" fontId="24" fillId="2" borderId="166" xfId="0" applyFont="1" applyFill="1" applyBorder="1"/>
    <xf numFmtId="0" fontId="24" fillId="2" borderId="167" xfId="0" applyFont="1" applyFill="1" applyBorder="1"/>
    <xf numFmtId="4" fontId="13" fillId="2" borderId="168" xfId="0" applyNumberFormat="1" applyFont="1" applyFill="1" applyBorder="1" applyAlignment="1">
      <alignment horizontal="center"/>
    </xf>
    <xf numFmtId="0" fontId="27" fillId="2" borderId="169" xfId="0" applyFont="1" applyFill="1" applyBorder="1" applyAlignment="1">
      <alignment horizontal="center"/>
    </xf>
    <xf numFmtId="4" fontId="24" fillId="2" borderId="170" xfId="0" applyNumberFormat="1" applyFont="1" applyFill="1" applyBorder="1"/>
    <xf numFmtId="4" fontId="13" fillId="2" borderId="171" xfId="0" applyNumberFormat="1" applyFont="1" applyFill="1" applyBorder="1"/>
    <xf numFmtId="4" fontId="10" fillId="2" borderId="172" xfId="0" applyNumberFormat="1" applyFont="1" applyFill="1" applyBorder="1"/>
    <xf numFmtId="4" fontId="16" fillId="2" borderId="173" xfId="0" applyNumberFormat="1" applyFont="1" applyFill="1" applyBorder="1"/>
    <xf numFmtId="4" fontId="10" fillId="2" borderId="174" xfId="0" applyNumberFormat="1" applyFont="1" applyFill="1" applyBorder="1"/>
    <xf numFmtId="0" fontId="16" fillId="2" borderId="175" xfId="0" applyFont="1" applyFill="1" applyBorder="1" applyAlignment="1">
      <alignment horizontal="left"/>
    </xf>
    <xf numFmtId="0" fontId="27" fillId="2" borderId="176" xfId="0" applyFont="1" applyFill="1" applyBorder="1" applyAlignment="1">
      <alignment horizontal="left"/>
    </xf>
    <xf numFmtId="4" fontId="16" fillId="2" borderId="160" xfId="0" applyNumberFormat="1" applyFont="1" applyFill="1" applyBorder="1"/>
    <xf numFmtId="0" fontId="9" fillId="2" borderId="0" xfId="0" applyFont="1" applyFill="1" applyBorder="1" applyAlignment="1"/>
    <xf numFmtId="0" fontId="24" fillId="2" borderId="12" xfId="0" applyFont="1" applyFill="1" applyBorder="1" applyAlignment="1">
      <alignment horizontal="left"/>
    </xf>
    <xf numFmtId="0" fontId="13" fillId="3" borderId="71" xfId="0" applyFont="1" applyFill="1" applyBorder="1" applyAlignment="1">
      <alignment horizontal="center" vertical="center"/>
    </xf>
    <xf numFmtId="0" fontId="13" fillId="3" borderId="87" xfId="0" applyFont="1" applyFill="1" applyBorder="1" applyAlignment="1">
      <alignment horizontal="center" vertical="center"/>
    </xf>
    <xf numFmtId="0" fontId="24" fillId="2" borderId="12" xfId="0" applyFont="1" applyFill="1" applyBorder="1" applyAlignment="1">
      <alignment horizontal="left"/>
    </xf>
    <xf numFmtId="0" fontId="8" fillId="2" borderId="0" xfId="0" applyFont="1" applyFill="1"/>
    <xf numFmtId="4" fontId="13" fillId="3" borderId="91" xfId="0" applyNumberFormat="1" applyFont="1" applyFill="1" applyBorder="1" applyAlignment="1">
      <alignment vertical="center"/>
    </xf>
    <xf numFmtId="0" fontId="24" fillId="0" borderId="6" xfId="0" applyFont="1" applyFill="1" applyBorder="1" applyAlignment="1" applyProtection="1">
      <alignment horizontal="left"/>
      <protection locked="0"/>
    </xf>
    <xf numFmtId="0" fontId="24" fillId="0" borderId="7" xfId="0" applyFont="1" applyFill="1" applyBorder="1" applyAlignment="1" applyProtection="1">
      <alignment horizontal="left"/>
      <protection locked="0"/>
    </xf>
    <xf numFmtId="0" fontId="24" fillId="0" borderId="8" xfId="0" applyFont="1" applyFill="1" applyBorder="1" applyAlignment="1" applyProtection="1">
      <alignment horizontal="left"/>
      <protection locked="0"/>
    </xf>
    <xf numFmtId="0" fontId="24" fillId="0" borderId="9" xfId="0" applyFont="1" applyFill="1" applyBorder="1" applyAlignment="1" applyProtection="1">
      <alignment horizontal="left"/>
      <protection locked="0"/>
    </xf>
    <xf numFmtId="0" fontId="13" fillId="0" borderId="0" xfId="0" applyFont="1" applyFill="1" applyBorder="1" applyAlignment="1" applyProtection="1">
      <alignment horizontal="left"/>
      <protection locked="0"/>
    </xf>
    <xf numFmtId="0" fontId="24" fillId="0" borderId="0" xfId="0" applyFont="1" applyFill="1" applyBorder="1" applyAlignment="1" applyProtection="1">
      <alignment horizontal="left"/>
      <protection locked="0"/>
    </xf>
    <xf numFmtId="0" fontId="24" fillId="0" borderId="10" xfId="0" applyFont="1" applyFill="1" applyBorder="1" applyAlignment="1" applyProtection="1">
      <alignment horizontal="left"/>
      <protection locked="0"/>
    </xf>
    <xf numFmtId="0" fontId="8" fillId="0" borderId="9" xfId="0" applyFont="1" applyFill="1" applyBorder="1" applyAlignment="1" applyProtection="1">
      <alignment horizontal="left"/>
      <protection locked="0"/>
    </xf>
    <xf numFmtId="0" fontId="8" fillId="0" borderId="0" xfId="0" applyFont="1" applyFill="1" applyBorder="1" applyAlignment="1" applyProtection="1">
      <alignment horizontal="left"/>
      <protection locked="0"/>
    </xf>
    <xf numFmtId="0" fontId="8" fillId="0" borderId="10" xfId="0" applyFont="1" applyFill="1" applyBorder="1" applyAlignment="1" applyProtection="1">
      <alignment horizontal="left"/>
      <protection locked="0"/>
    </xf>
    <xf numFmtId="0" fontId="16" fillId="0" borderId="9" xfId="0" applyFont="1" applyFill="1" applyBorder="1" applyAlignment="1" applyProtection="1">
      <alignment horizontal="left" vertical="center"/>
      <protection locked="0"/>
    </xf>
    <xf numFmtId="0" fontId="16" fillId="0" borderId="0" xfId="0" applyFont="1" applyFill="1" applyBorder="1" applyAlignment="1" applyProtection="1">
      <alignment horizontal="left" vertical="center"/>
      <protection locked="0"/>
    </xf>
    <xf numFmtId="0" fontId="16" fillId="0" borderId="10" xfId="0" applyFont="1" applyFill="1" applyBorder="1" applyAlignment="1" applyProtection="1">
      <alignment horizontal="left" vertical="center"/>
      <protection locked="0"/>
    </xf>
    <xf numFmtId="0" fontId="25" fillId="0" borderId="9" xfId="0" applyFont="1" applyFill="1" applyBorder="1" applyAlignment="1" applyProtection="1">
      <alignment horizontal="left"/>
      <protection locked="0"/>
    </xf>
    <xf numFmtId="0" fontId="25" fillId="0" borderId="0" xfId="0" applyFont="1" applyFill="1" applyBorder="1" applyAlignment="1" applyProtection="1">
      <alignment horizontal="left"/>
      <protection locked="0"/>
    </xf>
    <xf numFmtId="0" fontId="25" fillId="0" borderId="10" xfId="0" applyFont="1" applyFill="1" applyBorder="1" applyAlignment="1" applyProtection="1">
      <alignment horizontal="left"/>
      <protection locked="0"/>
    </xf>
    <xf numFmtId="0" fontId="24" fillId="0" borderId="9"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protection locked="0"/>
    </xf>
    <xf numFmtId="0" fontId="24" fillId="0" borderId="10" xfId="0" applyFont="1" applyFill="1" applyBorder="1" applyAlignment="1" applyProtection="1">
      <alignment horizontal="left" vertical="center"/>
      <protection locked="0"/>
    </xf>
    <xf numFmtId="0" fontId="24" fillId="0" borderId="11" xfId="0" applyFont="1" applyFill="1" applyBorder="1" applyAlignment="1" applyProtection="1">
      <alignment horizontal="left"/>
      <protection locked="0"/>
    </xf>
    <xf numFmtId="0" fontId="24" fillId="0" borderId="12" xfId="0" applyFont="1" applyFill="1" applyBorder="1" applyAlignment="1" applyProtection="1">
      <alignment horizontal="left"/>
      <protection locked="0"/>
    </xf>
    <xf numFmtId="0" fontId="24" fillId="0" borderId="13" xfId="0" applyFont="1" applyFill="1" applyBorder="1" applyAlignment="1" applyProtection="1">
      <alignment horizontal="left"/>
      <protection locked="0"/>
    </xf>
    <xf numFmtId="0" fontId="21" fillId="0" borderId="177" xfId="0" applyFont="1" applyBorder="1" applyAlignment="1" applyProtection="1">
      <alignment horizontal="left"/>
      <protection locked="0"/>
    </xf>
    <xf numFmtId="0" fontId="21" fillId="0" borderId="178" xfId="0" applyFont="1" applyBorder="1" applyAlignment="1" applyProtection="1">
      <alignment horizontal="left"/>
      <protection locked="0"/>
    </xf>
    <xf numFmtId="0" fontId="21" fillId="0" borderId="179" xfId="0" applyFont="1" applyBorder="1" applyAlignment="1" applyProtection="1">
      <alignment horizontal="left"/>
      <protection locked="0"/>
    </xf>
    <xf numFmtId="0" fontId="21" fillId="0" borderId="180" xfId="0" applyFont="1" applyBorder="1" applyAlignment="1" applyProtection="1">
      <alignment horizontal="left"/>
      <protection locked="0"/>
    </xf>
    <xf numFmtId="0" fontId="21" fillId="0" borderId="181" xfId="0" applyFont="1" applyBorder="1" applyAlignment="1" applyProtection="1">
      <alignment horizontal="left"/>
      <protection locked="0"/>
    </xf>
    <xf numFmtId="0" fontId="21" fillId="0" borderId="182" xfId="0" applyFont="1" applyBorder="1" applyAlignment="1" applyProtection="1">
      <alignment horizontal="left"/>
      <protection locked="0"/>
    </xf>
    <xf numFmtId="0" fontId="21" fillId="0" borderId="183" xfId="0" applyFont="1" applyBorder="1" applyAlignment="1" applyProtection="1">
      <alignment horizontal="left"/>
      <protection locked="0"/>
    </xf>
    <xf numFmtId="0" fontId="43" fillId="0" borderId="0" xfId="0" applyFont="1" applyAlignment="1" applyProtection="1">
      <alignment horizontal="left"/>
      <protection locked="0"/>
    </xf>
    <xf numFmtId="0" fontId="21" fillId="0" borderId="0" xfId="0" applyFont="1" applyAlignment="1" applyProtection="1">
      <alignment horizontal="left"/>
      <protection locked="0"/>
    </xf>
    <xf numFmtId="0" fontId="21" fillId="0" borderId="184" xfId="0" applyFont="1" applyBorder="1" applyAlignment="1" applyProtection="1">
      <alignment horizontal="left"/>
      <protection locked="0"/>
    </xf>
    <xf numFmtId="0" fontId="14" fillId="2" borderId="3" xfId="0" applyFont="1" applyFill="1" applyBorder="1" applyProtection="1">
      <protection locked="0"/>
    </xf>
    <xf numFmtId="164" fontId="20" fillId="2" borderId="4" xfId="0" applyNumberFormat="1" applyFont="1" applyFill="1" applyBorder="1" applyAlignment="1" applyProtection="1">
      <alignment horizontal="center"/>
      <protection locked="0"/>
    </xf>
    <xf numFmtId="164" fontId="20" fillId="2" borderId="5" xfId="0" applyNumberFormat="1" applyFont="1" applyFill="1" applyBorder="1" applyAlignment="1" applyProtection="1">
      <alignment horizontal="center"/>
      <protection locked="0"/>
    </xf>
    <xf numFmtId="164" fontId="20" fillId="2" borderId="2" xfId="0" applyNumberFormat="1" applyFont="1" applyFill="1" applyBorder="1" applyAlignment="1" applyProtection="1">
      <alignment horizontal="center"/>
      <protection locked="0"/>
    </xf>
    <xf numFmtId="0" fontId="24" fillId="2" borderId="4" xfId="0" applyFont="1" applyFill="1" applyBorder="1" applyProtection="1">
      <protection locked="0"/>
    </xf>
    <xf numFmtId="10" fontId="24" fillId="2" borderId="4" xfId="0" applyNumberFormat="1" applyFont="1" applyFill="1" applyBorder="1" applyAlignment="1" applyProtection="1">
      <alignment horizontal="center"/>
      <protection locked="0"/>
    </xf>
    <xf numFmtId="3" fontId="24" fillId="2" borderId="4" xfId="0" applyNumberFormat="1" applyFont="1" applyFill="1" applyBorder="1" applyProtection="1">
      <protection locked="0"/>
    </xf>
    <xf numFmtId="4" fontId="24" fillId="2" borderId="4" xfId="0" applyNumberFormat="1" applyFont="1" applyFill="1" applyBorder="1" applyProtection="1">
      <protection locked="0"/>
    </xf>
    <xf numFmtId="0" fontId="24" fillId="2" borderId="5" xfId="0" applyFont="1" applyFill="1" applyBorder="1" applyProtection="1">
      <protection locked="0"/>
    </xf>
    <xf numFmtId="10" fontId="24" fillId="2" borderId="5" xfId="0" applyNumberFormat="1" applyFont="1" applyFill="1" applyBorder="1" applyAlignment="1" applyProtection="1">
      <alignment horizontal="center"/>
      <protection locked="0"/>
    </xf>
    <xf numFmtId="3" fontId="24" fillId="2" borderId="5" xfId="0" applyNumberFormat="1" applyFont="1" applyFill="1" applyBorder="1" applyProtection="1">
      <protection locked="0"/>
    </xf>
    <xf numFmtId="4" fontId="24" fillId="2" borderId="5" xfId="0" applyNumberFormat="1" applyFont="1" applyFill="1" applyBorder="1" applyProtection="1">
      <protection locked="0"/>
    </xf>
    <xf numFmtId="4" fontId="10" fillId="2" borderId="44" xfId="0" applyNumberFormat="1" applyFont="1" applyFill="1" applyBorder="1" applyProtection="1">
      <protection locked="0"/>
    </xf>
    <xf numFmtId="4" fontId="10" fillId="2" borderId="45" xfId="0" applyNumberFormat="1" applyFont="1" applyFill="1" applyBorder="1" applyProtection="1">
      <protection locked="0"/>
    </xf>
    <xf numFmtId="4" fontId="13" fillId="2" borderId="43" xfId="0" applyNumberFormat="1" applyFont="1" applyFill="1" applyBorder="1" applyProtection="1">
      <protection locked="0"/>
    </xf>
    <xf numFmtId="4" fontId="10" fillId="2" borderId="154" xfId="0" applyNumberFormat="1" applyFont="1" applyFill="1" applyBorder="1" applyProtection="1">
      <protection locked="0"/>
    </xf>
    <xf numFmtId="4" fontId="10" fillId="2" borderId="36" xfId="0" applyNumberFormat="1" applyFont="1" applyFill="1" applyBorder="1" applyProtection="1">
      <protection locked="0"/>
    </xf>
    <xf numFmtId="4" fontId="10" fillId="2" borderId="133" xfId="0" applyNumberFormat="1" applyFont="1" applyFill="1" applyBorder="1" applyProtection="1">
      <protection locked="0"/>
    </xf>
    <xf numFmtId="4" fontId="10" fillId="2" borderId="141" xfId="0" applyNumberFormat="1" applyFont="1" applyFill="1" applyBorder="1" applyProtection="1">
      <protection locked="0"/>
    </xf>
    <xf numFmtId="4" fontId="10" fillId="2" borderId="37" xfId="0" applyNumberFormat="1" applyFont="1" applyFill="1" applyBorder="1" applyProtection="1">
      <protection locked="0"/>
    </xf>
    <xf numFmtId="4" fontId="10" fillId="2" borderId="134" xfId="0" applyNumberFormat="1" applyFont="1" applyFill="1" applyBorder="1" applyProtection="1">
      <protection locked="0"/>
    </xf>
    <xf numFmtId="4" fontId="10" fillId="2" borderId="143" xfId="0" applyNumberFormat="1" applyFont="1" applyFill="1" applyBorder="1" applyProtection="1">
      <protection locked="0"/>
    </xf>
    <xf numFmtId="4" fontId="13" fillId="2" borderId="30" xfId="0" applyNumberFormat="1" applyFont="1" applyFill="1" applyBorder="1" applyProtection="1">
      <protection locked="0"/>
    </xf>
    <xf numFmtId="4" fontId="13" fillId="2" borderId="132" xfId="0" applyNumberFormat="1" applyFont="1" applyFill="1" applyBorder="1" applyProtection="1">
      <protection locked="0"/>
    </xf>
    <xf numFmtId="4" fontId="13" fillId="2" borderId="139" xfId="0" applyNumberFormat="1" applyFont="1" applyFill="1" applyBorder="1" applyProtection="1">
      <protection locked="0"/>
    </xf>
    <xf numFmtId="4" fontId="10" fillId="2" borderId="146" xfId="0" applyNumberFormat="1" applyFont="1" applyFill="1" applyBorder="1" applyProtection="1">
      <protection locked="0"/>
    </xf>
    <xf numFmtId="4" fontId="10" fillId="2" borderId="147" xfId="0" applyNumberFormat="1" applyFont="1" applyFill="1" applyBorder="1" applyProtection="1">
      <protection locked="0"/>
    </xf>
    <xf numFmtId="4" fontId="10" fillId="2" borderId="148" xfId="0" applyNumberFormat="1" applyFont="1" applyFill="1" applyBorder="1" applyProtection="1">
      <protection locked="0"/>
    </xf>
    <xf numFmtId="4" fontId="10" fillId="2" borderId="52" xfId="0" applyNumberFormat="1" applyFont="1" applyFill="1" applyBorder="1" applyProtection="1">
      <protection locked="0"/>
    </xf>
    <xf numFmtId="4" fontId="10" fillId="2" borderId="54" xfId="0" applyNumberFormat="1" applyFont="1" applyFill="1" applyBorder="1" applyProtection="1">
      <protection locked="0"/>
    </xf>
    <xf numFmtId="4" fontId="13" fillId="2" borderId="50" xfId="0" applyNumberFormat="1" applyFont="1" applyFill="1" applyBorder="1" applyProtection="1">
      <protection locked="0"/>
    </xf>
    <xf numFmtId="4" fontId="28" fillId="2" borderId="42" xfId="0" applyNumberFormat="1" applyFont="1" applyFill="1" applyBorder="1" applyProtection="1">
      <protection locked="0"/>
    </xf>
    <xf numFmtId="4" fontId="28" fillId="2" borderId="49" xfId="0" applyNumberFormat="1" applyFont="1" applyFill="1" applyBorder="1" applyProtection="1">
      <protection locked="0"/>
    </xf>
    <xf numFmtId="4" fontId="10" fillId="2" borderId="172" xfId="0" applyNumberFormat="1" applyFont="1" applyFill="1" applyBorder="1" applyProtection="1">
      <protection locked="0"/>
    </xf>
    <xf numFmtId="4" fontId="28" fillId="2" borderId="170" xfId="0" applyNumberFormat="1" applyFont="1" applyFill="1" applyBorder="1" applyProtection="1">
      <protection locked="0"/>
    </xf>
    <xf numFmtId="4" fontId="16" fillId="2" borderId="160" xfId="0" applyNumberFormat="1" applyFont="1" applyFill="1" applyBorder="1" applyProtection="1">
      <protection locked="0"/>
    </xf>
    <xf numFmtId="0" fontId="10" fillId="2" borderId="36" xfId="0" applyFont="1" applyFill="1" applyBorder="1" applyAlignment="1" applyProtection="1">
      <alignment horizontal="center" vertical="center"/>
      <protection locked="0"/>
    </xf>
    <xf numFmtId="3" fontId="10" fillId="2" borderId="36" xfId="0" applyNumberFormat="1" applyFont="1" applyFill="1" applyBorder="1" applyAlignment="1" applyProtection="1">
      <alignment horizontal="center" vertical="center"/>
      <protection locked="0"/>
    </xf>
    <xf numFmtId="4" fontId="10" fillId="2" borderId="36" xfId="0" applyNumberFormat="1" applyFont="1" applyFill="1" applyBorder="1" applyAlignment="1" applyProtection="1">
      <alignment vertical="center"/>
      <protection locked="0"/>
    </xf>
    <xf numFmtId="0" fontId="10" fillId="2" borderId="37" xfId="0" applyFont="1" applyFill="1" applyBorder="1" applyAlignment="1" applyProtection="1">
      <alignment horizontal="center" vertical="center"/>
      <protection locked="0"/>
    </xf>
    <xf numFmtId="0" fontId="10" fillId="2" borderId="37" xfId="0" applyFont="1" applyFill="1" applyBorder="1" applyAlignment="1" applyProtection="1">
      <alignment vertical="center"/>
      <protection locked="0"/>
    </xf>
    <xf numFmtId="3" fontId="10" fillId="2" borderId="37" xfId="0" applyNumberFormat="1" applyFont="1" applyFill="1" applyBorder="1" applyAlignment="1" applyProtection="1">
      <alignment horizontal="center" vertical="center"/>
      <protection locked="0"/>
    </xf>
    <xf numFmtId="4" fontId="10" fillId="2" borderId="37" xfId="0" applyNumberFormat="1" applyFont="1" applyFill="1" applyBorder="1" applyAlignment="1" applyProtection="1">
      <alignment vertical="center"/>
      <protection locked="0"/>
    </xf>
    <xf numFmtId="4" fontId="13" fillId="2" borderId="77" xfId="0" applyNumberFormat="1" applyFont="1" applyFill="1" applyBorder="1" applyAlignment="1" applyProtection="1">
      <alignment vertical="center"/>
      <protection locked="0"/>
    </xf>
    <xf numFmtId="4" fontId="9" fillId="2" borderId="81" xfId="0" applyNumberFormat="1" applyFont="1" applyFill="1" applyBorder="1" applyAlignment="1" applyProtection="1">
      <alignment vertical="center"/>
      <protection locked="0"/>
    </xf>
    <xf numFmtId="4" fontId="9" fillId="2" borderId="82" xfId="0" applyNumberFormat="1" applyFont="1" applyFill="1" applyBorder="1" applyAlignment="1" applyProtection="1">
      <alignment vertical="center"/>
      <protection locked="0"/>
    </xf>
    <xf numFmtId="4" fontId="9" fillId="2" borderId="83" xfId="0" applyNumberFormat="1" applyFont="1" applyFill="1" applyBorder="1" applyAlignment="1" applyProtection="1">
      <alignment vertical="center"/>
      <protection locked="0"/>
    </xf>
    <xf numFmtId="4" fontId="13" fillId="2" borderId="78" xfId="0" applyNumberFormat="1" applyFont="1" applyFill="1" applyBorder="1" applyAlignment="1" applyProtection="1">
      <alignment vertical="center"/>
      <protection locked="0"/>
    </xf>
    <xf numFmtId="4" fontId="9" fillId="2" borderId="84" xfId="0" applyNumberFormat="1" applyFont="1" applyFill="1" applyBorder="1" applyAlignment="1" applyProtection="1">
      <alignment vertical="center"/>
      <protection locked="0"/>
    </xf>
    <xf numFmtId="4" fontId="9" fillId="2" borderId="85" xfId="0" applyNumberFormat="1" applyFont="1" applyFill="1" applyBorder="1" applyAlignment="1" applyProtection="1">
      <alignment vertical="center"/>
      <protection locked="0"/>
    </xf>
    <xf numFmtId="4" fontId="9" fillId="2" borderId="86" xfId="0" applyNumberFormat="1" applyFont="1" applyFill="1" applyBorder="1" applyAlignment="1" applyProtection="1">
      <alignment vertical="center"/>
      <protection locked="0"/>
    </xf>
    <xf numFmtId="4" fontId="13" fillId="2" borderId="79" xfId="0" applyNumberFormat="1" applyFont="1" applyFill="1" applyBorder="1" applyAlignment="1" applyProtection="1">
      <alignment vertical="center"/>
      <protection locked="0"/>
    </xf>
    <xf numFmtId="4" fontId="9" fillId="2" borderId="87" xfId="0" applyNumberFormat="1" applyFont="1" applyFill="1" applyBorder="1" applyAlignment="1" applyProtection="1">
      <alignment vertical="center"/>
      <protection locked="0"/>
    </xf>
    <xf numFmtId="4" fontId="9" fillId="2" borderId="88" xfId="0" applyNumberFormat="1" applyFont="1" applyFill="1" applyBorder="1" applyAlignment="1" applyProtection="1">
      <alignment vertical="center"/>
      <protection locked="0"/>
    </xf>
    <xf numFmtId="4" fontId="9" fillId="2" borderId="89" xfId="0" applyNumberFormat="1" applyFont="1" applyFill="1" applyBorder="1" applyAlignment="1" applyProtection="1">
      <alignment vertical="center"/>
      <protection locked="0"/>
    </xf>
    <xf numFmtId="4" fontId="9" fillId="2" borderId="102" xfId="0" applyNumberFormat="1" applyFont="1" applyFill="1" applyBorder="1" applyAlignment="1" applyProtection="1">
      <alignment vertical="center"/>
      <protection locked="0"/>
    </xf>
    <xf numFmtId="4" fontId="9" fillId="2" borderId="103" xfId="0" applyNumberFormat="1" applyFont="1" applyFill="1" applyBorder="1" applyAlignment="1" applyProtection="1">
      <alignment vertical="center"/>
      <protection locked="0"/>
    </xf>
    <xf numFmtId="4" fontId="9" fillId="2" borderId="96" xfId="0" applyNumberFormat="1" applyFont="1" applyFill="1" applyBorder="1" applyAlignment="1" applyProtection="1">
      <alignment vertical="center"/>
      <protection locked="0"/>
    </xf>
    <xf numFmtId="4" fontId="9" fillId="2" borderId="97" xfId="0" applyNumberFormat="1" applyFont="1" applyFill="1" applyBorder="1" applyAlignment="1" applyProtection="1">
      <alignment vertical="center"/>
      <protection locked="0"/>
    </xf>
    <xf numFmtId="0" fontId="9" fillId="2" borderId="69" xfId="0" applyFont="1" applyFill="1" applyBorder="1" applyAlignment="1" applyProtection="1">
      <alignment horizontal="left" vertical="center"/>
      <protection locked="0"/>
    </xf>
    <xf numFmtId="0" fontId="9" fillId="2" borderId="71" xfId="0" applyFont="1" applyFill="1" applyBorder="1" applyAlignment="1" applyProtection="1">
      <alignment horizontal="left" vertical="center"/>
      <protection locked="0"/>
    </xf>
    <xf numFmtId="4" fontId="9" fillId="2" borderId="68" xfId="0" applyNumberFormat="1" applyFont="1" applyFill="1" applyBorder="1" applyAlignment="1" applyProtection="1">
      <alignment horizontal="left" vertical="center"/>
      <protection locked="0"/>
    </xf>
    <xf numFmtId="4" fontId="9" fillId="2" borderId="98" xfId="0" applyNumberFormat="1" applyFont="1" applyFill="1" applyBorder="1" applyAlignment="1" applyProtection="1">
      <alignment horizontal="left" vertical="center"/>
      <protection locked="0"/>
    </xf>
    <xf numFmtId="10" fontId="8" fillId="2" borderId="104" xfId="131" applyNumberFormat="1" applyFont="1" applyFill="1" applyBorder="1" applyAlignment="1" applyProtection="1">
      <alignment vertical="center"/>
      <protection locked="0"/>
    </xf>
    <xf numFmtId="4" fontId="8" fillId="2" borderId="104" xfId="0" applyNumberFormat="1" applyFont="1" applyFill="1" applyBorder="1" applyAlignment="1" applyProtection="1">
      <alignment vertical="center"/>
      <protection locked="0"/>
    </xf>
    <xf numFmtId="10" fontId="8" fillId="2" borderId="68" xfId="131" applyNumberFormat="1" applyFont="1" applyFill="1" applyBorder="1" applyAlignment="1" applyProtection="1">
      <alignment vertical="center"/>
      <protection locked="0"/>
    </xf>
    <xf numFmtId="4" fontId="8" fillId="2" borderId="68" xfId="0" applyNumberFormat="1" applyFont="1" applyFill="1" applyBorder="1" applyAlignment="1" applyProtection="1">
      <alignment vertical="center"/>
      <protection locked="0"/>
    </xf>
    <xf numFmtId="10" fontId="8" fillId="2" borderId="98" xfId="131" applyNumberFormat="1" applyFont="1" applyFill="1" applyBorder="1" applyAlignment="1" applyProtection="1">
      <alignment vertical="center"/>
      <protection locked="0"/>
    </xf>
    <xf numFmtId="4" fontId="8" fillId="2" borderId="98" xfId="0" applyNumberFormat="1" applyFont="1" applyFill="1" applyBorder="1" applyAlignment="1" applyProtection="1">
      <alignment vertical="center"/>
      <protection locked="0"/>
    </xf>
    <xf numFmtId="10" fontId="8" fillId="2" borderId="71" xfId="131" applyNumberFormat="1" applyFont="1" applyFill="1" applyBorder="1" applyAlignment="1" applyProtection="1">
      <alignment vertical="center"/>
      <protection locked="0"/>
    </xf>
    <xf numFmtId="4" fontId="8" fillId="2" borderId="71" xfId="0" applyNumberFormat="1" applyFont="1" applyFill="1" applyBorder="1" applyAlignment="1" applyProtection="1">
      <alignment vertical="center"/>
      <protection locked="0"/>
    </xf>
    <xf numFmtId="10" fontId="13" fillId="2" borderId="75" xfId="131" applyNumberFormat="1" applyFont="1" applyFill="1" applyBorder="1" applyAlignment="1">
      <alignment vertical="center"/>
    </xf>
    <xf numFmtId="4" fontId="13" fillId="2" borderId="15" xfId="0" applyNumberFormat="1" applyFont="1" applyFill="1" applyBorder="1" applyAlignment="1" applyProtection="1">
      <alignment vertical="center"/>
      <protection locked="0"/>
    </xf>
    <xf numFmtId="4" fontId="13" fillId="2" borderId="105" xfId="0" applyNumberFormat="1" applyFont="1" applyFill="1" applyBorder="1" applyAlignment="1" applyProtection="1">
      <alignment vertical="center"/>
      <protection locked="0"/>
    </xf>
    <xf numFmtId="0" fontId="20" fillId="2" borderId="0" xfId="0" applyFont="1" applyFill="1" applyBorder="1" applyAlignment="1" applyProtection="1">
      <alignment horizontal="left"/>
      <protection locked="0"/>
    </xf>
    <xf numFmtId="4" fontId="9" fillId="2" borderId="77" xfId="0" applyNumberFormat="1" applyFont="1" applyFill="1" applyBorder="1" applyAlignment="1" applyProtection="1">
      <alignment vertical="center"/>
      <protection locked="0"/>
    </xf>
    <xf numFmtId="4" fontId="9" fillId="2" borderId="65" xfId="0" applyNumberFormat="1" applyFont="1" applyFill="1" applyBorder="1" applyAlignment="1" applyProtection="1">
      <alignment horizontal="left" vertical="center"/>
      <protection locked="0"/>
    </xf>
    <xf numFmtId="4" fontId="9" fillId="2" borderId="101" xfId="0" applyNumberFormat="1" applyFont="1" applyFill="1" applyBorder="1" applyAlignment="1" applyProtection="1">
      <alignment vertical="center"/>
      <protection locked="0"/>
    </xf>
    <xf numFmtId="4" fontId="9" fillId="2" borderId="78" xfId="0" applyNumberFormat="1" applyFont="1" applyFill="1" applyBorder="1" applyAlignment="1" applyProtection="1">
      <alignment vertical="center"/>
      <protection locked="0"/>
    </xf>
    <xf numFmtId="4" fontId="9" fillId="2" borderId="95" xfId="0" applyNumberFormat="1" applyFont="1" applyFill="1" applyBorder="1" applyAlignment="1" applyProtection="1">
      <alignment vertical="center"/>
      <protection locked="0"/>
    </xf>
    <xf numFmtId="4" fontId="9" fillId="2" borderId="79" xfId="0" applyNumberFormat="1" applyFont="1" applyFill="1" applyBorder="1" applyAlignment="1" applyProtection="1">
      <alignment vertical="center"/>
      <protection locked="0"/>
    </xf>
    <xf numFmtId="0" fontId="9" fillId="2" borderId="100" xfId="0" applyFont="1" applyFill="1" applyBorder="1" applyAlignment="1" applyProtection="1">
      <alignment horizontal="left" vertical="center"/>
      <protection locked="0"/>
    </xf>
    <xf numFmtId="0" fontId="9" fillId="2" borderId="67" xfId="0" applyFont="1" applyFill="1" applyBorder="1" applyAlignment="1" applyProtection="1">
      <alignment horizontal="left" vertical="center"/>
      <protection locked="0"/>
    </xf>
    <xf numFmtId="0" fontId="9" fillId="2" borderId="70" xfId="0" applyFont="1" applyFill="1" applyBorder="1" applyAlignment="1" applyProtection="1">
      <alignment horizontal="left" vertical="center"/>
      <protection locked="0"/>
    </xf>
    <xf numFmtId="0" fontId="13" fillId="2" borderId="18" xfId="0" applyFont="1" applyFill="1" applyBorder="1" applyAlignment="1">
      <alignment horizontal="left" vertical="center"/>
    </xf>
    <xf numFmtId="4" fontId="9" fillId="2" borderId="63" xfId="0" applyNumberFormat="1" applyFont="1" applyFill="1" applyBorder="1" applyAlignment="1" applyProtection="1">
      <alignment vertical="center"/>
      <protection locked="0"/>
    </xf>
    <xf numFmtId="4" fontId="9" fillId="2" borderId="66" xfId="0" applyNumberFormat="1" applyFont="1" applyFill="1" applyBorder="1" applyAlignment="1" applyProtection="1">
      <alignment vertical="center"/>
      <protection locked="0"/>
    </xf>
    <xf numFmtId="0" fontId="9" fillId="2" borderId="101" xfId="0" applyFont="1" applyFill="1" applyBorder="1" applyAlignment="1" applyProtection="1">
      <alignment horizontal="left" vertical="center"/>
      <protection locked="0"/>
    </xf>
    <xf numFmtId="0" fontId="9" fillId="2" borderId="78" xfId="0" applyFont="1" applyFill="1" applyBorder="1" applyAlignment="1" applyProtection="1">
      <alignment horizontal="left" vertical="center"/>
      <protection locked="0"/>
    </xf>
    <xf numFmtId="0" fontId="9" fillId="2" borderId="79" xfId="0" applyFont="1" applyFill="1" applyBorder="1" applyAlignment="1" applyProtection="1">
      <alignment horizontal="left" vertical="center"/>
      <protection locked="0"/>
    </xf>
    <xf numFmtId="0" fontId="19" fillId="3" borderId="76" xfId="0" applyFont="1" applyFill="1" applyBorder="1" applyAlignment="1">
      <alignment horizontal="center" vertical="center"/>
    </xf>
    <xf numFmtId="4" fontId="13" fillId="2" borderId="72" xfId="0" applyNumberFormat="1" applyFont="1" applyFill="1" applyBorder="1" applyAlignment="1" applyProtection="1">
      <alignment vertical="center"/>
      <protection locked="0"/>
    </xf>
    <xf numFmtId="4" fontId="13" fillId="2" borderId="115" xfId="0" applyNumberFormat="1" applyFont="1" applyFill="1" applyBorder="1" applyAlignment="1" applyProtection="1">
      <alignment vertical="center"/>
      <protection locked="0"/>
    </xf>
    <xf numFmtId="4" fontId="13" fillId="2" borderId="91" xfId="0" applyNumberFormat="1" applyFont="1" applyFill="1" applyBorder="1" applyAlignment="1" applyProtection="1">
      <alignment vertical="center"/>
      <protection locked="0"/>
    </xf>
    <xf numFmtId="4" fontId="9" fillId="2" borderId="108" xfId="0" applyNumberFormat="1" applyFont="1" applyFill="1" applyBorder="1" applyAlignment="1" applyProtection="1">
      <alignment vertical="center"/>
      <protection locked="0"/>
    </xf>
    <xf numFmtId="4" fontId="9" fillId="2" borderId="109" xfId="0" applyNumberFormat="1" applyFont="1" applyFill="1" applyBorder="1" applyAlignment="1" applyProtection="1">
      <alignment vertical="center"/>
      <protection locked="0"/>
    </xf>
    <xf numFmtId="4" fontId="9" fillId="2" borderId="110" xfId="0" applyNumberFormat="1" applyFont="1" applyFill="1" applyBorder="1" applyAlignment="1" applyProtection="1">
      <alignment vertical="center"/>
      <protection locked="0"/>
    </xf>
    <xf numFmtId="0" fontId="20" fillId="2" borderId="15" xfId="0" applyFont="1" applyFill="1" applyBorder="1" applyAlignment="1" applyProtection="1">
      <alignment horizontal="center" vertical="center"/>
      <protection locked="0"/>
    </xf>
    <xf numFmtId="4" fontId="9" fillId="2" borderId="100" xfId="0" applyNumberFormat="1" applyFont="1" applyFill="1" applyBorder="1" applyAlignment="1" applyProtection="1">
      <alignment horizontal="left" vertical="center"/>
      <protection locked="0"/>
    </xf>
    <xf numFmtId="4" fontId="9" fillId="2" borderId="70" xfId="0" applyNumberFormat="1" applyFont="1" applyFill="1" applyBorder="1" applyAlignment="1" applyProtection="1">
      <alignment horizontal="left" vertical="center"/>
      <protection locked="0"/>
    </xf>
    <xf numFmtId="4" fontId="9" fillId="2" borderId="79" xfId="0" applyNumberFormat="1" applyFont="1" applyFill="1" applyBorder="1" applyAlignment="1" applyProtection="1">
      <alignment horizontal="left" vertical="center"/>
      <protection locked="0"/>
    </xf>
    <xf numFmtId="4" fontId="20" fillId="2" borderId="101" xfId="0" applyNumberFormat="1" applyFont="1" applyFill="1" applyBorder="1" applyAlignment="1" applyProtection="1">
      <alignment vertical="center"/>
      <protection locked="0"/>
    </xf>
    <xf numFmtId="4" fontId="20" fillId="2" borderId="42" xfId="0" applyNumberFormat="1" applyFont="1" applyFill="1" applyBorder="1" applyAlignment="1" applyProtection="1">
      <alignment vertical="center"/>
      <protection locked="0"/>
    </xf>
    <xf numFmtId="4" fontId="9" fillId="2" borderId="99" xfId="0" applyNumberFormat="1" applyFont="1" applyFill="1" applyBorder="1" applyAlignment="1" applyProtection="1">
      <alignment horizontal="left" vertical="center"/>
      <protection locked="0"/>
    </xf>
    <xf numFmtId="4" fontId="9" fillId="2" borderId="104" xfId="0" applyNumberFormat="1" applyFont="1" applyFill="1" applyBorder="1" applyAlignment="1" applyProtection="1">
      <alignment horizontal="left" vertical="center"/>
      <protection locked="0"/>
    </xf>
    <xf numFmtId="4" fontId="9" fillId="2" borderId="68" xfId="0" applyNumberFormat="1" applyFont="1" applyFill="1" applyBorder="1" applyAlignment="1" applyProtection="1">
      <alignment horizontal="left" vertical="center"/>
      <protection locked="0"/>
    </xf>
    <xf numFmtId="4" fontId="9" fillId="2" borderId="69" xfId="0" applyNumberFormat="1" applyFont="1" applyFill="1" applyBorder="1" applyAlignment="1" applyProtection="1">
      <alignment horizontal="left" vertical="center"/>
      <protection locked="0"/>
    </xf>
    <xf numFmtId="4" fontId="9" fillId="2" borderId="71" xfId="0" applyNumberFormat="1" applyFont="1" applyFill="1" applyBorder="1" applyAlignment="1" applyProtection="1">
      <alignment horizontal="left" vertical="center"/>
      <protection locked="0"/>
    </xf>
    <xf numFmtId="4" fontId="9" fillId="2" borderId="66" xfId="0" applyNumberFormat="1" applyFont="1" applyFill="1" applyBorder="1" applyAlignment="1" applyProtection="1">
      <alignment horizontal="left" vertical="center"/>
      <protection locked="0"/>
    </xf>
    <xf numFmtId="3" fontId="16" fillId="2" borderId="15" xfId="0" applyNumberFormat="1" applyFont="1" applyFill="1" applyBorder="1" applyAlignment="1" applyProtection="1">
      <alignment horizontal="center" vertical="center"/>
      <protection locked="0"/>
    </xf>
    <xf numFmtId="0" fontId="13" fillId="2" borderId="14" xfId="0" applyFont="1" applyFill="1" applyBorder="1"/>
    <xf numFmtId="0" fontId="13" fillId="2" borderId="2" xfId="0" applyFont="1" applyFill="1" applyBorder="1"/>
    <xf numFmtId="0" fontId="13" fillId="2" borderId="3" xfId="0" applyFont="1" applyFill="1" applyBorder="1"/>
    <xf numFmtId="0" fontId="13" fillId="2" borderId="3" xfId="0" applyFont="1" applyFill="1" applyBorder="1" applyProtection="1">
      <protection locked="0"/>
    </xf>
    <xf numFmtId="0" fontId="20" fillId="2" borderId="4" xfId="0" applyFont="1" applyFill="1" applyBorder="1" applyAlignment="1" applyProtection="1">
      <protection locked="0"/>
    </xf>
    <xf numFmtId="0" fontId="20" fillId="2" borderId="5" xfId="0" applyFont="1" applyFill="1" applyBorder="1" applyAlignment="1" applyProtection="1">
      <protection locked="0"/>
    </xf>
    <xf numFmtId="0" fontId="20" fillId="2" borderId="2" xfId="0" applyFont="1" applyFill="1" applyBorder="1" applyAlignment="1" applyProtection="1">
      <protection locked="0"/>
    </xf>
    <xf numFmtId="10" fontId="24" fillId="2" borderId="4" xfId="0" applyNumberFormat="1" applyFont="1" applyFill="1" applyBorder="1" applyProtection="1">
      <protection locked="0"/>
    </xf>
    <xf numFmtId="10" fontId="24" fillId="2" borderId="5" xfId="0" applyNumberFormat="1" applyFont="1" applyFill="1" applyBorder="1" applyProtection="1">
      <protection locked="0"/>
    </xf>
    <xf numFmtId="4" fontId="9" fillId="2" borderId="77" xfId="0" applyNumberFormat="1" applyFont="1" applyFill="1" applyBorder="1" applyAlignment="1" applyProtection="1">
      <alignment horizontal="left" vertical="center"/>
      <protection locked="0"/>
    </xf>
    <xf numFmtId="0" fontId="9" fillId="2" borderId="77" xfId="0" applyFont="1" applyFill="1" applyBorder="1" applyAlignment="1" applyProtection="1">
      <alignment horizontal="left" vertical="center"/>
      <protection locked="0"/>
    </xf>
    <xf numFmtId="4" fontId="9" fillId="2" borderId="78" xfId="0" applyNumberFormat="1" applyFont="1" applyFill="1" applyBorder="1" applyAlignment="1" applyProtection="1">
      <alignment horizontal="left" vertical="center"/>
      <protection locked="0"/>
    </xf>
    <xf numFmtId="4" fontId="13" fillId="2" borderId="171" xfId="0" applyNumberFormat="1" applyFont="1" applyFill="1" applyBorder="1" applyProtection="1"/>
    <xf numFmtId="0" fontId="7" fillId="2" borderId="23" xfId="0" applyFont="1" applyFill="1" applyBorder="1"/>
    <xf numFmtId="4" fontId="9" fillId="2" borderId="72" xfId="0" applyNumberFormat="1" applyFont="1" applyFill="1" applyBorder="1" applyAlignment="1" applyProtection="1">
      <alignment horizontal="right" vertical="center"/>
      <protection locked="0"/>
    </xf>
    <xf numFmtId="4" fontId="9" fillId="2" borderId="90" xfId="0" applyNumberFormat="1" applyFont="1" applyFill="1" applyBorder="1" applyAlignment="1" applyProtection="1">
      <alignment horizontal="right" vertical="center"/>
      <protection locked="0"/>
    </xf>
    <xf numFmtId="4" fontId="9" fillId="2" borderId="91" xfId="0" applyNumberFormat="1" applyFont="1" applyFill="1" applyBorder="1" applyAlignment="1" applyProtection="1">
      <alignment horizontal="right" vertical="center"/>
      <protection locked="0"/>
    </xf>
    <xf numFmtId="4" fontId="9" fillId="2" borderId="92" xfId="0" applyNumberFormat="1" applyFont="1" applyFill="1" applyBorder="1" applyAlignment="1" applyProtection="1">
      <alignment horizontal="right" vertical="center"/>
      <protection locked="0"/>
    </xf>
    <xf numFmtId="4" fontId="7" fillId="2" borderId="101" xfId="0" applyNumberFormat="1" applyFont="1" applyFill="1" applyBorder="1" applyAlignment="1" applyProtection="1">
      <alignment vertical="center"/>
      <protection locked="0"/>
    </xf>
    <xf numFmtId="4" fontId="7" fillId="2" borderId="78" xfId="0" applyNumberFormat="1" applyFont="1" applyFill="1" applyBorder="1" applyAlignment="1" applyProtection="1">
      <alignment vertical="center"/>
      <protection locked="0"/>
    </xf>
    <xf numFmtId="4" fontId="7" fillId="2" borderId="95" xfId="0" applyNumberFormat="1" applyFont="1" applyFill="1" applyBorder="1" applyAlignment="1" applyProtection="1">
      <alignment vertical="center"/>
      <protection locked="0"/>
    </xf>
    <xf numFmtId="4" fontId="7" fillId="2" borderId="79" xfId="0" applyNumberFormat="1" applyFont="1" applyFill="1" applyBorder="1" applyAlignment="1" applyProtection="1">
      <alignment vertical="center"/>
      <protection locked="0"/>
    </xf>
    <xf numFmtId="0" fontId="9" fillId="2" borderId="63" xfId="0" applyFont="1" applyFill="1" applyBorder="1" applyAlignment="1" applyProtection="1">
      <alignment vertical="center"/>
      <protection locked="0"/>
    </xf>
    <xf numFmtId="0" fontId="9" fillId="2" borderId="65" xfId="0" applyFont="1" applyFill="1" applyBorder="1" applyAlignment="1" applyProtection="1">
      <alignment vertical="center"/>
      <protection locked="0"/>
    </xf>
    <xf numFmtId="0" fontId="9" fillId="2" borderId="66" xfId="0" applyFont="1" applyFill="1" applyBorder="1" applyAlignment="1" applyProtection="1">
      <alignment vertical="center"/>
      <protection locked="0"/>
    </xf>
    <xf numFmtId="0" fontId="9" fillId="2" borderId="68" xfId="0" applyFont="1" applyFill="1" applyBorder="1" applyAlignment="1" applyProtection="1">
      <alignment vertical="center"/>
      <protection locked="0"/>
    </xf>
    <xf numFmtId="0" fontId="9" fillId="2" borderId="69" xfId="0" applyFont="1" applyFill="1" applyBorder="1" applyAlignment="1" applyProtection="1">
      <alignment vertical="center"/>
      <protection locked="0"/>
    </xf>
    <xf numFmtId="0" fontId="9" fillId="2" borderId="71" xfId="0" applyFont="1" applyFill="1" applyBorder="1" applyAlignment="1" applyProtection="1">
      <alignment vertical="center"/>
      <protection locked="0"/>
    </xf>
    <xf numFmtId="4" fontId="7" fillId="2" borderId="77" xfId="0" applyNumberFormat="1" applyFont="1" applyFill="1" applyBorder="1" applyAlignment="1" applyProtection="1">
      <alignment vertical="center"/>
      <protection locked="0"/>
    </xf>
    <xf numFmtId="4" fontId="13" fillId="2" borderId="92" xfId="0" applyNumberFormat="1" applyFont="1" applyFill="1" applyBorder="1" applyAlignment="1" applyProtection="1">
      <alignment vertical="center"/>
      <protection locked="0"/>
    </xf>
    <xf numFmtId="4" fontId="9" fillId="2" borderId="114" xfId="0" applyNumberFormat="1" applyFont="1" applyFill="1" applyBorder="1" applyAlignment="1" applyProtection="1">
      <alignment horizontal="right" vertical="center"/>
      <protection locked="0"/>
    </xf>
    <xf numFmtId="4" fontId="9" fillId="2" borderId="86" xfId="0" applyNumberFormat="1" applyFont="1" applyFill="1" applyBorder="1" applyAlignment="1" applyProtection="1">
      <alignment horizontal="right" vertical="center"/>
      <protection locked="0"/>
    </xf>
    <xf numFmtId="4" fontId="9" fillId="2" borderId="89" xfId="0" applyNumberFormat="1" applyFont="1" applyFill="1" applyBorder="1" applyAlignment="1" applyProtection="1">
      <alignment horizontal="right" vertical="center"/>
      <protection locked="0"/>
    </xf>
    <xf numFmtId="4" fontId="7" fillId="2" borderId="108" xfId="0" applyNumberFormat="1" applyFont="1" applyFill="1" applyBorder="1" applyAlignment="1" applyProtection="1">
      <alignment vertical="center"/>
      <protection locked="0"/>
    </xf>
    <xf numFmtId="4" fontId="7" fillId="2" borderId="103" xfId="0" applyNumberFormat="1" applyFont="1" applyFill="1" applyBorder="1" applyAlignment="1" applyProtection="1">
      <alignment vertical="center"/>
      <protection locked="0"/>
    </xf>
    <xf numFmtId="4" fontId="7" fillId="2" borderId="110" xfId="0" applyNumberFormat="1" applyFont="1" applyFill="1" applyBorder="1" applyAlignment="1" applyProtection="1">
      <alignment horizontal="right" vertical="center"/>
      <protection locked="0"/>
    </xf>
    <xf numFmtId="4" fontId="7" fillId="2" borderId="88" xfId="0" applyNumberFormat="1" applyFont="1" applyFill="1" applyBorder="1" applyAlignment="1" applyProtection="1">
      <alignment horizontal="right" vertical="center"/>
      <protection locked="0"/>
    </xf>
    <xf numFmtId="4" fontId="7" fillId="2" borderId="89" xfId="0" applyNumberFormat="1" applyFont="1" applyFill="1" applyBorder="1" applyAlignment="1" applyProtection="1">
      <alignment horizontal="right" vertical="center"/>
      <protection locked="0"/>
    </xf>
    <xf numFmtId="4" fontId="7" fillId="2" borderId="108" xfId="0" applyNumberFormat="1" applyFont="1" applyFill="1" applyBorder="1" applyAlignment="1" applyProtection="1">
      <alignment horizontal="right" vertical="center"/>
      <protection locked="0"/>
    </xf>
    <xf numFmtId="4" fontId="7" fillId="2" borderId="103" xfId="0" applyNumberFormat="1" applyFont="1" applyFill="1" applyBorder="1" applyAlignment="1" applyProtection="1">
      <alignment horizontal="right" vertical="center"/>
      <protection locked="0"/>
    </xf>
    <xf numFmtId="4" fontId="7" fillId="2" borderId="114" xfId="0" applyNumberFormat="1" applyFont="1" applyFill="1" applyBorder="1" applyAlignment="1" applyProtection="1">
      <alignment horizontal="right" vertical="center"/>
      <protection locked="0"/>
    </xf>
    <xf numFmtId="0" fontId="9" fillId="2" borderId="101" xfId="0" applyFont="1" applyFill="1" applyBorder="1" applyAlignment="1" applyProtection="1">
      <alignment horizontal="center" vertical="center"/>
      <protection locked="0"/>
    </xf>
    <xf numFmtId="0" fontId="9" fillId="2" borderId="78" xfId="0" applyFont="1" applyFill="1" applyBorder="1" applyAlignment="1" applyProtection="1">
      <alignment horizontal="center" vertical="center"/>
      <protection locked="0"/>
    </xf>
    <xf numFmtId="0" fontId="9" fillId="2" borderId="79" xfId="0" applyFont="1" applyFill="1" applyBorder="1" applyAlignment="1" applyProtection="1">
      <alignment horizontal="center" vertical="center"/>
      <protection locked="0"/>
    </xf>
    <xf numFmtId="4" fontId="9" fillId="2" borderId="101" xfId="0" applyNumberFormat="1" applyFont="1" applyFill="1" applyBorder="1" applyAlignment="1" applyProtection="1">
      <alignment horizontal="right" vertical="center"/>
      <protection locked="0"/>
    </xf>
    <xf numFmtId="4" fontId="9" fillId="2" borderId="100" xfId="0" applyNumberFormat="1" applyFont="1" applyFill="1" applyBorder="1" applyAlignment="1" applyProtection="1">
      <alignment horizontal="right" vertical="center"/>
      <protection locked="0"/>
    </xf>
    <xf numFmtId="4" fontId="9" fillId="2" borderId="78" xfId="0" applyNumberFormat="1" applyFont="1" applyFill="1" applyBorder="1" applyAlignment="1" applyProtection="1">
      <alignment horizontal="right" vertical="center"/>
      <protection locked="0"/>
    </xf>
    <xf numFmtId="4" fontId="9" fillId="2" borderId="79" xfId="0" applyNumberFormat="1" applyFont="1" applyFill="1" applyBorder="1" applyAlignment="1" applyProtection="1">
      <alignment horizontal="right" vertical="center"/>
      <protection locked="0"/>
    </xf>
    <xf numFmtId="4" fontId="9" fillId="2" borderId="70" xfId="0" applyNumberFormat="1" applyFont="1" applyFill="1" applyBorder="1" applyAlignment="1" applyProtection="1">
      <alignment horizontal="right" vertical="center"/>
      <protection locked="0"/>
    </xf>
    <xf numFmtId="4" fontId="13" fillId="3" borderId="77" xfId="0" applyNumberFormat="1" applyFont="1" applyFill="1" applyBorder="1" applyAlignment="1" applyProtection="1">
      <alignment horizontal="right" vertical="center"/>
      <protection locked="0"/>
    </xf>
    <xf numFmtId="4" fontId="13" fillId="3" borderId="101" xfId="0" applyNumberFormat="1" applyFont="1" applyFill="1" applyBorder="1" applyAlignment="1" applyProtection="1">
      <alignment horizontal="right" vertical="center"/>
      <protection locked="0"/>
    </xf>
    <xf numFmtId="4" fontId="13" fillId="3" borderId="78" xfId="0" applyNumberFormat="1" applyFont="1" applyFill="1" applyBorder="1" applyAlignment="1" applyProtection="1">
      <alignment horizontal="right" vertical="center"/>
      <protection locked="0"/>
    </xf>
    <xf numFmtId="4" fontId="13" fillId="3" borderId="79" xfId="0" applyNumberFormat="1" applyFont="1" applyFill="1" applyBorder="1" applyAlignment="1" applyProtection="1">
      <alignment horizontal="right" vertical="center"/>
      <protection locked="0"/>
    </xf>
    <xf numFmtId="4" fontId="7" fillId="2" borderId="101" xfId="0" applyNumberFormat="1" applyFont="1" applyFill="1" applyBorder="1" applyAlignment="1" applyProtection="1">
      <alignment horizontal="right" vertical="center"/>
      <protection locked="0"/>
    </xf>
    <xf numFmtId="4" fontId="7" fillId="2" borderId="78" xfId="0" applyNumberFormat="1" applyFont="1" applyFill="1" applyBorder="1" applyAlignment="1" applyProtection="1">
      <alignment horizontal="right" vertical="center"/>
      <protection locked="0"/>
    </xf>
    <xf numFmtId="4" fontId="7" fillId="2" borderId="79" xfId="0" applyNumberFormat="1" applyFont="1" applyFill="1" applyBorder="1" applyAlignment="1" applyProtection="1">
      <alignment horizontal="right" vertical="center"/>
      <protection locked="0"/>
    </xf>
    <xf numFmtId="0" fontId="45" fillId="2" borderId="0" xfId="0" applyFont="1" applyFill="1" applyBorder="1" applyAlignment="1">
      <alignment horizontal="left" vertical="center"/>
    </xf>
    <xf numFmtId="0" fontId="39" fillId="2" borderId="0" xfId="0" applyFont="1" applyFill="1" applyBorder="1" applyAlignment="1">
      <alignment horizontal="center" vertical="center"/>
    </xf>
    <xf numFmtId="4" fontId="13" fillId="2" borderId="114" xfId="0" applyNumberFormat="1" applyFont="1" applyFill="1" applyBorder="1" applyAlignment="1">
      <alignment horizontal="right" vertical="center"/>
    </xf>
    <xf numFmtId="4" fontId="7" fillId="2" borderId="15" xfId="0" applyNumberFormat="1" applyFont="1" applyFill="1" applyBorder="1" applyAlignment="1" applyProtection="1">
      <alignment vertical="center"/>
      <protection locked="0"/>
    </xf>
    <xf numFmtId="0" fontId="9" fillId="2" borderId="63" xfId="0" applyFont="1" applyFill="1" applyBorder="1" applyAlignment="1" applyProtection="1">
      <protection locked="0"/>
    </xf>
    <xf numFmtId="0" fontId="9" fillId="2" borderId="64" xfId="0" applyFont="1" applyFill="1" applyBorder="1" applyAlignment="1" applyProtection="1">
      <protection locked="0"/>
    </xf>
    <xf numFmtId="0" fontId="9" fillId="2" borderId="65" xfId="0" applyFont="1" applyFill="1" applyBorder="1" applyAlignment="1" applyProtection="1">
      <protection locked="0"/>
    </xf>
    <xf numFmtId="0" fontId="9" fillId="2" borderId="66" xfId="0" applyFont="1" applyFill="1" applyBorder="1" applyAlignment="1" applyProtection="1">
      <protection locked="0"/>
    </xf>
    <xf numFmtId="0" fontId="9" fillId="2" borderId="67" xfId="0" applyFont="1" applyFill="1" applyBorder="1" applyAlignment="1" applyProtection="1">
      <protection locked="0"/>
    </xf>
    <xf numFmtId="0" fontId="9" fillId="2" borderId="68" xfId="0" applyFont="1" applyFill="1" applyBorder="1" applyAlignment="1" applyProtection="1">
      <protection locked="0"/>
    </xf>
    <xf numFmtId="0" fontId="9" fillId="2" borderId="69" xfId="0" applyFont="1" applyFill="1" applyBorder="1" applyAlignment="1" applyProtection="1">
      <protection locked="0"/>
    </xf>
    <xf numFmtId="0" fontId="9" fillId="2" borderId="70" xfId="0" applyFont="1" applyFill="1" applyBorder="1" applyAlignment="1" applyProtection="1">
      <protection locked="0"/>
    </xf>
    <xf numFmtId="0" fontId="9" fillId="2" borderId="71" xfId="0" applyFont="1" applyFill="1" applyBorder="1" applyAlignment="1" applyProtection="1">
      <protection locked="0"/>
    </xf>
    <xf numFmtId="165" fontId="7" fillId="2" borderId="114" xfId="0" applyNumberFormat="1" applyFont="1" applyFill="1" applyBorder="1" applyAlignment="1" applyProtection="1">
      <alignment horizontal="right" vertical="center"/>
      <protection locked="0"/>
    </xf>
    <xf numFmtId="165" fontId="9" fillId="2" borderId="114" xfId="0" applyNumberFormat="1" applyFont="1" applyFill="1" applyBorder="1" applyAlignment="1" applyProtection="1">
      <alignment horizontal="right" vertical="center"/>
      <protection locked="0"/>
    </xf>
    <xf numFmtId="165" fontId="9" fillId="2" borderId="86" xfId="0" applyNumberFormat="1" applyFont="1" applyFill="1" applyBorder="1" applyAlignment="1" applyProtection="1">
      <alignment horizontal="right" vertical="center"/>
      <protection locked="0"/>
    </xf>
    <xf numFmtId="165" fontId="9" fillId="2" borderId="89" xfId="0" applyNumberFormat="1" applyFont="1" applyFill="1" applyBorder="1" applyAlignment="1" applyProtection="1">
      <alignment horizontal="right" vertical="center"/>
      <protection locked="0"/>
    </xf>
    <xf numFmtId="4" fontId="13" fillId="2" borderId="15" xfId="0" applyNumberFormat="1" applyFont="1" applyFill="1" applyBorder="1" applyAlignment="1" applyProtection="1">
      <protection locked="0"/>
    </xf>
    <xf numFmtId="0" fontId="7" fillId="2" borderId="99" xfId="0" applyFont="1" applyFill="1" applyBorder="1" applyAlignment="1">
      <alignment horizontal="left" vertical="center"/>
    </xf>
    <xf numFmtId="4" fontId="9" fillId="2" borderId="101" xfId="0" applyNumberFormat="1" applyFont="1" applyFill="1" applyBorder="1" applyAlignment="1" applyProtection="1">
      <alignment vertical="center"/>
    </xf>
    <xf numFmtId="4" fontId="9" fillId="2" borderId="79" xfId="0" applyNumberFormat="1" applyFont="1" applyFill="1" applyBorder="1" applyAlignment="1" applyProtection="1">
      <alignment vertical="center"/>
    </xf>
    <xf numFmtId="0" fontId="46" fillId="0" borderId="9" xfId="0"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0" fontId="46" fillId="0" borderId="10" xfId="0" applyFont="1" applyFill="1" applyBorder="1" applyAlignment="1" applyProtection="1">
      <alignment horizontal="left"/>
      <protection locked="0"/>
    </xf>
    <xf numFmtId="0" fontId="46" fillId="0" borderId="9" xfId="0" applyFont="1" applyFill="1" applyBorder="1" applyAlignment="1" applyProtection="1">
      <alignment horizontal="left" vertical="center"/>
      <protection locked="0"/>
    </xf>
    <xf numFmtId="0" fontId="46" fillId="0" borderId="0" xfId="0" applyFont="1" applyFill="1" applyBorder="1" applyAlignment="1" applyProtection="1">
      <alignment horizontal="left" vertical="center"/>
      <protection locked="0"/>
    </xf>
    <xf numFmtId="0" fontId="46" fillId="0" borderId="10" xfId="0" applyFont="1" applyFill="1" applyBorder="1" applyAlignment="1" applyProtection="1">
      <alignment horizontal="left" vertical="center"/>
      <protection locked="0"/>
    </xf>
    <xf numFmtId="0" fontId="24" fillId="2" borderId="0" xfId="0" applyFont="1" applyFill="1" applyAlignment="1" applyProtection="1">
      <alignment horizontal="left"/>
    </xf>
    <xf numFmtId="0" fontId="9" fillId="2" borderId="0" xfId="0" applyFont="1" applyFill="1" applyBorder="1" applyAlignment="1" applyProtection="1">
      <alignment horizontal="left" vertical="center"/>
    </xf>
    <xf numFmtId="4" fontId="24" fillId="2" borderId="0" xfId="0" applyNumberFormat="1" applyFont="1" applyFill="1" applyAlignment="1" applyProtection="1">
      <alignment horizontal="left"/>
    </xf>
    <xf numFmtId="0" fontId="24" fillId="2" borderId="6" xfId="0" applyFont="1" applyFill="1" applyBorder="1" applyAlignment="1" applyProtection="1">
      <alignment horizontal="left"/>
    </xf>
    <xf numFmtId="0" fontId="24" fillId="2" borderId="7" xfId="0" applyFont="1" applyFill="1" applyBorder="1" applyAlignment="1" applyProtection="1">
      <alignment horizontal="left"/>
    </xf>
    <xf numFmtId="4" fontId="24" fillId="2" borderId="7" xfId="0" applyNumberFormat="1" applyFont="1" applyFill="1" applyBorder="1" applyAlignment="1" applyProtection="1">
      <alignment horizontal="left"/>
    </xf>
    <xf numFmtId="0" fontId="24" fillId="2" borderId="8" xfId="0" applyFont="1" applyFill="1" applyBorder="1" applyAlignment="1" applyProtection="1">
      <alignment horizontal="left"/>
    </xf>
    <xf numFmtId="0" fontId="24" fillId="2" borderId="9" xfId="0" applyFont="1" applyFill="1" applyBorder="1" applyAlignment="1" applyProtection="1">
      <alignment horizontal="left"/>
    </xf>
    <xf numFmtId="0" fontId="13" fillId="2" borderId="0" xfId="0" applyFont="1" applyFill="1" applyBorder="1" applyAlignment="1" applyProtection="1">
      <alignment horizontal="left"/>
    </xf>
    <xf numFmtId="0" fontId="24" fillId="2" borderId="0" xfId="0" applyFont="1" applyFill="1" applyBorder="1" applyAlignment="1" applyProtection="1">
      <alignment horizontal="left"/>
    </xf>
    <xf numFmtId="4" fontId="24" fillId="2" borderId="0" xfId="0" applyNumberFormat="1" applyFont="1" applyFill="1" applyBorder="1" applyAlignment="1" applyProtection="1">
      <alignment horizontal="left"/>
    </xf>
    <xf numFmtId="0" fontId="24" fillId="2" borderId="10" xfId="0" applyFont="1" applyFill="1" applyBorder="1" applyAlignment="1" applyProtection="1">
      <alignment horizontal="left"/>
    </xf>
    <xf numFmtId="0" fontId="9" fillId="2" borderId="10" xfId="0" applyFont="1" applyFill="1" applyBorder="1" applyAlignment="1" applyProtection="1">
      <alignment horizontal="left"/>
    </xf>
    <xf numFmtId="0" fontId="25" fillId="2" borderId="0" xfId="0" applyFont="1" applyFill="1" applyBorder="1" applyAlignment="1" applyProtection="1">
      <alignment horizontal="left"/>
    </xf>
    <xf numFmtId="0" fontId="9" fillId="2" borderId="9" xfId="0" applyFont="1" applyFill="1" applyBorder="1" applyAlignment="1" applyProtection="1">
      <alignment horizontal="left"/>
    </xf>
    <xf numFmtId="0" fontId="13" fillId="4" borderId="0" xfId="0" applyFont="1" applyFill="1" applyBorder="1" applyAlignment="1" applyProtection="1">
      <alignment horizontal="left" vertical="center"/>
    </xf>
    <xf numFmtId="0" fontId="9" fillId="2" borderId="0" xfId="0" applyFont="1" applyFill="1" applyAlignment="1" applyProtection="1">
      <alignment horizontal="left"/>
    </xf>
    <xf numFmtId="0" fontId="18" fillId="2" borderId="9" xfId="0" applyFont="1" applyFill="1" applyBorder="1" applyAlignment="1" applyProtection="1">
      <alignment horizontal="left"/>
    </xf>
    <xf numFmtId="0" fontId="16" fillId="5" borderId="0" xfId="0" applyFont="1" applyFill="1" applyBorder="1" applyAlignment="1" applyProtection="1">
      <alignment horizontal="left" vertical="center"/>
    </xf>
    <xf numFmtId="4" fontId="16" fillId="5" borderId="0" xfId="0" applyNumberFormat="1" applyFont="1" applyFill="1" applyBorder="1" applyAlignment="1" applyProtection="1">
      <alignment horizontal="left" vertical="center"/>
    </xf>
    <xf numFmtId="0" fontId="16" fillId="2" borderId="0" xfId="0" applyFont="1" applyFill="1" applyAlignment="1" applyProtection="1">
      <alignment horizontal="left" vertical="center"/>
    </xf>
    <xf numFmtId="4" fontId="16" fillId="2" borderId="0" xfId="0" applyNumberFormat="1" applyFont="1" applyFill="1" applyBorder="1" applyAlignment="1" applyProtection="1">
      <alignment horizontal="left" vertical="center"/>
    </xf>
    <xf numFmtId="0" fontId="13" fillId="2" borderId="0" xfId="0" applyFont="1" applyFill="1" applyBorder="1" applyAlignment="1" applyProtection="1">
      <alignment vertical="center"/>
    </xf>
    <xf numFmtId="0" fontId="20" fillId="2" borderId="9" xfId="0" applyFont="1" applyFill="1" applyBorder="1" applyAlignment="1" applyProtection="1">
      <alignment horizontal="left"/>
    </xf>
    <xf numFmtId="0" fontId="20" fillId="3" borderId="57" xfId="0" applyFont="1" applyFill="1" applyBorder="1" applyAlignment="1" applyProtection="1">
      <alignment vertical="center"/>
    </xf>
    <xf numFmtId="0" fontId="20" fillId="3" borderId="59" xfId="0" applyFont="1" applyFill="1" applyBorder="1" applyAlignment="1" applyProtection="1">
      <alignment vertical="center"/>
    </xf>
    <xf numFmtId="4" fontId="19" fillId="3" borderId="16" xfId="0" applyNumberFormat="1" applyFont="1" applyFill="1" applyBorder="1" applyAlignment="1" applyProtection="1">
      <alignment horizontal="right" vertical="center"/>
    </xf>
    <xf numFmtId="1" fontId="19" fillId="3" borderId="17" xfId="0" applyNumberFormat="1" applyFont="1" applyFill="1" applyBorder="1" applyAlignment="1" applyProtection="1">
      <alignment horizontal="center" vertical="center"/>
    </xf>
    <xf numFmtId="1" fontId="16" fillId="3" borderId="18" xfId="0" applyNumberFormat="1" applyFont="1" applyFill="1" applyBorder="1" applyAlignment="1" applyProtection="1">
      <alignment horizontal="left" vertical="center"/>
    </xf>
    <xf numFmtId="1" fontId="19" fillId="3" borderId="17" xfId="0" applyNumberFormat="1" applyFont="1" applyFill="1" applyBorder="1" applyAlignment="1" applyProtection="1">
      <alignment horizontal="left" vertical="center"/>
    </xf>
    <xf numFmtId="0" fontId="20" fillId="2" borderId="0" xfId="0" applyFont="1" applyFill="1" applyAlignment="1" applyProtection="1">
      <alignment horizontal="left" vertical="center"/>
    </xf>
    <xf numFmtId="0" fontId="25" fillId="2" borderId="9" xfId="0" applyFont="1" applyFill="1" applyBorder="1" applyAlignment="1" applyProtection="1">
      <alignment horizontal="center"/>
    </xf>
    <xf numFmtId="0" fontId="16" fillId="3" borderId="62" xfId="0" applyFont="1" applyFill="1" applyBorder="1" applyAlignment="1" applyProtection="1">
      <alignment vertical="center"/>
    </xf>
    <xf numFmtId="0" fontId="25" fillId="3" borderId="19" xfId="0" applyFont="1" applyFill="1" applyBorder="1" applyAlignment="1" applyProtection="1">
      <alignment horizontal="center" vertical="center"/>
    </xf>
    <xf numFmtId="4" fontId="25" fillId="3" borderId="15" xfId="0" applyNumberFormat="1"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3" fillId="2" borderId="9" xfId="0" applyFont="1" applyFill="1" applyBorder="1" applyAlignment="1" applyProtection="1">
      <alignment horizontal="left"/>
    </xf>
    <xf numFmtId="0" fontId="13" fillId="2" borderId="16" xfId="0" applyFont="1" applyFill="1" applyBorder="1" applyAlignment="1" applyProtection="1">
      <alignment vertical="center"/>
    </xf>
    <xf numFmtId="0" fontId="13" fillId="2" borderId="18" xfId="0" applyFont="1" applyFill="1" applyBorder="1" applyAlignment="1" applyProtection="1">
      <alignment vertical="center"/>
    </xf>
    <xf numFmtId="4" fontId="13" fillId="2" borderId="15" xfId="0" applyNumberFormat="1" applyFont="1" applyFill="1" applyBorder="1" applyAlignment="1" applyProtection="1">
      <alignment vertical="center"/>
    </xf>
    <xf numFmtId="4" fontId="13" fillId="2" borderId="15" xfId="0" applyNumberFormat="1" applyFont="1" applyFill="1" applyBorder="1" applyAlignment="1" applyProtection="1">
      <alignment horizontal="left" vertical="center"/>
    </xf>
    <xf numFmtId="0" fontId="13" fillId="2" borderId="15" xfId="0" applyFont="1" applyFill="1" applyBorder="1" applyAlignment="1" applyProtection="1">
      <alignment horizontal="left" vertical="center"/>
    </xf>
    <xf numFmtId="0" fontId="13" fillId="2" borderId="0" xfId="0" applyFont="1" applyFill="1" applyAlignment="1" applyProtection="1">
      <alignment horizontal="left" vertical="center"/>
    </xf>
    <xf numFmtId="0" fontId="9" fillId="2" borderId="63" xfId="0" applyFont="1" applyFill="1" applyBorder="1" applyAlignment="1" applyProtection="1">
      <alignment vertical="center"/>
    </xf>
    <xf numFmtId="0" fontId="9" fillId="2" borderId="65" xfId="0" applyFont="1" applyFill="1" applyBorder="1" applyAlignment="1" applyProtection="1">
      <alignment vertical="center"/>
    </xf>
    <xf numFmtId="0" fontId="9" fillId="2" borderId="0" xfId="0" applyFont="1" applyFill="1" applyAlignment="1" applyProtection="1">
      <alignment horizontal="left" vertical="center"/>
    </xf>
    <xf numFmtId="0" fontId="9" fillId="2" borderId="69" xfId="0" applyFont="1" applyFill="1" applyBorder="1" applyAlignment="1" applyProtection="1">
      <alignment vertical="center"/>
    </xf>
    <xf numFmtId="0" fontId="9" fillId="2" borderId="71" xfId="0" applyFont="1" applyFill="1" applyBorder="1" applyAlignment="1" applyProtection="1">
      <alignment vertical="center"/>
    </xf>
    <xf numFmtId="0" fontId="9" fillId="2" borderId="68" xfId="0" applyFont="1" applyFill="1" applyBorder="1" applyAlignment="1" applyProtection="1">
      <alignment vertical="center"/>
    </xf>
    <xf numFmtId="0" fontId="47" fillId="2" borderId="9" xfId="0" applyFont="1" applyFill="1" applyBorder="1" applyAlignment="1" applyProtection="1">
      <alignment horizontal="left"/>
    </xf>
    <xf numFmtId="0" fontId="47" fillId="2" borderId="63" xfId="0" applyFont="1" applyFill="1" applyBorder="1" applyAlignment="1" applyProtection="1">
      <alignment vertical="center"/>
    </xf>
    <xf numFmtId="0" fontId="47" fillId="2" borderId="65" xfId="0" applyFont="1" applyFill="1" applyBorder="1" applyAlignment="1" applyProtection="1">
      <alignment vertical="center"/>
    </xf>
    <xf numFmtId="4" fontId="47" fillId="2" borderId="77" xfId="0" applyNumberFormat="1" applyFont="1" applyFill="1" applyBorder="1" applyAlignment="1" applyProtection="1">
      <alignment vertical="center"/>
    </xf>
    <xf numFmtId="4" fontId="47" fillId="2" borderId="77" xfId="0" applyNumberFormat="1" applyFont="1" applyFill="1" applyBorder="1" applyAlignment="1" applyProtection="1">
      <alignment horizontal="left" vertical="center"/>
    </xf>
    <xf numFmtId="0" fontId="47" fillId="2" borderId="77" xfId="0" applyFont="1" applyFill="1" applyBorder="1" applyAlignment="1" applyProtection="1">
      <alignment horizontal="left" vertical="center"/>
    </xf>
    <xf numFmtId="0" fontId="47" fillId="2" borderId="10" xfId="0" applyFont="1" applyFill="1" applyBorder="1" applyAlignment="1" applyProtection="1">
      <alignment horizontal="left"/>
    </xf>
    <xf numFmtId="0" fontId="47" fillId="2" borderId="0" xfId="0" applyFont="1" applyFill="1" applyAlignment="1" applyProtection="1">
      <alignment horizontal="left" vertical="center"/>
    </xf>
    <xf numFmtId="0" fontId="13" fillId="2" borderId="73" xfId="0" applyFont="1" applyFill="1" applyBorder="1" applyAlignment="1" applyProtection="1">
      <alignment vertical="center"/>
    </xf>
    <xf numFmtId="0" fontId="13" fillId="2" borderId="75" xfId="0" applyFont="1" applyFill="1" applyBorder="1" applyAlignment="1" applyProtection="1">
      <alignment vertical="center"/>
    </xf>
    <xf numFmtId="4" fontId="13" fillId="2" borderId="72" xfId="0" applyNumberFormat="1" applyFont="1" applyFill="1" applyBorder="1" applyAlignment="1" applyProtection="1">
      <alignment vertical="center"/>
    </xf>
    <xf numFmtId="4" fontId="13" fillId="2" borderId="72" xfId="0" applyNumberFormat="1" applyFont="1" applyFill="1" applyBorder="1" applyAlignment="1" applyProtection="1">
      <alignment horizontal="left" vertical="center"/>
    </xf>
    <xf numFmtId="0" fontId="13" fillId="2" borderId="72" xfId="0" applyFont="1" applyFill="1" applyBorder="1" applyAlignment="1" applyProtection="1">
      <alignment horizontal="left" vertical="center"/>
    </xf>
    <xf numFmtId="0" fontId="9" fillId="2" borderId="0" xfId="0" applyFont="1" applyFill="1" applyBorder="1" applyAlignment="1" applyProtection="1">
      <alignment vertical="center"/>
    </xf>
    <xf numFmtId="4" fontId="9" fillId="2" borderId="0" xfId="0" applyNumberFormat="1" applyFont="1" applyFill="1" applyBorder="1" applyAlignment="1" applyProtection="1">
      <alignment horizontal="left" vertical="center"/>
    </xf>
    <xf numFmtId="4" fontId="25" fillId="3" borderId="76" xfId="0" applyNumberFormat="1" applyFont="1" applyFill="1" applyBorder="1" applyAlignment="1" applyProtection="1">
      <alignment horizontal="center" vertical="center"/>
    </xf>
    <xf numFmtId="1" fontId="16" fillId="3" borderId="80" xfId="0" applyNumberFormat="1" applyFont="1" applyFill="1" applyBorder="1" applyAlignment="1" applyProtection="1">
      <alignment horizontal="center" vertical="center"/>
    </xf>
    <xf numFmtId="4" fontId="13" fillId="2" borderId="73" xfId="0" applyNumberFormat="1" applyFont="1" applyFill="1" applyBorder="1" applyAlignment="1" applyProtection="1">
      <alignment horizontal="left" vertical="center"/>
    </xf>
    <xf numFmtId="4" fontId="13" fillId="2" borderId="74" xfId="0" applyNumberFormat="1" applyFont="1" applyFill="1" applyBorder="1" applyAlignment="1" applyProtection="1">
      <alignment horizontal="left" vertical="center"/>
    </xf>
    <xf numFmtId="4" fontId="13" fillId="2" borderId="75" xfId="0" applyNumberFormat="1" applyFont="1" applyFill="1" applyBorder="1" applyAlignment="1" applyProtection="1">
      <alignment horizontal="left" vertical="center"/>
    </xf>
    <xf numFmtId="4" fontId="13" fillId="2" borderId="16" xfId="0" applyNumberFormat="1" applyFont="1" applyFill="1" applyBorder="1" applyAlignment="1" applyProtection="1">
      <alignment horizontal="left" vertical="center"/>
    </xf>
    <xf numFmtId="4" fontId="13" fillId="2" borderId="17" xfId="0" applyNumberFormat="1" applyFont="1" applyFill="1" applyBorder="1" applyAlignment="1" applyProtection="1">
      <alignment horizontal="left" vertical="center"/>
    </xf>
    <xf numFmtId="4" fontId="13" fillId="2" borderId="18" xfId="0" applyNumberFormat="1" applyFont="1" applyFill="1" applyBorder="1" applyAlignment="1" applyProtection="1">
      <alignment horizontal="left" vertical="center"/>
    </xf>
    <xf numFmtId="0" fontId="8" fillId="2" borderId="99" xfId="0" applyFont="1" applyFill="1" applyBorder="1" applyAlignment="1" applyProtection="1">
      <alignment vertical="center"/>
    </xf>
    <xf numFmtId="0" fontId="9" fillId="2" borderId="104" xfId="0" applyFont="1" applyFill="1" applyBorder="1" applyAlignment="1" applyProtection="1">
      <alignment vertical="center"/>
    </xf>
    <xf numFmtId="0" fontId="8" fillId="2" borderId="66" xfId="0" applyFont="1" applyFill="1" applyBorder="1" applyAlignment="1" applyProtection="1">
      <alignment vertical="center"/>
    </xf>
    <xf numFmtId="0" fontId="8" fillId="2" borderId="93" xfId="0" applyFont="1" applyFill="1" applyBorder="1" applyAlignment="1" applyProtection="1">
      <alignment vertical="center"/>
    </xf>
    <xf numFmtId="0" fontId="9" fillId="2" borderId="98" xfId="0" applyFont="1" applyFill="1" applyBorder="1" applyAlignment="1" applyProtection="1">
      <alignment vertical="center"/>
    </xf>
    <xf numFmtId="0" fontId="13" fillId="2" borderId="10" xfId="0" applyFont="1" applyFill="1" applyBorder="1" applyAlignment="1" applyProtection="1">
      <alignment horizontal="left"/>
    </xf>
    <xf numFmtId="0" fontId="7" fillId="2" borderId="66" xfId="0" applyFont="1" applyFill="1" applyBorder="1" applyAlignment="1" applyProtection="1">
      <alignment vertical="center"/>
    </xf>
    <xf numFmtId="0" fontId="35" fillId="2" borderId="0" xfId="0" applyFont="1" applyFill="1" applyBorder="1" applyAlignment="1" applyProtection="1">
      <alignment horizontal="left" vertical="center"/>
    </xf>
    <xf numFmtId="0" fontId="38" fillId="2" borderId="0" xfId="0" applyFont="1" applyFill="1" applyBorder="1" applyAlignment="1" applyProtection="1">
      <alignment vertical="center"/>
    </xf>
    <xf numFmtId="4" fontId="38" fillId="2" borderId="0" xfId="0" applyNumberFormat="1" applyFont="1" applyFill="1" applyBorder="1" applyAlignment="1" applyProtection="1">
      <alignment horizontal="left" vertical="center"/>
    </xf>
    <xf numFmtId="0" fontId="24" fillId="2" borderId="11" xfId="0" applyFont="1" applyFill="1" applyBorder="1" applyAlignment="1" applyProtection="1">
      <alignment horizontal="left"/>
    </xf>
    <xf numFmtId="0" fontId="24" fillId="2" borderId="12" xfId="0" applyFont="1" applyFill="1" applyBorder="1" applyAlignment="1" applyProtection="1">
      <alignment horizontal="left"/>
    </xf>
    <xf numFmtId="0" fontId="24" fillId="2" borderId="13" xfId="0" applyFont="1" applyFill="1" applyBorder="1" applyAlignment="1" applyProtection="1">
      <alignment horizontal="left"/>
    </xf>
    <xf numFmtId="0" fontId="21" fillId="2" borderId="0" xfId="0" applyFont="1" applyFill="1" applyBorder="1" applyAlignment="1" applyProtection="1">
      <alignment horizontal="left"/>
    </xf>
    <xf numFmtId="0" fontId="23" fillId="2" borderId="0" xfId="0" applyFont="1" applyFill="1" applyAlignment="1" applyProtection="1">
      <alignment horizontal="right"/>
    </xf>
    <xf numFmtId="0" fontId="21" fillId="2" borderId="0" xfId="0" applyFont="1" applyFill="1" applyAlignment="1" applyProtection="1">
      <alignment horizontal="left"/>
    </xf>
    <xf numFmtId="0" fontId="9" fillId="2" borderId="157" xfId="0" applyFont="1" applyFill="1" applyBorder="1" applyAlignment="1" applyProtection="1">
      <alignment vertical="center"/>
      <protection locked="0"/>
    </xf>
    <xf numFmtId="4" fontId="9" fillId="2" borderId="158" xfId="0" applyNumberFormat="1" applyFont="1" applyFill="1" applyBorder="1" applyAlignment="1" applyProtection="1">
      <alignment horizontal="right" vertical="center"/>
      <protection locked="0"/>
    </xf>
    <xf numFmtId="4" fontId="9" fillId="2" borderId="159" xfId="0" applyNumberFormat="1" applyFont="1" applyFill="1" applyBorder="1" applyAlignment="1" applyProtection="1">
      <alignment horizontal="left" vertical="center"/>
      <protection locked="0"/>
    </xf>
    <xf numFmtId="4" fontId="9" fillId="2" borderId="157" xfId="0" applyNumberFormat="1" applyFont="1" applyFill="1" applyBorder="1" applyAlignment="1" applyProtection="1">
      <alignment horizontal="left" vertical="center"/>
      <protection locked="0"/>
    </xf>
    <xf numFmtId="4" fontId="9" fillId="2" borderId="67" xfId="0" applyNumberFormat="1" applyFont="1" applyFill="1" applyBorder="1" applyAlignment="1" applyProtection="1">
      <alignment horizontal="left" vertical="center"/>
      <protection locked="0"/>
    </xf>
    <xf numFmtId="4" fontId="9" fillId="2" borderId="63" xfId="0" applyNumberFormat="1" applyFont="1" applyFill="1" applyBorder="1" applyAlignment="1" applyProtection="1">
      <alignment horizontal="left" vertical="center"/>
      <protection locked="0"/>
    </xf>
    <xf numFmtId="4" fontId="9" fillId="2" borderId="64" xfId="0" applyNumberFormat="1" applyFont="1" applyFill="1" applyBorder="1" applyAlignment="1" applyProtection="1">
      <alignment horizontal="left" vertical="center"/>
      <protection locked="0"/>
    </xf>
    <xf numFmtId="4" fontId="9" fillId="2" borderId="94" xfId="0" applyNumberFormat="1" applyFont="1" applyFill="1" applyBorder="1" applyAlignment="1" applyProtection="1">
      <alignment horizontal="left" vertical="center"/>
      <protection locked="0"/>
    </xf>
    <xf numFmtId="4" fontId="28" fillId="2" borderId="29" xfId="0" applyNumberFormat="1" applyFont="1" applyFill="1" applyBorder="1" applyProtection="1">
      <protection locked="0"/>
    </xf>
    <xf numFmtId="4" fontId="28" fillId="2" borderId="131" xfId="0" applyNumberFormat="1" applyFont="1" applyFill="1" applyBorder="1" applyProtection="1">
      <protection locked="0"/>
    </xf>
    <xf numFmtId="4" fontId="28" fillId="2" borderId="61" xfId="0" applyNumberFormat="1" applyFont="1" applyFill="1" applyBorder="1" applyProtection="1">
      <protection locked="0"/>
    </xf>
    <xf numFmtId="4" fontId="26" fillId="2" borderId="42" xfId="0" applyNumberFormat="1" applyFont="1" applyFill="1" applyBorder="1" applyProtection="1">
      <protection locked="0"/>
    </xf>
    <xf numFmtId="0" fontId="44" fillId="2" borderId="0" xfId="0" applyFont="1" applyFill="1" applyBorder="1" applyAlignment="1">
      <alignment horizontal="right"/>
    </xf>
    <xf numFmtId="0" fontId="24" fillId="2" borderId="12" xfId="0" applyFont="1" applyFill="1" applyBorder="1" applyAlignment="1">
      <alignment horizontal="left"/>
    </xf>
    <xf numFmtId="0" fontId="13" fillId="4" borderId="0" xfId="0" applyFont="1" applyFill="1" applyBorder="1" applyAlignment="1" applyProtection="1">
      <alignment horizontal="left" vertical="center" wrapText="1"/>
    </xf>
    <xf numFmtId="4" fontId="9" fillId="2" borderId="99" xfId="0" applyNumberFormat="1" applyFont="1" applyFill="1" applyBorder="1" applyAlignment="1" applyProtection="1">
      <alignment horizontal="left" vertical="center"/>
      <protection locked="0"/>
    </xf>
    <xf numFmtId="4" fontId="9" fillId="2" borderId="104" xfId="0" applyNumberFormat="1" applyFont="1" applyFill="1" applyBorder="1" applyAlignment="1" applyProtection="1">
      <alignment horizontal="left" vertical="center"/>
      <protection locked="0"/>
    </xf>
    <xf numFmtId="4" fontId="9" fillId="2" borderId="66" xfId="0" applyNumberFormat="1" applyFont="1" applyFill="1" applyBorder="1" applyAlignment="1" applyProtection="1">
      <alignment horizontal="left" vertical="center"/>
      <protection locked="0"/>
    </xf>
    <xf numFmtId="4" fontId="9" fillId="2" borderId="68" xfId="0" applyNumberFormat="1" applyFont="1" applyFill="1" applyBorder="1" applyAlignment="1" applyProtection="1">
      <alignment horizontal="left" vertical="center"/>
      <protection locked="0"/>
    </xf>
    <xf numFmtId="0" fontId="44" fillId="2" borderId="0" xfId="0" applyFont="1" applyFill="1" applyBorder="1" applyAlignment="1">
      <alignment horizontal="right" wrapText="1"/>
    </xf>
    <xf numFmtId="4" fontId="7" fillId="2" borderId="104" xfId="0" applyNumberFormat="1" applyFont="1" applyFill="1" applyBorder="1" applyAlignment="1" applyProtection="1">
      <alignment horizontal="right" vertical="center"/>
      <protection locked="0"/>
    </xf>
    <xf numFmtId="4" fontId="7" fillId="2" borderId="68" xfId="0" applyNumberFormat="1" applyFont="1" applyFill="1" applyBorder="1" applyAlignment="1" applyProtection="1">
      <alignment horizontal="right" vertical="center"/>
      <protection locked="0"/>
    </xf>
    <xf numFmtId="4" fontId="7" fillId="2" borderId="71" xfId="0" applyNumberFormat="1" applyFont="1" applyFill="1" applyBorder="1" applyAlignment="1" applyProtection="1">
      <alignment horizontal="right" vertical="center"/>
      <protection locked="0"/>
    </xf>
    <xf numFmtId="0" fontId="9" fillId="2" borderId="0" xfId="0" applyFont="1" applyFill="1" applyBorder="1" applyAlignment="1">
      <alignment horizontal="center" vertical="center"/>
    </xf>
    <xf numFmtId="0" fontId="24" fillId="2" borderId="0" xfId="0" applyFont="1" applyFill="1" applyProtection="1"/>
    <xf numFmtId="0" fontId="24" fillId="2" borderId="0" xfId="0" applyFont="1" applyFill="1" applyBorder="1" applyProtection="1"/>
    <xf numFmtId="0" fontId="14" fillId="2" borderId="0" xfId="0" applyFont="1" applyFill="1" applyBorder="1" applyAlignment="1" applyProtection="1">
      <alignment vertical="center"/>
    </xf>
    <xf numFmtId="0" fontId="24" fillId="2" borderId="6" xfId="0" applyFont="1" applyFill="1" applyBorder="1" applyProtection="1"/>
    <xf numFmtId="0" fontId="24" fillId="2" borderId="7" xfId="0" applyFont="1" applyFill="1" applyBorder="1" applyProtection="1"/>
    <xf numFmtId="0" fontId="24" fillId="2" borderId="8" xfId="0" applyFont="1" applyFill="1" applyBorder="1" applyProtection="1"/>
    <xf numFmtId="0" fontId="24" fillId="2" borderId="9" xfId="0" applyFont="1" applyFill="1" applyBorder="1" applyProtection="1"/>
    <xf numFmtId="0" fontId="13" fillId="2" borderId="0" xfId="0" applyFont="1" applyFill="1" applyBorder="1" applyProtection="1"/>
    <xf numFmtId="0" fontId="24" fillId="2" borderId="10" xfId="0" applyFont="1" applyFill="1" applyBorder="1" applyProtection="1"/>
    <xf numFmtId="0" fontId="24" fillId="2" borderId="0" xfId="0" applyFont="1" applyFill="1" applyBorder="1" applyAlignment="1" applyProtection="1">
      <alignment horizontal="center"/>
    </xf>
    <xf numFmtId="0" fontId="25" fillId="2" borderId="0" xfId="0" applyFont="1" applyFill="1" applyBorder="1" applyProtection="1"/>
    <xf numFmtId="0" fontId="25" fillId="2" borderId="0" xfId="0" applyFont="1" applyFill="1" applyBorder="1" applyAlignment="1" applyProtection="1">
      <alignment horizontal="center" vertical="center"/>
    </xf>
    <xf numFmtId="0" fontId="10" fillId="2" borderId="9" xfId="0" applyFont="1" applyFill="1" applyBorder="1" applyProtection="1"/>
    <xf numFmtId="0" fontId="13" fillId="4" borderId="0" xfId="0" applyFont="1" applyFill="1" applyBorder="1" applyAlignment="1" applyProtection="1">
      <alignment vertical="center"/>
    </xf>
    <xf numFmtId="0" fontId="10" fillId="2" borderId="10" xfId="0" applyFont="1" applyFill="1" applyBorder="1" applyProtection="1"/>
    <xf numFmtId="0" fontId="10" fillId="2" borderId="0" xfId="0" applyFont="1" applyFill="1" applyProtection="1"/>
    <xf numFmtId="0" fontId="18" fillId="2" borderId="9" xfId="0" applyFont="1" applyFill="1" applyBorder="1" applyProtection="1"/>
    <xf numFmtId="0" fontId="16" fillId="5" borderId="0" xfId="0" applyFont="1" applyFill="1" applyBorder="1" applyAlignment="1" applyProtection="1">
      <alignment vertical="center"/>
    </xf>
    <xf numFmtId="0" fontId="18" fillId="2" borderId="10" xfId="0" applyFont="1" applyFill="1" applyBorder="1" applyProtection="1"/>
    <xf numFmtId="0" fontId="16" fillId="2" borderId="0" xfId="0" applyFont="1" applyFill="1" applyAlignment="1" applyProtection="1">
      <alignment vertical="center"/>
    </xf>
    <xf numFmtId="0" fontId="13" fillId="2" borderId="1" xfId="0" applyFont="1" applyFill="1" applyBorder="1" applyProtection="1"/>
    <xf numFmtId="0" fontId="32" fillId="2" borderId="1" xfId="0" applyNumberFormat="1" applyFont="1" applyFill="1" applyBorder="1" applyAlignment="1" applyProtection="1">
      <alignment horizontal="left"/>
    </xf>
    <xf numFmtId="0" fontId="24" fillId="2" borderId="1" xfId="0" applyFont="1" applyFill="1" applyBorder="1" applyProtection="1"/>
    <xf numFmtId="0" fontId="24" fillId="2" borderId="1" xfId="0" applyFont="1" applyFill="1" applyBorder="1" applyAlignment="1" applyProtection="1">
      <alignment horizontal="left"/>
    </xf>
    <xf numFmtId="0" fontId="48" fillId="2" borderId="0" xfId="0" applyFont="1" applyFill="1" applyBorder="1" applyAlignment="1" applyProtection="1">
      <alignment horizontal="center"/>
    </xf>
    <xf numFmtId="0" fontId="24" fillId="2" borderId="9" xfId="0" applyFont="1" applyFill="1" applyBorder="1" applyAlignment="1" applyProtection="1">
      <alignment wrapText="1"/>
    </xf>
    <xf numFmtId="0" fontId="24" fillId="2" borderId="1" xfId="0" applyFont="1" applyFill="1" applyBorder="1" applyAlignment="1" applyProtection="1">
      <alignment wrapText="1"/>
    </xf>
    <xf numFmtId="0" fontId="24" fillId="2" borderId="1" xfId="0" applyFont="1" applyFill="1" applyBorder="1" applyAlignment="1" applyProtection="1">
      <alignment horizontal="center" wrapText="1"/>
    </xf>
    <xf numFmtId="0" fontId="32" fillId="2" borderId="1" xfId="0" applyFont="1" applyFill="1" applyBorder="1" applyAlignment="1" applyProtection="1">
      <alignment horizontal="center" wrapText="1"/>
    </xf>
    <xf numFmtId="0" fontId="24" fillId="2" borderId="1" xfId="0" applyFont="1" applyFill="1" applyBorder="1" applyAlignment="1" applyProtection="1">
      <alignment horizontal="center" vertical="center" wrapText="1"/>
    </xf>
    <xf numFmtId="0" fontId="32" fillId="2" borderId="1" xfId="0" applyFont="1" applyFill="1" applyBorder="1" applyAlignment="1" applyProtection="1">
      <alignment horizontal="center"/>
    </xf>
    <xf numFmtId="0" fontId="24" fillId="2" borderId="10" xfId="0" applyFont="1" applyFill="1" applyBorder="1" applyAlignment="1" applyProtection="1">
      <alignment wrapText="1"/>
    </xf>
    <xf numFmtId="0" fontId="24" fillId="2" borderId="0" xfId="0" applyFont="1" applyFill="1" applyAlignment="1" applyProtection="1">
      <alignment wrapText="1"/>
    </xf>
    <xf numFmtId="0" fontId="21" fillId="6" borderId="1" xfId="0" applyFont="1" applyFill="1" applyBorder="1" applyAlignment="1" applyProtection="1">
      <alignment horizontal="left"/>
    </xf>
    <xf numFmtId="0" fontId="24" fillId="2" borderId="0" xfId="0" applyFont="1" applyFill="1" applyBorder="1" applyAlignment="1" applyProtection="1">
      <alignment horizontal="center" wrapText="1"/>
    </xf>
    <xf numFmtId="0" fontId="24" fillId="2" borderId="0" xfId="0" quotePrefix="1" applyFont="1" applyFill="1" applyBorder="1" applyAlignment="1" applyProtection="1">
      <alignment horizontal="left"/>
    </xf>
    <xf numFmtId="0" fontId="24" fillId="2" borderId="11" xfId="0" applyFont="1" applyFill="1" applyBorder="1" applyProtection="1"/>
    <xf numFmtId="0" fontId="24" fillId="2" borderId="12" xfId="0" applyFont="1" applyFill="1" applyBorder="1" applyProtection="1"/>
    <xf numFmtId="0" fontId="24" fillId="2" borderId="13" xfId="0" applyFont="1" applyFill="1" applyBorder="1" applyProtection="1"/>
    <xf numFmtId="0" fontId="21" fillId="2" borderId="0" xfId="0" applyFont="1" applyFill="1" applyBorder="1" applyProtection="1"/>
    <xf numFmtId="0" fontId="21" fillId="2" borderId="0" xfId="0" applyFont="1" applyFill="1" applyProtection="1"/>
    <xf numFmtId="3" fontId="24" fillId="2" borderId="4" xfId="0" applyNumberFormat="1" applyFont="1" applyFill="1" applyBorder="1" applyAlignment="1" applyProtection="1">
      <alignment horizontal="center"/>
      <protection locked="0"/>
    </xf>
    <xf numFmtId="3" fontId="24" fillId="2" borderId="5" xfId="0" applyNumberFormat="1" applyFont="1" applyFill="1" applyBorder="1" applyAlignment="1" applyProtection="1">
      <alignment horizontal="center"/>
      <protection locked="0"/>
    </xf>
    <xf numFmtId="0" fontId="24" fillId="2" borderId="4" xfId="0" applyFont="1" applyFill="1" applyBorder="1" applyAlignment="1" applyProtection="1">
      <alignment horizontal="center"/>
      <protection locked="0"/>
    </xf>
    <xf numFmtId="0" fontId="24" fillId="2" borderId="5" xfId="0" applyFont="1" applyFill="1" applyBorder="1" applyAlignment="1" applyProtection="1">
      <alignment horizontal="center"/>
      <protection locked="0"/>
    </xf>
    <xf numFmtId="0" fontId="6" fillId="2" borderId="9" xfId="0" applyFont="1" applyFill="1" applyBorder="1" applyProtection="1"/>
    <xf numFmtId="0" fontId="6" fillId="2" borderId="0" xfId="0" applyFont="1" applyFill="1" applyBorder="1" applyProtection="1"/>
    <xf numFmtId="0" fontId="6" fillId="2" borderId="10" xfId="0" applyFont="1" applyFill="1" applyBorder="1" applyProtection="1"/>
    <xf numFmtId="0" fontId="6" fillId="2" borderId="0" xfId="0" applyFont="1" applyFill="1" applyProtection="1"/>
    <xf numFmtId="0" fontId="13" fillId="0" borderId="9"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protection locked="0"/>
    </xf>
    <xf numFmtId="0" fontId="13" fillId="0" borderId="10" xfId="0" applyFont="1" applyFill="1" applyBorder="1" applyAlignment="1" applyProtection="1">
      <alignment horizontal="left" vertical="center"/>
      <protection locked="0"/>
    </xf>
    <xf numFmtId="0" fontId="6" fillId="2" borderId="0" xfId="0" applyFont="1" applyFill="1" applyBorder="1" applyAlignment="1" applyProtection="1">
      <alignment horizontal="left"/>
    </xf>
    <xf numFmtId="0" fontId="6" fillId="0" borderId="9" xfId="0" applyFont="1" applyFill="1" applyBorder="1" applyAlignment="1" applyProtection="1">
      <alignment horizontal="left"/>
      <protection locked="0"/>
    </xf>
    <xf numFmtId="0" fontId="6" fillId="0" borderId="0" xfId="0" applyFont="1" applyFill="1" applyBorder="1" applyAlignment="1" applyProtection="1">
      <alignment horizontal="left"/>
      <protection locked="0"/>
    </xf>
    <xf numFmtId="0" fontId="6" fillId="0" borderId="10" xfId="0" applyFont="1" applyFill="1" applyBorder="1" applyAlignment="1" applyProtection="1">
      <alignment horizontal="left"/>
      <protection locked="0"/>
    </xf>
    <xf numFmtId="0" fontId="6" fillId="2" borderId="9" xfId="0" applyFont="1" applyFill="1" applyBorder="1" applyAlignment="1" applyProtection="1">
      <alignment wrapText="1"/>
    </xf>
    <xf numFmtId="0" fontId="6" fillId="2" borderId="10" xfId="0" applyFont="1" applyFill="1" applyBorder="1" applyAlignment="1" applyProtection="1">
      <alignment wrapText="1"/>
    </xf>
    <xf numFmtId="0" fontId="6" fillId="2" borderId="0" xfId="0" applyFont="1" applyFill="1" applyAlignment="1" applyProtection="1">
      <alignment wrapText="1"/>
    </xf>
    <xf numFmtId="0" fontId="13" fillId="0" borderId="9" xfId="0" applyFont="1" applyFill="1" applyBorder="1" applyAlignment="1" applyProtection="1">
      <alignment horizontal="left"/>
      <protection locked="0"/>
    </xf>
    <xf numFmtId="0" fontId="13" fillId="0" borderId="10" xfId="0" applyFont="1" applyFill="1" applyBorder="1" applyAlignment="1" applyProtection="1">
      <alignment horizontal="left"/>
      <protection locked="0"/>
    </xf>
    <xf numFmtId="0" fontId="6" fillId="0" borderId="9"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6" fillId="0" borderId="10" xfId="0" applyFont="1" applyFill="1" applyBorder="1" applyAlignment="1" applyProtection="1">
      <alignment horizontal="left" vertical="center"/>
      <protection locked="0"/>
    </xf>
    <xf numFmtId="0" fontId="13" fillId="3" borderId="15" xfId="0" applyNumberFormat="1" applyFont="1" applyFill="1" applyBorder="1" applyAlignment="1" applyProtection="1">
      <alignment horizontal="center" wrapText="1"/>
    </xf>
    <xf numFmtId="4" fontId="13" fillId="2" borderId="77" xfId="0" applyNumberFormat="1" applyFont="1" applyFill="1" applyBorder="1" applyProtection="1"/>
    <xf numFmtId="4" fontId="13" fillId="2" borderId="78" xfId="0" applyNumberFormat="1" applyFont="1" applyFill="1" applyBorder="1" applyProtection="1"/>
    <xf numFmtId="4" fontId="13" fillId="2" borderId="79" xfId="0" applyNumberFormat="1" applyFont="1" applyFill="1" applyBorder="1" applyProtection="1"/>
    <xf numFmtId="4" fontId="27" fillId="2" borderId="130" xfId="0" applyNumberFormat="1" applyFont="1" applyFill="1" applyBorder="1" applyAlignment="1" applyProtection="1">
      <alignment horizontal="center"/>
    </xf>
    <xf numFmtId="3" fontId="27" fillId="2" borderId="130" xfId="0" applyNumberFormat="1" applyFont="1" applyFill="1" applyBorder="1" applyAlignment="1" applyProtection="1">
      <alignment horizontal="center"/>
    </xf>
    <xf numFmtId="4" fontId="27" fillId="3" borderId="189" xfId="0" applyNumberFormat="1" applyFont="1" applyFill="1" applyBorder="1" applyProtection="1"/>
    <xf numFmtId="4" fontId="27" fillId="3" borderId="129" xfId="0" applyNumberFormat="1" applyFont="1" applyFill="1" applyBorder="1" applyProtection="1"/>
    <xf numFmtId="4" fontId="27" fillId="3" borderId="130" xfId="0" applyNumberFormat="1" applyFont="1" applyFill="1" applyBorder="1" applyProtection="1"/>
    <xf numFmtId="4" fontId="27" fillId="2" borderId="188" xfId="0" applyNumberFormat="1" applyFont="1" applyFill="1" applyBorder="1" applyProtection="1"/>
    <xf numFmtId="4" fontId="27" fillId="2" borderId="187" xfId="0" applyNumberFormat="1" applyFont="1" applyFill="1" applyBorder="1" applyProtection="1"/>
    <xf numFmtId="4" fontId="6" fillId="2" borderId="77" xfId="0" applyNumberFormat="1" applyFont="1" applyFill="1" applyBorder="1" applyProtection="1">
      <protection locked="0"/>
    </xf>
    <xf numFmtId="4" fontId="6" fillId="2" borderId="78" xfId="0" applyNumberFormat="1" applyFont="1" applyFill="1" applyBorder="1" applyAlignment="1" applyProtection="1">
      <alignment wrapText="1"/>
      <protection locked="0"/>
    </xf>
    <xf numFmtId="165" fontId="6" fillId="2" borderId="78" xfId="0" applyNumberFormat="1" applyFont="1" applyFill="1" applyBorder="1" applyAlignment="1" applyProtection="1">
      <alignment horizontal="center"/>
      <protection locked="0"/>
    </xf>
    <xf numFmtId="3" fontId="6" fillId="2" borderId="78" xfId="0" applyNumberFormat="1" applyFont="1" applyFill="1" applyBorder="1" applyAlignment="1" applyProtection="1">
      <alignment horizontal="center"/>
      <protection locked="0"/>
    </xf>
    <xf numFmtId="3" fontId="6" fillId="2" borderId="84" xfId="0" applyNumberFormat="1" applyFont="1" applyFill="1" applyBorder="1" applyAlignment="1" applyProtection="1">
      <alignment horizontal="center"/>
      <protection locked="0"/>
    </xf>
    <xf numFmtId="0" fontId="6" fillId="2" borderId="86" xfId="0" applyFont="1" applyFill="1" applyBorder="1" applyAlignment="1" applyProtection="1">
      <alignment horizontal="center"/>
      <protection locked="0"/>
    </xf>
    <xf numFmtId="0" fontId="6" fillId="2" borderId="78" xfId="0" applyFont="1" applyFill="1" applyBorder="1" applyAlignment="1" applyProtection="1">
      <alignment horizontal="center"/>
      <protection locked="0"/>
    </xf>
    <xf numFmtId="4" fontId="6" fillId="2" borderId="78" xfId="0" applyNumberFormat="1" applyFont="1" applyFill="1" applyBorder="1" applyProtection="1">
      <protection locked="0"/>
    </xf>
    <xf numFmtId="4" fontId="6" fillId="2" borderId="78" xfId="0" applyNumberFormat="1" applyFont="1" applyFill="1" applyBorder="1" applyAlignment="1" applyProtection="1">
      <alignment horizontal="left"/>
      <protection locked="0"/>
    </xf>
    <xf numFmtId="165" fontId="6" fillId="2" borderId="79" xfId="0" applyNumberFormat="1" applyFont="1" applyFill="1" applyBorder="1" applyAlignment="1" applyProtection="1">
      <alignment horizontal="center"/>
      <protection locked="0"/>
    </xf>
    <xf numFmtId="3" fontId="6" fillId="2" borderId="87" xfId="0" applyNumberFormat="1" applyFont="1" applyFill="1" applyBorder="1" applyAlignment="1" applyProtection="1">
      <alignment horizontal="center"/>
      <protection locked="0"/>
    </xf>
    <xf numFmtId="0" fontId="6" fillId="2" borderId="89" xfId="0" applyFont="1" applyFill="1" applyBorder="1" applyAlignment="1" applyProtection="1">
      <alignment horizontal="center"/>
      <protection locked="0"/>
    </xf>
    <xf numFmtId="0" fontId="6" fillId="2" borderId="79" xfId="0" applyFont="1" applyFill="1" applyBorder="1" applyAlignment="1" applyProtection="1">
      <alignment horizontal="center"/>
      <protection locked="0"/>
    </xf>
    <xf numFmtId="4" fontId="27" fillId="2" borderId="130" xfId="0" applyNumberFormat="1" applyFont="1" applyFill="1" applyBorder="1" applyProtection="1">
      <protection locked="0"/>
    </xf>
    <xf numFmtId="0" fontId="6" fillId="2" borderId="66" xfId="0" applyFont="1" applyFill="1" applyBorder="1" applyAlignment="1" applyProtection="1">
      <alignment horizontal="left"/>
      <protection locked="0"/>
    </xf>
    <xf numFmtId="0" fontId="6" fillId="2" borderId="68" xfId="0" applyFont="1" applyFill="1" applyBorder="1" applyAlignment="1" applyProtection="1">
      <alignment horizontal="left"/>
      <protection locked="0"/>
    </xf>
    <xf numFmtId="4" fontId="6" fillId="3" borderId="76" xfId="0" applyNumberFormat="1" applyFont="1" applyFill="1" applyBorder="1" applyProtection="1"/>
    <xf numFmtId="0" fontId="6" fillId="3" borderId="59" xfId="0" applyFont="1" applyFill="1" applyBorder="1" applyProtection="1"/>
    <xf numFmtId="4" fontId="6" fillId="3" borderId="42" xfId="0" applyNumberFormat="1" applyFont="1" applyFill="1" applyBorder="1" applyAlignment="1" applyProtection="1">
      <alignment wrapText="1"/>
    </xf>
    <xf numFmtId="0" fontId="6" fillId="3" borderId="61" xfId="0" applyFont="1" applyFill="1" applyBorder="1" applyAlignment="1" applyProtection="1">
      <alignment wrapText="1"/>
    </xf>
    <xf numFmtId="4" fontId="6" fillId="3" borderId="42" xfId="0" applyNumberFormat="1" applyFont="1" applyFill="1" applyBorder="1" applyProtection="1"/>
    <xf numFmtId="0" fontId="6" fillId="3" borderId="61" xfId="0" applyFont="1" applyFill="1" applyBorder="1" applyProtection="1"/>
    <xf numFmtId="4" fontId="6" fillId="3" borderId="42" xfId="0" applyNumberFormat="1" applyFont="1" applyFill="1" applyBorder="1" applyAlignment="1" applyProtection="1">
      <alignment horizontal="left"/>
    </xf>
    <xf numFmtId="0" fontId="6" fillId="3" borderId="61" xfId="0" applyFont="1" applyFill="1" applyBorder="1" applyAlignment="1" applyProtection="1">
      <alignment horizontal="left"/>
    </xf>
    <xf numFmtId="4" fontId="6" fillId="3" borderId="80" xfId="0" applyNumberFormat="1" applyFont="1" applyFill="1" applyBorder="1" applyAlignment="1" applyProtection="1">
      <alignment horizontal="left"/>
    </xf>
    <xf numFmtId="0" fontId="6" fillId="3" borderId="19" xfId="0" applyFont="1" applyFill="1" applyBorder="1" applyAlignment="1" applyProtection="1">
      <alignment horizontal="left"/>
    </xf>
    <xf numFmtId="0" fontId="8" fillId="2" borderId="0" xfId="0" applyFont="1" applyFill="1" applyBorder="1" applyAlignment="1" applyProtection="1">
      <alignment vertical="center"/>
    </xf>
    <xf numFmtId="4" fontId="9" fillId="2" borderId="0" xfId="0" applyNumberFormat="1" applyFont="1" applyFill="1" applyBorder="1" applyAlignment="1" applyProtection="1">
      <alignment vertical="center"/>
      <protection locked="0"/>
    </xf>
    <xf numFmtId="4" fontId="9" fillId="2" borderId="0" xfId="0" applyNumberFormat="1" applyFont="1" applyFill="1" applyBorder="1" applyAlignment="1" applyProtection="1">
      <alignment horizontal="left" vertical="center"/>
      <protection locked="0"/>
    </xf>
    <xf numFmtId="0" fontId="25" fillId="2" borderId="0" xfId="0" applyFont="1" applyFill="1" applyBorder="1" applyAlignment="1" applyProtection="1">
      <alignment horizontal="left" vertical="center"/>
    </xf>
    <xf numFmtId="0" fontId="24" fillId="2" borderId="0" xfId="0" applyFont="1" applyFill="1" applyBorder="1" applyAlignment="1" applyProtection="1">
      <alignment vertical="center"/>
    </xf>
    <xf numFmtId="0" fontId="24" fillId="2" borderId="0" xfId="0" quotePrefix="1" applyFont="1" applyFill="1" applyBorder="1" applyAlignment="1" applyProtection="1">
      <alignment vertical="center"/>
    </xf>
    <xf numFmtId="4" fontId="13" fillId="3" borderId="76" xfId="0" applyNumberFormat="1" applyFont="1" applyFill="1" applyBorder="1" applyAlignment="1" applyProtection="1">
      <alignment horizontal="center" vertical="center"/>
    </xf>
    <xf numFmtId="1" fontId="13" fillId="3" borderId="80" xfId="0" applyNumberFormat="1" applyFont="1" applyFill="1" applyBorder="1" applyAlignment="1" applyProtection="1">
      <alignment horizontal="center" vertical="center"/>
    </xf>
    <xf numFmtId="0" fontId="6" fillId="2" borderId="66" xfId="0" applyFont="1" applyFill="1" applyBorder="1" applyAlignment="1" applyProtection="1">
      <alignment vertical="center"/>
    </xf>
    <xf numFmtId="0" fontId="6" fillId="2" borderId="67" xfId="0" applyFont="1" applyFill="1" applyBorder="1" applyAlignment="1" applyProtection="1">
      <alignment vertical="center"/>
    </xf>
    <xf numFmtId="0" fontId="6" fillId="2" borderId="68" xfId="0" applyFont="1" applyFill="1" applyBorder="1" applyAlignment="1" applyProtection="1">
      <alignment vertical="center"/>
    </xf>
    <xf numFmtId="0" fontId="13" fillId="2" borderId="74" xfId="0" applyFont="1" applyFill="1" applyBorder="1" applyAlignment="1" applyProtection="1">
      <alignment vertical="center"/>
    </xf>
    <xf numFmtId="4" fontId="13" fillId="2" borderId="75" xfId="0" applyNumberFormat="1" applyFont="1" applyFill="1" applyBorder="1" applyAlignment="1" applyProtection="1">
      <alignment vertical="center"/>
    </xf>
    <xf numFmtId="4" fontId="6" fillId="2" borderId="99" xfId="0" applyNumberFormat="1" applyFont="1" applyFill="1" applyBorder="1" applyAlignment="1" applyProtection="1">
      <alignment horizontal="left" vertical="center"/>
      <protection locked="0"/>
    </xf>
    <xf numFmtId="0" fontId="5" fillId="2" borderId="0" xfId="0" applyFont="1" applyFill="1"/>
    <xf numFmtId="0" fontId="13" fillId="2" borderId="0" xfId="0" applyFont="1" applyFill="1" applyBorder="1" applyAlignment="1">
      <alignment horizontal="center" vertical="center"/>
    </xf>
    <xf numFmtId="3" fontId="13" fillId="2"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5" fillId="2" borderId="0" xfId="0" quotePrefix="1" applyFont="1" applyFill="1" applyBorder="1" applyAlignment="1">
      <alignment horizontal="left" vertical="center"/>
    </xf>
    <xf numFmtId="3" fontId="5" fillId="2" borderId="0" xfId="0" applyNumberFormat="1" applyFont="1" applyFill="1" applyBorder="1" applyAlignment="1">
      <alignment horizontal="center" vertical="center"/>
    </xf>
    <xf numFmtId="4" fontId="5" fillId="2" borderId="0" xfId="0" applyNumberFormat="1" applyFont="1" applyFill="1" applyBorder="1" applyAlignment="1">
      <alignment vertical="center"/>
    </xf>
    <xf numFmtId="0" fontId="5" fillId="2" borderId="0" xfId="0" applyFont="1" applyFill="1" applyBorder="1" applyAlignment="1">
      <alignment horizontal="left" vertical="center"/>
    </xf>
    <xf numFmtId="0" fontId="13" fillId="3" borderId="33" xfId="0" quotePrefix="1" applyFont="1" applyFill="1" applyBorder="1" applyAlignment="1">
      <alignment horizontal="left" vertical="center"/>
    </xf>
    <xf numFmtId="0" fontId="50" fillId="2" borderId="0" xfId="0" applyFont="1" applyFill="1"/>
    <xf numFmtId="0" fontId="13" fillId="3" borderId="76" xfId="0" applyFont="1" applyFill="1" applyBorder="1" applyAlignment="1">
      <alignment horizontal="center" vertical="center" wrapText="1"/>
    </xf>
    <xf numFmtId="0" fontId="24" fillId="2" borderId="9" xfId="0" applyFont="1" applyFill="1" applyBorder="1" applyAlignment="1">
      <alignment horizontal="left" vertical="center"/>
    </xf>
    <xf numFmtId="0" fontId="25" fillId="2" borderId="0" xfId="0" applyFont="1" applyFill="1" applyBorder="1" applyAlignment="1">
      <alignment horizontal="left" vertical="center"/>
    </xf>
    <xf numFmtId="0" fontId="24" fillId="2" borderId="0" xfId="0" applyFont="1" applyFill="1" applyBorder="1" applyAlignment="1">
      <alignment horizontal="left" vertical="center"/>
    </xf>
    <xf numFmtId="4" fontId="25" fillId="2" borderId="0" xfId="0" applyNumberFormat="1" applyFont="1" applyFill="1" applyBorder="1" applyAlignment="1">
      <alignment vertical="center"/>
    </xf>
    <xf numFmtId="0" fontId="24" fillId="2" borderId="0" xfId="0" quotePrefix="1" applyFont="1" applyFill="1" applyBorder="1" applyAlignment="1">
      <alignment horizontal="left" vertical="center"/>
    </xf>
    <xf numFmtId="0" fontId="24" fillId="2" borderId="0" xfId="0" quotePrefix="1" applyFont="1" applyFill="1" applyAlignment="1">
      <alignment horizontal="left" vertical="center"/>
    </xf>
    <xf numFmtId="4" fontId="24" fillId="2" borderId="0" xfId="0" applyNumberFormat="1" applyFont="1" applyFill="1" applyBorder="1" applyAlignment="1">
      <alignment horizontal="left" vertical="center"/>
    </xf>
    <xf numFmtId="4" fontId="7" fillId="2" borderId="77" xfId="0" applyNumberFormat="1" applyFont="1" applyFill="1" applyBorder="1" applyAlignment="1" applyProtection="1">
      <alignment horizontal="right" vertical="center"/>
      <protection locked="0"/>
    </xf>
    <xf numFmtId="0" fontId="13" fillId="2" borderId="18" xfId="0" applyFont="1" applyFill="1" applyBorder="1" applyAlignment="1">
      <alignment horizontal="left" vertical="center"/>
    </xf>
    <xf numFmtId="4" fontId="9" fillId="2" borderId="68" xfId="0" applyNumberFormat="1" applyFont="1" applyFill="1" applyBorder="1" applyAlignment="1" applyProtection="1">
      <alignment horizontal="left" vertical="center"/>
      <protection locked="0"/>
    </xf>
    <xf numFmtId="4" fontId="9" fillId="2" borderId="71" xfId="0" applyNumberFormat="1" applyFont="1" applyFill="1" applyBorder="1" applyAlignment="1" applyProtection="1">
      <alignment horizontal="left" vertical="center"/>
      <protection locked="0"/>
    </xf>
    <xf numFmtId="4" fontId="6" fillId="2" borderId="79" xfId="0" applyNumberFormat="1" applyFont="1" applyFill="1" applyBorder="1" applyAlignment="1" applyProtection="1">
      <alignment horizontal="right"/>
      <protection locked="0"/>
    </xf>
    <xf numFmtId="0" fontId="13" fillId="2" borderId="63" xfId="0" applyFont="1" applyFill="1" applyBorder="1" applyAlignment="1" applyProtection="1">
      <alignment vertical="center"/>
    </xf>
    <xf numFmtId="0" fontId="13" fillId="2" borderId="65" xfId="0" applyFont="1" applyFill="1" applyBorder="1" applyAlignment="1" applyProtection="1">
      <alignment vertical="center"/>
    </xf>
    <xf numFmtId="4" fontId="13" fillId="2" borderId="77" xfId="0" applyNumberFormat="1" applyFont="1" applyFill="1" applyBorder="1" applyAlignment="1" applyProtection="1">
      <alignment horizontal="left" vertical="center"/>
      <protection locked="0"/>
    </xf>
    <xf numFmtId="0" fontId="13" fillId="2" borderId="77" xfId="0" applyFont="1" applyFill="1" applyBorder="1" applyAlignment="1" applyProtection="1">
      <alignment horizontal="left" vertical="center"/>
      <protection locked="0"/>
    </xf>
    <xf numFmtId="0" fontId="13" fillId="2" borderId="69" xfId="0" applyFont="1" applyFill="1" applyBorder="1" applyAlignment="1" applyProtection="1">
      <alignment vertical="center"/>
    </xf>
    <xf numFmtId="0" fontId="13" fillId="2" borderId="71" xfId="0" applyFont="1" applyFill="1" applyBorder="1" applyAlignment="1" applyProtection="1">
      <alignment vertical="center"/>
    </xf>
    <xf numFmtId="4" fontId="13" fillId="2" borderId="79" xfId="0" applyNumberFormat="1" applyFont="1" applyFill="1" applyBorder="1" applyAlignment="1" applyProtection="1">
      <alignment horizontal="left" vertical="center"/>
      <protection locked="0"/>
    </xf>
    <xf numFmtId="0" fontId="13" fillId="2" borderId="79" xfId="0" applyFont="1" applyFill="1" applyBorder="1" applyAlignment="1" applyProtection="1">
      <alignment horizontal="left" vertical="center"/>
      <protection locked="0"/>
    </xf>
    <xf numFmtId="4" fontId="13" fillId="2" borderId="77" xfId="0" applyNumberFormat="1" applyFont="1" applyFill="1" applyBorder="1" applyAlignment="1" applyProtection="1">
      <alignment vertical="center"/>
    </xf>
    <xf numFmtId="4" fontId="13" fillId="2" borderId="77" xfId="0" applyNumberFormat="1" applyFont="1" applyFill="1" applyBorder="1" applyAlignment="1" applyProtection="1">
      <alignment horizontal="left" vertical="center"/>
    </xf>
    <xf numFmtId="0" fontId="13" fillId="2" borderId="77" xfId="0" applyFont="1" applyFill="1" applyBorder="1" applyAlignment="1" applyProtection="1">
      <alignment horizontal="left" vertical="center"/>
    </xf>
    <xf numFmtId="0" fontId="13" fillId="2" borderId="66" xfId="0" applyFont="1" applyFill="1" applyBorder="1" applyAlignment="1" applyProtection="1">
      <alignment vertical="center"/>
    </xf>
    <xf numFmtId="0" fontId="13" fillId="2" borderId="68" xfId="0" applyFont="1" applyFill="1" applyBorder="1" applyAlignment="1" applyProtection="1">
      <alignment vertical="center"/>
    </xf>
    <xf numFmtId="4" fontId="13" fillId="2" borderId="78" xfId="0" applyNumberFormat="1" applyFont="1" applyFill="1" applyBorder="1" applyAlignment="1" applyProtection="1">
      <alignment vertical="center"/>
    </xf>
    <xf numFmtId="4" fontId="13" fillId="2" borderId="78" xfId="0" applyNumberFormat="1" applyFont="1" applyFill="1" applyBorder="1" applyAlignment="1" applyProtection="1">
      <alignment horizontal="left" vertical="center"/>
    </xf>
    <xf numFmtId="0" fontId="13" fillId="2" borderId="78" xfId="0" applyFont="1" applyFill="1" applyBorder="1" applyAlignment="1" applyProtection="1">
      <alignment horizontal="left" vertical="center"/>
    </xf>
    <xf numFmtId="0" fontId="25" fillId="0" borderId="9" xfId="0" applyFont="1" applyFill="1" applyBorder="1" applyAlignment="1" applyProtection="1">
      <alignment horizontal="left" vertical="center"/>
      <protection locked="0"/>
    </xf>
    <xf numFmtId="0" fontId="25" fillId="0" borderId="0" xfId="0" applyFont="1" applyFill="1" applyBorder="1" applyAlignment="1" applyProtection="1">
      <alignment horizontal="left" vertical="center"/>
      <protection locked="0"/>
    </xf>
    <xf numFmtId="0" fontId="25" fillId="0" borderId="10" xfId="0" applyFont="1" applyFill="1" applyBorder="1" applyAlignment="1" applyProtection="1">
      <alignment horizontal="left" vertical="center"/>
      <protection locked="0"/>
    </xf>
    <xf numFmtId="0" fontId="13" fillId="2" borderId="57" xfId="0" applyFont="1" applyFill="1" applyBorder="1" applyAlignment="1" applyProtection="1">
      <alignment vertical="center"/>
    </xf>
    <xf numFmtId="0" fontId="13" fillId="2" borderId="59" xfId="0" applyFont="1" applyFill="1" applyBorder="1" applyAlignment="1" applyProtection="1">
      <alignment vertical="center"/>
    </xf>
    <xf numFmtId="4" fontId="13" fillId="2" borderId="76" xfId="0" applyNumberFormat="1" applyFont="1" applyFill="1" applyBorder="1" applyAlignment="1" applyProtection="1">
      <alignment vertical="center"/>
      <protection locked="0"/>
    </xf>
    <xf numFmtId="4" fontId="13" fillId="2" borderId="76" xfId="0" applyNumberFormat="1" applyFont="1" applyFill="1" applyBorder="1" applyAlignment="1" applyProtection="1">
      <alignment horizontal="left" vertical="center"/>
      <protection locked="0"/>
    </xf>
    <xf numFmtId="0" fontId="13" fillId="2" borderId="76" xfId="0" applyFont="1" applyFill="1" applyBorder="1" applyAlignment="1" applyProtection="1">
      <alignment horizontal="left" vertical="center"/>
      <protection locked="0"/>
    </xf>
    <xf numFmtId="4" fontId="9" fillId="2" borderId="77" xfId="0" applyNumberFormat="1" applyFont="1" applyFill="1" applyBorder="1" applyAlignment="1" applyProtection="1">
      <alignment horizontal="right" vertical="center"/>
      <protection locked="0"/>
    </xf>
    <xf numFmtId="1" fontId="9" fillId="2" borderId="101" xfId="0" applyNumberFormat="1" applyFont="1" applyFill="1" applyBorder="1" applyAlignment="1" applyProtection="1">
      <alignment horizontal="center" vertical="center"/>
      <protection locked="0"/>
    </xf>
    <xf numFmtId="1" fontId="9" fillId="2" borderId="78" xfId="0" applyNumberFormat="1" applyFont="1" applyFill="1" applyBorder="1" applyAlignment="1" applyProtection="1">
      <alignment horizontal="center" vertical="center"/>
      <protection locked="0"/>
    </xf>
    <xf numFmtId="0" fontId="16" fillId="2" borderId="0" xfId="0" applyFont="1" applyFill="1" applyBorder="1" applyAlignment="1">
      <alignment horizontal="left"/>
    </xf>
    <xf numFmtId="0" fontId="27" fillId="2" borderId="0" xfId="0" applyFont="1" applyFill="1" applyBorder="1" applyAlignment="1">
      <alignment horizontal="left"/>
    </xf>
    <xf numFmtId="4" fontId="16" fillId="2" borderId="0" xfId="0" applyNumberFormat="1" applyFont="1" applyFill="1" applyBorder="1"/>
    <xf numFmtId="0" fontId="25" fillId="2" borderId="0" xfId="0" quotePrefix="1" applyFont="1" applyFill="1" applyBorder="1" applyAlignment="1">
      <alignment horizontal="left"/>
    </xf>
    <xf numFmtId="4" fontId="9" fillId="2" borderId="75" xfId="0" applyNumberFormat="1" applyFont="1" applyFill="1" applyBorder="1" applyAlignment="1" applyProtection="1">
      <alignment horizontal="left" vertical="center"/>
      <protection locked="0"/>
    </xf>
    <xf numFmtId="4" fontId="8" fillId="2" borderId="104" xfId="131" applyNumberFormat="1" applyFont="1" applyFill="1" applyBorder="1" applyAlignment="1" applyProtection="1">
      <alignment vertical="center"/>
      <protection locked="0"/>
    </xf>
    <xf numFmtId="4" fontId="8" fillId="2" borderId="68" xfId="131" applyNumberFormat="1" applyFont="1" applyFill="1" applyBorder="1" applyAlignment="1" applyProtection="1">
      <alignment vertical="center"/>
      <protection locked="0"/>
    </xf>
    <xf numFmtId="4" fontId="8" fillId="2" borderId="98" xfId="131" applyNumberFormat="1" applyFont="1" applyFill="1" applyBorder="1" applyAlignment="1" applyProtection="1">
      <alignment vertical="center"/>
      <protection locked="0"/>
    </xf>
    <xf numFmtId="4" fontId="8" fillId="2" borderId="71" xfId="131" applyNumberFormat="1" applyFont="1" applyFill="1" applyBorder="1" applyAlignment="1" applyProtection="1">
      <alignment vertical="center"/>
      <protection locked="0"/>
    </xf>
    <xf numFmtId="0" fontId="8" fillId="2" borderId="104" xfId="0" applyNumberFormat="1" applyFont="1" applyFill="1" applyBorder="1" applyAlignment="1" applyProtection="1">
      <alignment horizontal="left" vertical="center"/>
      <protection locked="0"/>
    </xf>
    <xf numFmtId="0" fontId="8" fillId="2" borderId="68" xfId="0" applyNumberFormat="1" applyFont="1" applyFill="1" applyBorder="1" applyAlignment="1" applyProtection="1">
      <alignment horizontal="left" vertical="center"/>
      <protection locked="0"/>
    </xf>
    <xf numFmtId="0" fontId="8" fillId="2" borderId="98" xfId="0" applyNumberFormat="1" applyFont="1" applyFill="1" applyBorder="1" applyAlignment="1" applyProtection="1">
      <alignment horizontal="left" vertical="center"/>
      <protection locked="0"/>
    </xf>
    <xf numFmtId="0" fontId="8" fillId="2" borderId="71" xfId="0" applyNumberFormat="1" applyFont="1" applyFill="1" applyBorder="1" applyAlignment="1" applyProtection="1">
      <alignment horizontal="left" vertical="center"/>
      <protection locked="0"/>
    </xf>
    <xf numFmtId="0" fontId="4" fillId="2" borderId="101" xfId="0" applyNumberFormat="1" applyFont="1" applyFill="1" applyBorder="1" applyAlignment="1" applyProtection="1">
      <alignment horizontal="center" vertical="center"/>
      <protection locked="0"/>
    </xf>
    <xf numFmtId="0" fontId="4" fillId="2" borderId="78" xfId="0" applyNumberFormat="1" applyFont="1" applyFill="1" applyBorder="1" applyAlignment="1" applyProtection="1">
      <alignment horizontal="center" vertical="center"/>
      <protection locked="0"/>
    </xf>
    <xf numFmtId="0" fontId="4" fillId="2" borderId="95" xfId="0" applyNumberFormat="1" applyFont="1" applyFill="1" applyBorder="1" applyAlignment="1" applyProtection="1">
      <alignment horizontal="center" vertical="center"/>
      <protection locked="0"/>
    </xf>
    <xf numFmtId="0" fontId="4" fillId="2" borderId="79" xfId="0" applyNumberFormat="1" applyFont="1" applyFill="1" applyBorder="1" applyAlignment="1" applyProtection="1">
      <alignment horizontal="center" vertical="center"/>
      <protection locked="0"/>
    </xf>
    <xf numFmtId="0" fontId="20" fillId="2" borderId="0" xfId="0" applyFont="1" applyFill="1" applyBorder="1" applyAlignment="1" applyProtection="1">
      <alignment horizontal="center"/>
      <protection locked="0"/>
    </xf>
    <xf numFmtId="4" fontId="13" fillId="2" borderId="65" xfId="0" applyNumberFormat="1" applyFont="1" applyFill="1" applyBorder="1" applyAlignment="1" applyProtection="1">
      <alignment horizontal="center" vertical="center"/>
      <protection locked="0"/>
    </xf>
    <xf numFmtId="4" fontId="9" fillId="2" borderId="65" xfId="0" applyNumberFormat="1" applyFont="1" applyFill="1" applyBorder="1" applyAlignment="1" applyProtection="1">
      <alignment horizontal="center" vertical="center"/>
      <protection locked="0"/>
    </xf>
    <xf numFmtId="4" fontId="13" fillId="2" borderId="104" xfId="0" applyNumberFormat="1" applyFont="1" applyFill="1" applyBorder="1" applyAlignment="1" applyProtection="1">
      <alignment horizontal="center" vertical="center"/>
      <protection locked="0"/>
    </xf>
    <xf numFmtId="4" fontId="9" fillId="2" borderId="104" xfId="0" applyNumberFormat="1" applyFont="1" applyFill="1" applyBorder="1" applyAlignment="1" applyProtection="1">
      <alignment horizontal="center" vertical="center"/>
      <protection locked="0"/>
    </xf>
    <xf numFmtId="4" fontId="13" fillId="2" borderId="68" xfId="0" applyNumberFormat="1" applyFont="1" applyFill="1" applyBorder="1" applyAlignment="1" applyProtection="1">
      <alignment horizontal="center" vertical="center"/>
      <protection locked="0"/>
    </xf>
    <xf numFmtId="4" fontId="9" fillId="2" borderId="68" xfId="0" applyNumberFormat="1" applyFont="1" applyFill="1" applyBorder="1" applyAlignment="1" applyProtection="1">
      <alignment horizontal="center" vertical="center"/>
      <protection locked="0"/>
    </xf>
    <xf numFmtId="4" fontId="13" fillId="2" borderId="98" xfId="0" applyNumberFormat="1" applyFont="1" applyFill="1" applyBorder="1" applyAlignment="1" applyProtection="1">
      <alignment horizontal="center" vertical="center"/>
      <protection locked="0"/>
    </xf>
    <xf numFmtId="4" fontId="9" fillId="2" borderId="98" xfId="0" applyNumberFormat="1" applyFont="1" applyFill="1" applyBorder="1" applyAlignment="1" applyProtection="1">
      <alignment horizontal="center" vertical="center"/>
      <protection locked="0"/>
    </xf>
    <xf numFmtId="4" fontId="13" fillId="2" borderId="71" xfId="0" applyNumberFormat="1" applyFont="1" applyFill="1" applyBorder="1" applyAlignment="1" applyProtection="1">
      <alignment horizontal="center" vertical="center"/>
      <protection locked="0"/>
    </xf>
    <xf numFmtId="4" fontId="9" fillId="2" borderId="71" xfId="0" applyNumberFormat="1" applyFont="1" applyFill="1" applyBorder="1" applyAlignment="1" applyProtection="1">
      <alignment horizontal="center" vertical="center"/>
      <protection locked="0"/>
    </xf>
    <xf numFmtId="4" fontId="13" fillId="2" borderId="75" xfId="0" applyNumberFormat="1" applyFont="1" applyFill="1" applyBorder="1" applyAlignment="1">
      <alignment horizontal="center" vertical="center"/>
    </xf>
    <xf numFmtId="4" fontId="13" fillId="2" borderId="72" xfId="0" applyNumberFormat="1" applyFont="1" applyFill="1" applyBorder="1" applyAlignment="1">
      <alignment horizontal="center" vertical="center"/>
    </xf>
    <xf numFmtId="0" fontId="4" fillId="2" borderId="99" xfId="0" applyFont="1" applyFill="1" applyBorder="1" applyAlignment="1">
      <alignment horizontal="left" vertical="center"/>
    </xf>
    <xf numFmtId="4" fontId="4" fillId="2" borderId="102" xfId="0" applyNumberFormat="1" applyFont="1" applyFill="1" applyBorder="1" applyAlignment="1" applyProtection="1">
      <alignment horizontal="right" vertical="center"/>
      <protection locked="0"/>
    </xf>
    <xf numFmtId="4" fontId="4" fillId="2" borderId="77" xfId="0" applyNumberFormat="1" applyFont="1" applyFill="1" applyBorder="1" applyAlignment="1" applyProtection="1">
      <alignment horizontal="right" vertical="center"/>
      <protection locked="0"/>
    </xf>
    <xf numFmtId="4" fontId="4" fillId="2" borderId="84" xfId="0" applyNumberFormat="1" applyFont="1" applyFill="1" applyBorder="1" applyAlignment="1" applyProtection="1">
      <alignment horizontal="right" vertical="center"/>
      <protection locked="0"/>
    </xf>
    <xf numFmtId="4" fontId="4" fillId="2" borderId="78" xfId="0" applyNumberFormat="1" applyFont="1" applyFill="1" applyBorder="1" applyAlignment="1" applyProtection="1">
      <alignment horizontal="right" vertical="center"/>
      <protection locked="0"/>
    </xf>
    <xf numFmtId="4" fontId="4" fillId="2" borderId="87" xfId="0" applyNumberFormat="1" applyFont="1" applyFill="1" applyBorder="1" applyAlignment="1" applyProtection="1">
      <alignment horizontal="right" vertical="center"/>
      <protection locked="0"/>
    </xf>
    <xf numFmtId="4" fontId="4" fillId="2" borderId="79" xfId="0" applyNumberFormat="1" applyFont="1" applyFill="1" applyBorder="1" applyAlignment="1" applyProtection="1">
      <alignment horizontal="right" vertical="center"/>
      <protection locked="0"/>
    </xf>
    <xf numFmtId="0" fontId="13" fillId="3" borderId="76" xfId="0" applyFont="1" applyFill="1" applyBorder="1" applyAlignment="1">
      <alignment horizontal="center"/>
    </xf>
    <xf numFmtId="0" fontId="13" fillId="3" borderId="42" xfId="0" applyFont="1" applyFill="1" applyBorder="1" applyAlignment="1">
      <alignment horizontal="center"/>
    </xf>
    <xf numFmtId="0" fontId="9" fillId="2" borderId="9" xfId="0" applyFont="1" applyFill="1" applyBorder="1" applyAlignment="1">
      <alignment vertical="center"/>
    </xf>
    <xf numFmtId="0" fontId="9" fillId="2" borderId="77" xfId="0" applyFont="1" applyFill="1" applyBorder="1" applyAlignment="1">
      <alignment vertical="center"/>
    </xf>
    <xf numFmtId="4" fontId="9" fillId="2" borderId="77" xfId="0" applyNumberFormat="1" applyFont="1" applyFill="1" applyBorder="1" applyAlignment="1">
      <alignment horizontal="center" vertical="center"/>
    </xf>
    <xf numFmtId="0" fontId="9" fillId="2" borderId="10" xfId="0" applyFont="1" applyFill="1" applyBorder="1" applyAlignment="1">
      <alignment vertical="center"/>
    </xf>
    <xf numFmtId="0" fontId="9" fillId="2" borderId="0" xfId="0" applyFont="1" applyFill="1" applyAlignment="1">
      <alignment vertical="center"/>
    </xf>
    <xf numFmtId="0" fontId="50" fillId="2" borderId="0" xfId="0" applyFont="1" applyFill="1" applyAlignment="1">
      <alignment vertical="center"/>
    </xf>
    <xf numFmtId="0" fontId="9" fillId="2" borderId="78" xfId="0" applyFont="1" applyFill="1" applyBorder="1" applyAlignment="1">
      <alignment vertical="center"/>
    </xf>
    <xf numFmtId="0" fontId="9" fillId="2" borderId="78" xfId="0" applyFont="1" applyFill="1" applyBorder="1" applyAlignment="1">
      <alignment horizontal="center" vertical="center"/>
    </xf>
    <xf numFmtId="0" fontId="7" fillId="2" borderId="78" xfId="0" applyFont="1" applyFill="1" applyBorder="1" applyAlignment="1">
      <alignment vertical="center"/>
    </xf>
    <xf numFmtId="0" fontId="9" fillId="3" borderId="78" xfId="0" applyFont="1" applyFill="1" applyBorder="1" applyAlignment="1">
      <alignment vertical="center"/>
    </xf>
    <xf numFmtId="0" fontId="7" fillId="2" borderId="78" xfId="0" applyFont="1" applyFill="1" applyBorder="1" applyAlignment="1">
      <alignment horizontal="center" vertical="center"/>
    </xf>
    <xf numFmtId="0" fontId="5" fillId="2" borderId="78" xfId="0" applyFont="1" applyFill="1" applyBorder="1" applyAlignment="1">
      <alignment vertical="center"/>
    </xf>
    <xf numFmtId="0" fontId="4" fillId="2" borderId="78" xfId="0" applyFont="1" applyFill="1" applyBorder="1" applyAlignment="1">
      <alignment vertical="center"/>
    </xf>
    <xf numFmtId="0" fontId="4" fillId="3" borderId="78" xfId="0" applyFont="1" applyFill="1" applyBorder="1" applyAlignment="1">
      <alignment vertical="center"/>
    </xf>
    <xf numFmtId="0" fontId="4" fillId="2" borderId="78" xfId="0" applyFont="1" applyFill="1" applyBorder="1" applyAlignment="1">
      <alignment horizontal="center" vertical="center"/>
    </xf>
    <xf numFmtId="0" fontId="7" fillId="2" borderId="79" xfId="0" applyFont="1" applyFill="1" applyBorder="1" applyAlignment="1">
      <alignment vertical="center"/>
    </xf>
    <xf numFmtId="0" fontId="9" fillId="2" borderId="79" xfId="0" applyFont="1" applyFill="1" applyBorder="1" applyAlignment="1">
      <alignment vertical="center"/>
    </xf>
    <xf numFmtId="0" fontId="9" fillId="3" borderId="79" xfId="0" applyFont="1" applyFill="1" applyBorder="1" applyAlignment="1">
      <alignment vertical="center"/>
    </xf>
    <xf numFmtId="0" fontId="9" fillId="2" borderId="79" xfId="0" applyFont="1" applyFill="1" applyBorder="1" applyAlignment="1">
      <alignment horizontal="center" vertical="center"/>
    </xf>
    <xf numFmtId="0" fontId="7" fillId="2" borderId="15" xfId="0" applyFont="1" applyFill="1" applyBorder="1" applyAlignment="1">
      <alignment vertical="center"/>
    </xf>
    <xf numFmtId="0" fontId="9" fillId="2" borderId="15" xfId="0" applyFont="1" applyFill="1" applyBorder="1" applyAlignment="1">
      <alignment vertical="center"/>
    </xf>
    <xf numFmtId="0" fontId="9" fillId="3" borderId="15" xfId="0" applyFont="1" applyFill="1" applyBorder="1" applyAlignment="1">
      <alignment vertical="center"/>
    </xf>
    <xf numFmtId="0" fontId="9" fillId="2" borderId="15" xfId="0" applyFont="1" applyFill="1" applyBorder="1" applyAlignment="1">
      <alignment horizontal="center" vertical="center"/>
    </xf>
    <xf numFmtId="0" fontId="41" fillId="7" borderId="0" xfId="0" applyFont="1" applyFill="1" applyBorder="1" applyAlignment="1">
      <alignment vertical="center"/>
    </xf>
    <xf numFmtId="0" fontId="54" fillId="7" borderId="0" xfId="0" applyFont="1" applyFill="1" applyBorder="1" applyAlignment="1">
      <alignment vertical="center"/>
    </xf>
    <xf numFmtId="0" fontId="3" fillId="2" borderId="6" xfId="0" applyFont="1" applyFill="1" applyBorder="1"/>
    <xf numFmtId="0" fontId="38" fillId="2" borderId="100" xfId="0" applyFont="1" applyFill="1" applyBorder="1" applyAlignment="1" applyProtection="1">
      <alignment horizontal="left" vertical="center"/>
      <protection locked="0"/>
    </xf>
    <xf numFmtId="4" fontId="38" fillId="2" borderId="100" xfId="0" applyNumberFormat="1" applyFont="1" applyFill="1" applyBorder="1" applyAlignment="1" applyProtection="1">
      <alignment horizontal="left" vertical="center"/>
      <protection locked="0"/>
    </xf>
    <xf numFmtId="4" fontId="16" fillId="2" borderId="100" xfId="0" applyNumberFormat="1" applyFont="1" applyFill="1" applyBorder="1" applyAlignment="1" applyProtection="1">
      <alignment horizontal="left" vertical="center"/>
      <protection locked="0"/>
    </xf>
    <xf numFmtId="0" fontId="38" fillId="2" borderId="67" xfId="0" applyFont="1" applyFill="1" applyBorder="1" applyAlignment="1" applyProtection="1">
      <alignment horizontal="left" vertical="center"/>
      <protection locked="0"/>
    </xf>
    <xf numFmtId="4" fontId="38" fillId="2" borderId="67" xfId="0" applyNumberFormat="1" applyFont="1" applyFill="1" applyBorder="1" applyAlignment="1" applyProtection="1">
      <alignment horizontal="left" vertical="center"/>
      <protection locked="0"/>
    </xf>
    <xf numFmtId="4" fontId="16" fillId="2" borderId="67" xfId="0" applyNumberFormat="1" applyFont="1" applyFill="1" applyBorder="1" applyAlignment="1" applyProtection="1">
      <alignment horizontal="left" vertical="center"/>
      <protection locked="0"/>
    </xf>
    <xf numFmtId="0" fontId="24" fillId="2" borderId="12" xfId="0" applyFont="1" applyFill="1" applyBorder="1" applyAlignment="1">
      <alignment horizontal="left"/>
    </xf>
    <xf numFmtId="4" fontId="9" fillId="2" borderId="65" xfId="0" applyNumberFormat="1" applyFont="1" applyFill="1" applyBorder="1" applyAlignment="1" applyProtection="1">
      <alignment vertical="center"/>
      <protection locked="0"/>
    </xf>
    <xf numFmtId="4" fontId="9" fillId="2" borderId="104" xfId="0" applyNumberFormat="1" applyFont="1" applyFill="1" applyBorder="1" applyAlignment="1" applyProtection="1">
      <alignment vertical="center"/>
      <protection locked="0"/>
    </xf>
    <xf numFmtId="4" fontId="9" fillId="2" borderId="68" xfId="0" applyNumberFormat="1" applyFont="1" applyFill="1" applyBorder="1" applyAlignment="1" applyProtection="1">
      <alignment vertical="center"/>
      <protection locked="0"/>
    </xf>
    <xf numFmtId="4" fontId="9" fillId="2" borderId="98" xfId="0" applyNumberFormat="1" applyFont="1" applyFill="1" applyBorder="1" applyAlignment="1" applyProtection="1">
      <alignment vertical="center"/>
      <protection locked="0"/>
    </xf>
    <xf numFmtId="4" fontId="9" fillId="2" borderId="71" xfId="0" applyNumberFormat="1" applyFont="1" applyFill="1" applyBorder="1" applyAlignment="1" applyProtection="1">
      <alignment vertical="center"/>
      <protection locked="0"/>
    </xf>
    <xf numFmtId="0" fontId="16" fillId="2" borderId="0" xfId="0" applyFont="1" applyFill="1" applyAlignment="1">
      <alignment horizontal="center" vertical="center"/>
    </xf>
    <xf numFmtId="0" fontId="18" fillId="2" borderId="9" xfId="0" applyFont="1" applyFill="1" applyBorder="1" applyAlignment="1">
      <alignment horizontal="center" vertical="center"/>
    </xf>
    <xf numFmtId="0" fontId="34" fillId="3" borderId="76" xfId="132" applyFont="1" applyFill="1" applyBorder="1" applyAlignment="1">
      <alignment horizontal="center" vertical="center" wrapText="1"/>
    </xf>
    <xf numFmtId="0" fontId="34" fillId="3" borderId="15" xfId="132" applyFont="1" applyFill="1" applyBorder="1" applyAlignment="1">
      <alignment horizontal="center" vertical="center" wrapText="1"/>
    </xf>
    <xf numFmtId="0" fontId="18" fillId="2" borderId="10" xfId="0" applyFont="1" applyFill="1" applyBorder="1" applyAlignment="1">
      <alignment horizontal="center" vertical="center"/>
    </xf>
    <xf numFmtId="0" fontId="24" fillId="0" borderId="9"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protection locked="0"/>
    </xf>
    <xf numFmtId="0" fontId="24" fillId="0" borderId="10" xfId="0" applyFont="1" applyFill="1" applyBorder="1" applyAlignment="1" applyProtection="1">
      <alignment horizontal="center" vertical="center"/>
      <protection locked="0"/>
    </xf>
    <xf numFmtId="0" fontId="9" fillId="2" borderId="0" xfId="0" applyFont="1" applyFill="1" applyAlignment="1">
      <alignment horizontal="center" vertical="center"/>
    </xf>
    <xf numFmtId="0" fontId="9" fillId="2" borderId="9" xfId="0" applyFont="1" applyFill="1" applyBorder="1" applyAlignment="1">
      <alignment horizontal="center" vertical="center"/>
    </xf>
    <xf numFmtId="0" fontId="34" fillId="3" borderId="80" xfId="132" applyFont="1" applyFill="1" applyBorder="1" applyAlignment="1">
      <alignment horizontal="center" vertical="center" wrapText="1"/>
    </xf>
    <xf numFmtId="0" fontId="9" fillId="2" borderId="10" xfId="0" applyFont="1" applyFill="1" applyBorder="1" applyAlignment="1">
      <alignment horizontal="center" vertical="center"/>
    </xf>
    <xf numFmtId="0" fontId="38" fillId="2" borderId="0" xfId="0" applyFont="1" applyFill="1" applyBorder="1" applyAlignment="1" applyProtection="1">
      <alignment horizontal="left" vertical="center"/>
      <protection locked="0"/>
    </xf>
    <xf numFmtId="4" fontId="38" fillId="2" borderId="0" xfId="0" applyNumberFormat="1" applyFont="1" applyFill="1" applyBorder="1" applyAlignment="1" applyProtection="1">
      <alignment horizontal="left" vertical="center"/>
      <protection locked="0"/>
    </xf>
    <xf numFmtId="4" fontId="16" fillId="2" borderId="0" xfId="0" applyNumberFormat="1" applyFont="1" applyFill="1" applyBorder="1" applyAlignment="1" applyProtection="1">
      <alignment horizontal="left" vertical="center"/>
      <protection locked="0"/>
    </xf>
    <xf numFmtId="0" fontId="35" fillId="2" borderId="0" xfId="0" applyFont="1" applyFill="1" applyBorder="1" applyAlignment="1" applyProtection="1">
      <alignment horizontal="left" vertical="center"/>
      <protection locked="0"/>
    </xf>
    <xf numFmtId="0" fontId="38" fillId="2" borderId="0" xfId="0" quotePrefix="1" applyFont="1" applyFill="1" applyBorder="1" applyAlignment="1" applyProtection="1">
      <alignment horizontal="left" vertical="center"/>
      <protection locked="0"/>
    </xf>
    <xf numFmtId="3" fontId="35" fillId="2" borderId="0" xfId="0" applyNumberFormat="1" applyFont="1" applyFill="1" applyBorder="1" applyAlignment="1" applyProtection="1">
      <alignment horizontal="left" vertical="center"/>
      <protection locked="0"/>
    </xf>
    <xf numFmtId="0" fontId="20" fillId="0" borderId="9" xfId="0" applyFont="1" applyFill="1" applyBorder="1" applyAlignment="1">
      <alignment horizontal="left"/>
    </xf>
    <xf numFmtId="0" fontId="38" fillId="0" borderId="0" xfId="0" quotePrefix="1" applyFont="1" applyFill="1" applyBorder="1" applyAlignment="1" applyProtection="1">
      <alignment horizontal="left" vertical="center"/>
      <protection locked="0"/>
    </xf>
    <xf numFmtId="0" fontId="38" fillId="0" borderId="0" xfId="0" applyFont="1" applyFill="1" applyBorder="1" applyAlignment="1" applyProtection="1">
      <alignment horizontal="left" vertical="center"/>
      <protection locked="0"/>
    </xf>
    <xf numFmtId="4" fontId="38" fillId="0" borderId="0" xfId="0" applyNumberFormat="1" applyFont="1" applyFill="1" applyBorder="1" applyAlignment="1" applyProtection="1">
      <alignment horizontal="left" vertical="center"/>
      <protection locked="0"/>
    </xf>
    <xf numFmtId="4" fontId="16" fillId="0" borderId="0" xfId="0" applyNumberFormat="1" applyFont="1" applyFill="1" applyBorder="1" applyAlignment="1" applyProtection="1">
      <alignment horizontal="left" vertical="center"/>
      <protection locked="0"/>
    </xf>
    <xf numFmtId="0" fontId="24" fillId="0" borderId="10" xfId="0" applyFont="1" applyFill="1" applyBorder="1" applyAlignment="1">
      <alignment horizontal="left"/>
    </xf>
    <xf numFmtId="0" fontId="24" fillId="0" borderId="0" xfId="0" applyFont="1" applyFill="1" applyAlignment="1">
      <alignment horizontal="left"/>
    </xf>
    <xf numFmtId="0" fontId="9" fillId="2" borderId="0" xfId="0" applyFont="1" applyFill="1" applyBorder="1" applyAlignment="1" applyProtection="1">
      <protection locked="0"/>
    </xf>
    <xf numFmtId="0" fontId="25" fillId="2" borderId="0" xfId="0" applyFont="1" applyFill="1" applyBorder="1" applyAlignment="1" applyProtection="1">
      <protection locked="0"/>
    </xf>
    <xf numFmtId="0" fontId="21" fillId="0" borderId="0" xfId="0" applyFont="1"/>
    <xf numFmtId="0" fontId="2" fillId="2" borderId="0" xfId="0" applyFont="1" applyFill="1" applyAlignment="1">
      <alignment vertical="center"/>
    </xf>
    <xf numFmtId="0" fontId="2" fillId="2" borderId="9" xfId="0" applyFont="1" applyFill="1" applyBorder="1" applyAlignment="1">
      <alignment vertical="center"/>
    </xf>
    <xf numFmtId="0" fontId="2" fillId="2" borderId="78" xfId="0" applyFont="1" applyFill="1" applyBorder="1" applyAlignment="1">
      <alignment vertical="center"/>
    </xf>
    <xf numFmtId="0" fontId="2" fillId="3" borderId="78" xfId="0" applyFont="1" applyFill="1" applyBorder="1" applyAlignment="1">
      <alignment vertical="center"/>
    </xf>
    <xf numFmtId="0" fontId="2" fillId="2" borderId="78" xfId="0" applyFont="1" applyFill="1" applyBorder="1" applyAlignment="1">
      <alignment horizontal="center" vertical="center"/>
    </xf>
    <xf numFmtId="0" fontId="2" fillId="2" borderId="10" xfId="0" applyFont="1" applyFill="1" applyBorder="1" applyAlignment="1">
      <alignment vertical="center"/>
    </xf>
    <xf numFmtId="0" fontId="2" fillId="0" borderId="0" xfId="0" applyFont="1" applyFill="1" applyBorder="1" applyAlignment="1" applyProtection="1">
      <alignment horizontal="left"/>
      <protection locked="0"/>
    </xf>
    <xf numFmtId="0" fontId="0" fillId="0" borderId="0" xfId="0" applyProtection="1">
      <protection locked="0"/>
    </xf>
    <xf numFmtId="4" fontId="57" fillId="0" borderId="0" xfId="0" applyNumberFormat="1" applyFont="1" applyProtection="1">
      <protection locked="0"/>
    </xf>
    <xf numFmtId="7" fontId="57" fillId="0" borderId="0" xfId="0" applyNumberFormat="1" applyFont="1" applyProtection="1">
      <protection locked="0"/>
    </xf>
    <xf numFmtId="9" fontId="57" fillId="0" borderId="0" xfId="0" applyNumberFormat="1" applyFont="1" applyAlignment="1" applyProtection="1">
      <alignment horizontal="center" vertical="center"/>
      <protection locked="0"/>
    </xf>
    <xf numFmtId="4" fontId="9" fillId="2" borderId="66" xfId="0" applyNumberFormat="1" applyFont="1" applyFill="1" applyBorder="1" applyAlignment="1" applyProtection="1">
      <alignment horizontal="left" vertical="center"/>
      <protection locked="0"/>
    </xf>
    <xf numFmtId="4" fontId="9" fillId="2" borderId="68" xfId="0" applyNumberFormat="1" applyFont="1" applyFill="1" applyBorder="1" applyAlignment="1" applyProtection="1">
      <alignment horizontal="left" vertical="center"/>
      <protection locked="0"/>
    </xf>
    <xf numFmtId="165" fontId="2" fillId="2" borderId="77" xfId="0" applyNumberFormat="1" applyFont="1" applyFill="1" applyBorder="1" applyAlignment="1" applyProtection="1">
      <alignment horizontal="center"/>
      <protection locked="0"/>
    </xf>
    <xf numFmtId="165" fontId="2" fillId="2" borderId="78" xfId="0" applyNumberFormat="1" applyFont="1" applyFill="1" applyBorder="1" applyAlignment="1" applyProtection="1">
      <alignment horizontal="center" wrapText="1"/>
      <protection locked="0"/>
    </xf>
    <xf numFmtId="165" fontId="2" fillId="2" borderId="78" xfId="0" applyNumberFormat="1" applyFont="1" applyFill="1" applyBorder="1" applyAlignment="1" applyProtection="1">
      <alignment horizontal="center"/>
      <protection locked="0"/>
    </xf>
    <xf numFmtId="3" fontId="2" fillId="2" borderId="77" xfId="0" applyNumberFormat="1" applyFont="1" applyFill="1" applyBorder="1" applyAlignment="1" applyProtection="1">
      <alignment horizontal="center"/>
      <protection locked="0"/>
    </xf>
    <xf numFmtId="3" fontId="2" fillId="2" borderId="78" xfId="0" applyNumberFormat="1" applyFont="1" applyFill="1" applyBorder="1" applyAlignment="1" applyProtection="1">
      <alignment horizontal="center" wrapText="1"/>
      <protection locked="0"/>
    </xf>
    <xf numFmtId="3" fontId="2" fillId="2" borderId="78" xfId="0" applyNumberFormat="1" applyFont="1" applyFill="1" applyBorder="1" applyAlignment="1" applyProtection="1">
      <alignment horizontal="center"/>
      <protection locked="0"/>
    </xf>
    <xf numFmtId="3" fontId="2" fillId="2" borderId="81" xfId="0" applyNumberFormat="1" applyFont="1" applyFill="1" applyBorder="1" applyAlignment="1" applyProtection="1">
      <alignment horizontal="center"/>
      <protection locked="0"/>
    </xf>
    <xf numFmtId="3" fontId="2" fillId="2" borderId="83" xfId="0" applyNumberFormat="1" applyFont="1" applyFill="1" applyBorder="1" applyAlignment="1" applyProtection="1">
      <alignment horizontal="center"/>
      <protection locked="0"/>
    </xf>
    <xf numFmtId="3" fontId="2" fillId="2" borderId="84" xfId="0" applyNumberFormat="1" applyFont="1" applyFill="1" applyBorder="1" applyAlignment="1" applyProtection="1">
      <alignment horizontal="center" wrapText="1"/>
      <protection locked="0"/>
    </xf>
    <xf numFmtId="3" fontId="2" fillId="2" borderId="86" xfId="0" applyNumberFormat="1" applyFont="1" applyFill="1" applyBorder="1" applyAlignment="1" applyProtection="1">
      <alignment horizontal="center" wrapText="1"/>
      <protection locked="0"/>
    </xf>
    <xf numFmtId="3" fontId="2" fillId="2" borderId="84" xfId="0" applyNumberFormat="1" applyFont="1" applyFill="1" applyBorder="1" applyAlignment="1" applyProtection="1">
      <alignment horizontal="center"/>
      <protection locked="0"/>
    </xf>
    <xf numFmtId="0" fontId="2" fillId="2" borderId="86" xfId="0" applyFont="1" applyFill="1" applyBorder="1" applyAlignment="1" applyProtection="1">
      <alignment horizontal="center"/>
      <protection locked="0"/>
    </xf>
    <xf numFmtId="3" fontId="2" fillId="2" borderId="86" xfId="0" applyNumberFormat="1" applyFont="1" applyFill="1" applyBorder="1" applyAlignment="1" applyProtection="1">
      <alignment horizontal="center"/>
      <protection locked="0"/>
    </xf>
    <xf numFmtId="0" fontId="2" fillId="2" borderId="77" xfId="0" applyFont="1" applyFill="1" applyBorder="1" applyAlignment="1" applyProtection="1">
      <alignment horizontal="center"/>
      <protection locked="0"/>
    </xf>
    <xf numFmtId="0" fontId="2" fillId="2" borderId="78" xfId="0" applyFont="1" applyFill="1" applyBorder="1" applyAlignment="1" applyProtection="1">
      <alignment horizontal="center" wrapText="1"/>
      <protection locked="0"/>
    </xf>
    <xf numFmtId="0" fontId="2" fillId="2" borderId="78" xfId="0" applyFont="1" applyFill="1" applyBorder="1" applyAlignment="1" applyProtection="1">
      <alignment horizontal="center"/>
      <protection locked="0"/>
    </xf>
    <xf numFmtId="4" fontId="2" fillId="2" borderId="77" xfId="0" applyNumberFormat="1" applyFont="1" applyFill="1" applyBorder="1" applyProtection="1">
      <protection locked="0"/>
    </xf>
    <xf numFmtId="4" fontId="2" fillId="2" borderId="78" xfId="0" applyNumberFormat="1" applyFont="1" applyFill="1" applyBorder="1" applyAlignment="1" applyProtection="1">
      <alignment wrapText="1"/>
      <protection locked="0"/>
    </xf>
    <xf numFmtId="4" fontId="2" fillId="2" borderId="78" xfId="0" applyNumberFormat="1" applyFont="1" applyFill="1" applyBorder="1" applyProtection="1">
      <protection locked="0"/>
    </xf>
    <xf numFmtId="0" fontId="2" fillId="2" borderId="156" xfId="0" applyFont="1" applyFill="1" applyBorder="1" applyAlignment="1" applyProtection="1">
      <alignment vertical="center"/>
      <protection locked="0"/>
    </xf>
    <xf numFmtId="4" fontId="2" fillId="2" borderId="156" xfId="0" applyNumberFormat="1" applyFont="1" applyFill="1" applyBorder="1" applyAlignment="1" applyProtection="1">
      <alignment horizontal="left" vertical="center"/>
      <protection locked="0"/>
    </xf>
    <xf numFmtId="0" fontId="2" fillId="2" borderId="66" xfId="0" applyFont="1" applyFill="1" applyBorder="1" applyAlignment="1" applyProtection="1">
      <alignment vertical="center"/>
      <protection locked="0"/>
    </xf>
    <xf numFmtId="4" fontId="2" fillId="2" borderId="66" xfId="0" applyNumberFormat="1" applyFont="1" applyFill="1" applyBorder="1" applyAlignment="1" applyProtection="1">
      <alignment horizontal="left" vertical="center"/>
      <protection locked="0"/>
    </xf>
    <xf numFmtId="4" fontId="25" fillId="3" borderId="15" xfId="0" applyNumberFormat="1" applyFont="1" applyFill="1" applyBorder="1" applyAlignment="1" applyProtection="1">
      <alignment horizontal="center" vertical="center"/>
      <protection locked="0"/>
    </xf>
    <xf numFmtId="4" fontId="2" fillId="2" borderId="66" xfId="0" applyNumberFormat="1" applyFont="1" applyFill="1" applyBorder="1" applyAlignment="1" applyProtection="1">
      <alignment vertical="center"/>
      <protection locked="0"/>
    </xf>
    <xf numFmtId="4" fontId="2" fillId="2" borderId="93" xfId="0" applyNumberFormat="1" applyFont="1" applyFill="1" applyBorder="1" applyAlignment="1" applyProtection="1">
      <alignment horizontal="left" vertical="center"/>
      <protection locked="0"/>
    </xf>
    <xf numFmtId="4" fontId="2" fillId="2" borderId="99" xfId="0" applyNumberFormat="1" applyFont="1" applyFill="1" applyBorder="1" applyAlignment="1" applyProtection="1">
      <alignment horizontal="left" vertical="center"/>
      <protection locked="0"/>
    </xf>
    <xf numFmtId="4" fontId="2" fillId="2" borderId="69" xfId="0" applyNumberFormat="1" applyFont="1" applyFill="1" applyBorder="1" applyAlignment="1" applyProtection="1">
      <alignment horizontal="left" vertical="center"/>
      <protection locked="0"/>
    </xf>
    <xf numFmtId="0" fontId="2" fillId="0" borderId="9" xfId="0" applyFont="1" applyFill="1" applyBorder="1" applyAlignment="1" applyProtection="1">
      <alignment horizontal="left"/>
      <protection locked="0"/>
    </xf>
    <xf numFmtId="4" fontId="6" fillId="0" borderId="0" xfId="0" applyNumberFormat="1" applyFont="1" applyFill="1" applyBorder="1" applyAlignment="1" applyProtection="1">
      <alignment horizontal="left"/>
      <protection locked="0"/>
    </xf>
    <xf numFmtId="166" fontId="58" fillId="0" borderId="14" xfId="0" applyNumberFormat="1" applyFont="1" applyBorder="1" applyProtection="1">
      <protection locked="0"/>
    </xf>
    <xf numFmtId="0" fontId="2" fillId="2" borderId="36" xfId="0" applyFont="1" applyFill="1" applyBorder="1" applyAlignment="1" applyProtection="1">
      <alignment vertical="center"/>
      <protection locked="0"/>
    </xf>
    <xf numFmtId="0" fontId="2" fillId="2" borderId="37" xfId="0" applyFont="1" applyFill="1" applyBorder="1" applyAlignment="1" applyProtection="1">
      <alignment vertical="center"/>
      <protection locked="0"/>
    </xf>
    <xf numFmtId="4" fontId="24" fillId="2" borderId="0" xfId="0" applyNumberFormat="1" applyFont="1" applyFill="1" applyAlignment="1" applyProtection="1">
      <alignment horizontal="left"/>
      <protection locked="0"/>
    </xf>
    <xf numFmtId="4" fontId="2" fillId="2" borderId="65" xfId="0" applyNumberFormat="1" applyFont="1" applyFill="1" applyBorder="1" applyAlignment="1" applyProtection="1">
      <alignment horizontal="left" vertical="center"/>
      <protection locked="0"/>
    </xf>
    <xf numFmtId="4" fontId="2" fillId="2" borderId="75" xfId="0" applyNumberFormat="1" applyFont="1" applyFill="1" applyBorder="1" applyAlignment="1" applyProtection="1">
      <alignment horizontal="left" vertical="center"/>
      <protection locked="0"/>
    </xf>
    <xf numFmtId="4" fontId="2" fillId="2" borderId="68" xfId="0" applyNumberFormat="1" applyFont="1" applyFill="1" applyBorder="1" applyAlignment="1" applyProtection="1">
      <alignment horizontal="left" vertical="center"/>
      <protection locked="0"/>
    </xf>
    <xf numFmtId="0" fontId="3" fillId="2" borderId="78" xfId="0" applyNumberFormat="1" applyFont="1" applyFill="1" applyBorder="1" applyAlignment="1" applyProtection="1">
      <alignment horizontal="center" vertical="center"/>
      <protection locked="0"/>
    </xf>
    <xf numFmtId="0" fontId="2" fillId="2" borderId="68" xfId="0" applyNumberFormat="1" applyFont="1" applyFill="1" applyBorder="1" applyAlignment="1" applyProtection="1">
      <alignment horizontal="left" vertical="center"/>
      <protection locked="0"/>
    </xf>
    <xf numFmtId="0" fontId="2" fillId="2" borderId="63" xfId="0" applyFont="1" applyFill="1" applyBorder="1" applyAlignment="1" applyProtection="1">
      <alignment vertical="center"/>
      <protection locked="0"/>
    </xf>
    <xf numFmtId="4" fontId="2" fillId="2" borderId="77" xfId="0" applyNumberFormat="1" applyFont="1" applyFill="1" applyBorder="1" applyAlignment="1" applyProtection="1">
      <alignment vertical="center"/>
      <protection locked="0"/>
    </xf>
    <xf numFmtId="4" fontId="2" fillId="2" borderId="101" xfId="0" applyNumberFormat="1" applyFont="1" applyFill="1" applyBorder="1" applyAlignment="1" applyProtection="1">
      <alignment vertical="center"/>
      <protection locked="0"/>
    </xf>
    <xf numFmtId="0" fontId="2" fillId="2" borderId="100" xfId="0" applyFont="1" applyFill="1" applyBorder="1" applyAlignment="1" applyProtection="1">
      <alignment horizontal="left" vertical="center"/>
      <protection locked="0"/>
    </xf>
    <xf numFmtId="14" fontId="9" fillId="2" borderId="101" xfId="0" applyNumberFormat="1" applyFont="1" applyFill="1" applyBorder="1" applyAlignment="1" applyProtection="1">
      <alignment horizontal="center" vertical="center"/>
      <protection locked="0"/>
    </xf>
    <xf numFmtId="0" fontId="2" fillId="2" borderId="101" xfId="0" applyFont="1" applyFill="1" applyBorder="1" applyAlignment="1" applyProtection="1">
      <alignment horizontal="left" vertical="center"/>
      <protection locked="0"/>
    </xf>
    <xf numFmtId="0" fontId="2" fillId="2" borderId="101" xfId="0" applyFont="1" applyFill="1" applyBorder="1" applyAlignment="1" applyProtection="1">
      <alignment horizontal="center" vertical="center"/>
      <protection locked="0"/>
    </xf>
    <xf numFmtId="0" fontId="2" fillId="2" borderId="101" xfId="0" applyFont="1" applyFill="1" applyBorder="1" applyAlignment="1" applyProtection="1">
      <alignment horizontal="center" vertical="center" wrapText="1"/>
      <protection locked="0"/>
    </xf>
    <xf numFmtId="9" fontId="24" fillId="0" borderId="0" xfId="0" applyNumberFormat="1" applyFont="1" applyFill="1" applyBorder="1" applyAlignment="1" applyProtection="1">
      <alignment horizontal="left"/>
      <protection locked="0"/>
    </xf>
    <xf numFmtId="10" fontId="24" fillId="0" borderId="0" xfId="0" applyNumberFormat="1" applyFont="1" applyFill="1" applyBorder="1" applyAlignment="1" applyProtection="1">
      <alignment horizontal="left"/>
      <protection locked="0"/>
    </xf>
    <xf numFmtId="4" fontId="24" fillId="0" borderId="0" xfId="0" applyNumberFormat="1" applyFont="1" applyFill="1" applyBorder="1" applyAlignment="1" applyProtection="1">
      <alignment horizontal="left" vertical="center"/>
      <protection locked="0"/>
    </xf>
    <xf numFmtId="0" fontId="13" fillId="3" borderId="80" xfId="0" applyFont="1" applyFill="1" applyBorder="1" applyAlignment="1" applyProtection="1">
      <alignment horizontal="center" vertical="center"/>
      <protection locked="0"/>
    </xf>
    <xf numFmtId="4" fontId="24" fillId="0" borderId="0" xfId="0" applyNumberFormat="1" applyFont="1" applyFill="1" applyBorder="1" applyAlignment="1" applyProtection="1">
      <alignment horizontal="left"/>
      <protection locked="0"/>
    </xf>
    <xf numFmtId="4" fontId="9" fillId="2" borderId="68" xfId="0" applyNumberFormat="1" applyFont="1" applyFill="1" applyBorder="1" applyAlignment="1" applyProtection="1">
      <alignment horizontal="left" vertical="center"/>
      <protection locked="0"/>
    </xf>
    <xf numFmtId="4" fontId="13" fillId="0" borderId="125" xfId="0" applyNumberFormat="1" applyFont="1" applyFill="1" applyBorder="1" applyAlignment="1">
      <alignment vertical="center"/>
    </xf>
    <xf numFmtId="4" fontId="51" fillId="0" borderId="101" xfId="0" applyNumberFormat="1" applyFont="1" applyFill="1" applyBorder="1" applyAlignment="1">
      <alignment vertical="center"/>
    </xf>
    <xf numFmtId="4" fontId="51" fillId="0" borderId="42" xfId="0" applyNumberFormat="1" applyFont="1" applyFill="1" applyBorder="1" applyAlignment="1">
      <alignment vertical="center"/>
    </xf>
    <xf numFmtId="4" fontId="34" fillId="0" borderId="15" xfId="0" applyNumberFormat="1" applyFont="1" applyFill="1" applyBorder="1" applyAlignment="1">
      <alignment vertical="center"/>
    </xf>
    <xf numFmtId="4" fontId="13" fillId="0" borderId="15" xfId="0" applyNumberFormat="1" applyFont="1" applyFill="1" applyBorder="1" applyAlignment="1">
      <alignment vertical="center"/>
    </xf>
    <xf numFmtId="0" fontId="2" fillId="2" borderId="104" xfId="0" applyNumberFormat="1" applyFont="1" applyFill="1" applyBorder="1" applyAlignment="1" applyProtection="1">
      <alignment horizontal="left" vertical="center" wrapText="1"/>
      <protection locked="0"/>
    </xf>
    <xf numFmtId="1" fontId="15" fillId="3" borderId="0" xfId="0" applyNumberFormat="1" applyFont="1" applyFill="1" applyBorder="1" applyAlignment="1">
      <alignment horizontal="center" vertical="center"/>
    </xf>
    <xf numFmtId="0" fontId="16" fillId="2" borderId="16" xfId="0"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0" fontId="14" fillId="2" borderId="0" xfId="0" applyFont="1" applyFill="1" applyAlignment="1">
      <alignment horizontal="left"/>
    </xf>
    <xf numFmtId="0" fontId="13" fillId="4" borderId="0" xfId="0" applyFont="1" applyFill="1" applyBorder="1" applyAlignment="1">
      <alignment horizontal="left" vertical="center"/>
    </xf>
    <xf numFmtId="1" fontId="15" fillId="3" borderId="0" xfId="0" applyNumberFormat="1" applyFont="1" applyFill="1" applyBorder="1" applyAlignment="1" applyProtection="1">
      <alignment horizontal="center" vertical="center"/>
    </xf>
    <xf numFmtId="0" fontId="24" fillId="2" borderId="12" xfId="0" applyFont="1" applyFill="1" applyBorder="1" applyAlignment="1" applyProtection="1">
      <alignment horizontal="left"/>
    </xf>
    <xf numFmtId="0" fontId="13" fillId="4" borderId="0" xfId="0" applyFont="1" applyFill="1" applyBorder="1" applyAlignment="1" applyProtection="1">
      <alignment horizontal="left" vertical="center" wrapText="1"/>
    </xf>
    <xf numFmtId="0" fontId="24" fillId="2" borderId="1" xfId="0" applyFont="1" applyFill="1" applyBorder="1" applyAlignment="1" applyProtection="1">
      <alignment horizontal="left" wrapText="1"/>
    </xf>
    <xf numFmtId="0" fontId="24" fillId="2" borderId="4" xfId="0" applyFont="1" applyFill="1" applyBorder="1" applyAlignment="1" applyProtection="1">
      <alignment horizontal="left"/>
      <protection locked="0"/>
    </xf>
    <xf numFmtId="0" fontId="24" fillId="2" borderId="1" xfId="0" applyFont="1" applyFill="1" applyBorder="1" applyAlignment="1" applyProtection="1">
      <alignment horizontal="right"/>
    </xf>
    <xf numFmtId="0" fontId="21" fillId="6" borderId="1" xfId="0" applyFont="1" applyFill="1" applyBorder="1" applyAlignment="1" applyProtection="1">
      <alignment horizontal="right"/>
    </xf>
    <xf numFmtId="0" fontId="6" fillId="2" borderId="66" xfId="0" applyFont="1" applyFill="1" applyBorder="1" applyAlignment="1" applyProtection="1">
      <alignment horizontal="left"/>
      <protection locked="0"/>
    </xf>
    <xf numFmtId="0" fontId="6" fillId="2" borderId="68" xfId="0" applyFont="1" applyFill="1" applyBorder="1" applyAlignment="1" applyProtection="1">
      <alignment horizontal="left"/>
      <protection locked="0"/>
    </xf>
    <xf numFmtId="0" fontId="13" fillId="3" borderId="16" xfId="0" applyNumberFormat="1" applyFont="1" applyFill="1" applyBorder="1" applyAlignment="1" applyProtection="1">
      <alignment horizontal="center" wrapText="1"/>
    </xf>
    <xf numFmtId="0" fontId="13" fillId="3" borderId="18" xfId="0" applyNumberFormat="1" applyFont="1" applyFill="1" applyBorder="1" applyAlignment="1" applyProtection="1">
      <alignment horizontal="center" wrapText="1"/>
    </xf>
    <xf numFmtId="0" fontId="2" fillId="2" borderId="63" xfId="0" applyFont="1" applyFill="1" applyBorder="1" applyAlignment="1" applyProtection="1">
      <alignment horizontal="left"/>
      <protection locked="0"/>
    </xf>
    <xf numFmtId="0" fontId="2" fillId="2" borderId="65" xfId="0" applyFont="1" applyFill="1" applyBorder="1" applyAlignment="1" applyProtection="1">
      <alignment horizontal="left"/>
      <protection locked="0"/>
    </xf>
    <xf numFmtId="0" fontId="2" fillId="2" borderId="66" xfId="0" applyFont="1" applyFill="1" applyBorder="1" applyAlignment="1" applyProtection="1">
      <alignment horizontal="left"/>
      <protection locked="0"/>
    </xf>
    <xf numFmtId="0" fontId="2" fillId="2" borderId="68" xfId="0" applyFont="1" applyFill="1" applyBorder="1" applyAlignment="1" applyProtection="1">
      <alignment horizontal="left"/>
      <protection locked="0"/>
    </xf>
    <xf numFmtId="0" fontId="6" fillId="2" borderId="185" xfId="0" applyFont="1" applyFill="1" applyBorder="1" applyAlignment="1" applyProtection="1">
      <alignment horizontal="left"/>
      <protection locked="0"/>
    </xf>
    <xf numFmtId="0" fontId="6" fillId="2" borderId="186" xfId="0" applyFont="1" applyFill="1" applyBorder="1" applyAlignment="1" applyProtection="1">
      <alignment horizontal="left"/>
      <protection locked="0"/>
    </xf>
    <xf numFmtId="0" fontId="24" fillId="2" borderId="12" xfId="0" applyFont="1" applyFill="1" applyBorder="1" applyAlignment="1">
      <alignment horizontal="left"/>
    </xf>
    <xf numFmtId="0" fontId="13" fillId="4" borderId="0" xfId="0" applyFont="1" applyFill="1" applyBorder="1" applyAlignment="1">
      <alignment horizontal="left" vertical="center" wrapText="1"/>
    </xf>
    <xf numFmtId="4" fontId="25" fillId="3" borderId="57" xfId="0" applyNumberFormat="1" applyFont="1" applyFill="1" applyBorder="1" applyAlignment="1" applyProtection="1">
      <alignment horizontal="center" vertical="center"/>
    </xf>
    <xf numFmtId="4" fontId="25" fillId="3" borderId="58" xfId="0" applyNumberFormat="1" applyFont="1" applyFill="1" applyBorder="1" applyAlignment="1" applyProtection="1">
      <alignment horizontal="center" vertical="center"/>
    </xf>
    <xf numFmtId="4" fontId="25" fillId="3" borderId="59" xfId="0" applyNumberFormat="1" applyFont="1" applyFill="1" applyBorder="1" applyAlignment="1" applyProtection="1">
      <alignment horizontal="center" vertical="center"/>
    </xf>
    <xf numFmtId="4" fontId="25" fillId="3" borderId="62" xfId="0" applyNumberFormat="1" applyFont="1" applyFill="1" applyBorder="1" applyAlignment="1" applyProtection="1">
      <alignment horizontal="center" vertical="center"/>
    </xf>
    <xf numFmtId="4" fontId="25" fillId="3" borderId="20" xfId="0" applyNumberFormat="1" applyFont="1" applyFill="1" applyBorder="1" applyAlignment="1" applyProtection="1">
      <alignment horizontal="center" vertical="center"/>
    </xf>
    <xf numFmtId="4" fontId="25" fillId="3" borderId="19" xfId="0" applyNumberFormat="1"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4" fontId="25" fillId="3" borderId="76" xfId="0" applyNumberFormat="1" applyFont="1" applyFill="1" applyBorder="1" applyAlignment="1" applyProtection="1">
      <alignment horizontal="center" vertical="center"/>
    </xf>
    <xf numFmtId="4" fontId="25" fillId="3" borderId="80" xfId="0" applyNumberFormat="1" applyFont="1" applyFill="1" applyBorder="1" applyAlignment="1" applyProtection="1">
      <alignment horizontal="center" vertical="center"/>
    </xf>
    <xf numFmtId="0" fontId="16" fillId="3" borderId="57" xfId="0" applyFont="1" applyFill="1" applyBorder="1" applyAlignment="1" applyProtection="1">
      <alignment vertical="center" wrapText="1"/>
    </xf>
    <xf numFmtId="0" fontId="0" fillId="0" borderId="58" xfId="0" applyBorder="1" applyAlignment="1" applyProtection="1">
      <alignment vertical="center" wrapText="1"/>
    </xf>
    <xf numFmtId="0" fontId="0" fillId="0" borderId="59" xfId="0" applyBorder="1" applyAlignment="1" applyProtection="1">
      <alignment vertical="center" wrapText="1"/>
    </xf>
    <xf numFmtId="0" fontId="0" fillId="0" borderId="62" xfId="0" applyBorder="1" applyAlignment="1" applyProtection="1">
      <alignment vertical="center" wrapText="1"/>
    </xf>
    <xf numFmtId="0" fontId="0" fillId="0" borderId="20" xfId="0" applyBorder="1" applyAlignment="1" applyProtection="1">
      <alignment vertical="center" wrapText="1"/>
    </xf>
    <xf numFmtId="0" fontId="0" fillId="0" borderId="19" xfId="0" applyBorder="1" applyAlignment="1" applyProtection="1">
      <alignment vertical="center" wrapText="1"/>
    </xf>
    <xf numFmtId="0" fontId="6" fillId="2" borderId="63" xfId="0" applyFont="1" applyFill="1" applyBorder="1" applyAlignment="1" applyProtection="1">
      <alignment horizontal="left" vertical="center"/>
    </xf>
    <xf numFmtId="0" fontId="6" fillId="2" borderId="64" xfId="0" applyFont="1" applyFill="1" applyBorder="1" applyAlignment="1" applyProtection="1">
      <alignment horizontal="left" vertical="center"/>
    </xf>
    <xf numFmtId="0" fontId="6" fillId="2" borderId="65" xfId="0" applyFont="1" applyFill="1" applyBorder="1" applyAlignment="1" applyProtection="1">
      <alignment horizontal="left" vertical="center"/>
    </xf>
    <xf numFmtId="0" fontId="6" fillId="2" borderId="66" xfId="0" applyFont="1" applyFill="1" applyBorder="1" applyAlignment="1" applyProtection="1">
      <alignment horizontal="left" vertical="center"/>
    </xf>
    <xf numFmtId="0" fontId="6" fillId="2" borderId="67" xfId="0" applyFont="1" applyFill="1" applyBorder="1" applyAlignment="1" applyProtection="1">
      <alignment horizontal="left" vertical="center"/>
    </xf>
    <xf numFmtId="0" fontId="6" fillId="2" borderId="68" xfId="0" applyFont="1" applyFill="1" applyBorder="1" applyAlignment="1" applyProtection="1">
      <alignment horizontal="left" vertical="center"/>
    </xf>
    <xf numFmtId="4" fontId="19" fillId="3" borderId="31" xfId="0" applyNumberFormat="1" applyFont="1" applyFill="1" applyBorder="1" applyAlignment="1">
      <alignment horizontal="center" vertical="center"/>
    </xf>
    <xf numFmtId="4" fontId="19" fillId="3" borderId="32" xfId="0" applyNumberFormat="1" applyFont="1" applyFill="1" applyBorder="1" applyAlignment="1">
      <alignment horizontal="center" vertical="center"/>
    </xf>
    <xf numFmtId="4" fontId="19" fillId="3" borderId="33" xfId="0" applyNumberFormat="1"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9" fillId="3" borderId="57" xfId="0" applyFont="1" applyFill="1" applyBorder="1" applyAlignment="1">
      <alignment horizontal="center" vertical="center"/>
    </xf>
    <xf numFmtId="0" fontId="9" fillId="3" borderId="59" xfId="0" applyFont="1" applyFill="1" applyBorder="1" applyAlignment="1">
      <alignment horizontal="center" vertical="center"/>
    </xf>
    <xf numFmtId="0" fontId="33" fillId="3" borderId="76" xfId="132" applyFont="1" applyFill="1" applyBorder="1" applyAlignment="1">
      <alignment horizontal="center" wrapText="1"/>
    </xf>
    <xf numFmtId="0" fontId="33" fillId="3" borderId="80" xfId="132" applyFont="1" applyFill="1" applyBorder="1" applyAlignment="1">
      <alignment horizontal="center" wrapText="1"/>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9" fillId="2" borderId="66" xfId="0" applyFont="1" applyFill="1" applyBorder="1" applyAlignment="1" applyProtection="1">
      <alignment horizontal="left" vertical="center"/>
      <protection locked="0"/>
    </xf>
    <xf numFmtId="0" fontId="9" fillId="2" borderId="68" xfId="0" applyFont="1" applyFill="1" applyBorder="1" applyAlignment="1" applyProtection="1">
      <alignment horizontal="left" vertical="center"/>
      <protection locked="0"/>
    </xf>
    <xf numFmtId="0" fontId="9" fillId="2" borderId="69" xfId="0" applyFont="1" applyFill="1" applyBorder="1" applyAlignment="1" applyProtection="1">
      <alignment horizontal="left" vertical="center"/>
      <protection locked="0"/>
    </xf>
    <xf numFmtId="0" fontId="9" fillId="2" borderId="71" xfId="0" applyFont="1" applyFill="1" applyBorder="1" applyAlignment="1" applyProtection="1">
      <alignment horizontal="left" vertical="center"/>
      <protection locked="0"/>
    </xf>
    <xf numFmtId="0" fontId="2" fillId="2" borderId="66" xfId="0" applyFont="1" applyFill="1" applyBorder="1" applyAlignment="1" applyProtection="1">
      <alignment horizontal="left" vertical="center"/>
      <protection locked="0"/>
    </xf>
    <xf numFmtId="0" fontId="9" fillId="2" borderId="156" xfId="0" applyFont="1" applyFill="1" applyBorder="1" applyAlignment="1" applyProtection="1">
      <alignment horizontal="left" vertical="center"/>
      <protection locked="0"/>
    </xf>
    <xf numFmtId="0" fontId="9" fillId="2" borderId="157" xfId="0" applyFont="1" applyFill="1" applyBorder="1" applyAlignment="1" applyProtection="1">
      <alignment horizontal="left" vertical="center"/>
      <protection locked="0"/>
    </xf>
    <xf numFmtId="0" fontId="9" fillId="2" borderId="0" xfId="0" applyFont="1" applyFill="1" applyBorder="1" applyAlignment="1">
      <alignment horizontal="center" vertical="center"/>
    </xf>
    <xf numFmtId="0" fontId="13" fillId="2" borderId="74" xfId="0" applyFont="1" applyFill="1" applyBorder="1" applyAlignment="1">
      <alignment horizontal="center"/>
    </xf>
    <xf numFmtId="0" fontId="13" fillId="2" borderId="12" xfId="0" applyFont="1" applyFill="1" applyBorder="1" applyAlignment="1">
      <alignment horizontal="center"/>
    </xf>
    <xf numFmtId="0" fontId="2" fillId="2" borderId="156" xfId="0" applyFont="1" applyFill="1" applyBorder="1" applyAlignment="1" applyProtection="1">
      <alignment horizontal="left" vertical="center"/>
      <protection locked="0"/>
    </xf>
    <xf numFmtId="0" fontId="13" fillId="3" borderId="62" xfId="0" applyFont="1" applyFill="1" applyBorder="1" applyAlignment="1">
      <alignment horizontal="center" vertical="center"/>
    </xf>
    <xf numFmtId="0" fontId="13" fillId="3" borderId="19" xfId="0" applyFont="1" applyFill="1" applyBorder="1" applyAlignment="1">
      <alignment horizontal="center" vertical="center"/>
    </xf>
    <xf numFmtId="0" fontId="34" fillId="3" borderId="16" xfId="132" applyFont="1" applyFill="1" applyBorder="1" applyAlignment="1">
      <alignment horizontal="center" vertical="center" wrapText="1"/>
    </xf>
    <xf numFmtId="0" fontId="34" fillId="3" borderId="18" xfId="132" applyFont="1" applyFill="1" applyBorder="1" applyAlignment="1">
      <alignment horizontal="center" vertical="center" wrapText="1"/>
    </xf>
    <xf numFmtId="0" fontId="13" fillId="3" borderId="57" xfId="0" applyFont="1" applyFill="1" applyBorder="1" applyAlignment="1">
      <alignment horizontal="center" vertical="center"/>
    </xf>
    <xf numFmtId="0" fontId="13" fillId="3" borderId="59" xfId="0" applyFont="1" applyFill="1" applyBorder="1" applyAlignment="1">
      <alignment horizontal="center" vertical="center"/>
    </xf>
    <xf numFmtId="0" fontId="13" fillId="2" borderId="0" xfId="0" applyFont="1" applyFill="1" applyBorder="1" applyAlignment="1">
      <alignment horizontal="center"/>
    </xf>
    <xf numFmtId="0" fontId="9" fillId="2" borderId="63" xfId="0" applyFont="1" applyFill="1" applyBorder="1" applyAlignment="1">
      <alignment horizontal="left" vertical="center"/>
    </xf>
    <xf numFmtId="0" fontId="9" fillId="2" borderId="64" xfId="0" applyFont="1" applyFill="1" applyBorder="1" applyAlignment="1">
      <alignment horizontal="left" vertical="center"/>
    </xf>
    <xf numFmtId="0" fontId="9" fillId="2" borderId="65" xfId="0" applyFont="1" applyFill="1" applyBorder="1" applyAlignment="1">
      <alignment horizontal="left" vertical="center"/>
    </xf>
    <xf numFmtId="0" fontId="9" fillId="2" borderId="66" xfId="0" applyFont="1" applyFill="1" applyBorder="1" applyAlignment="1">
      <alignment horizontal="left" vertical="center"/>
    </xf>
    <xf numFmtId="0" fontId="9" fillId="2" borderId="67" xfId="0" applyFont="1" applyFill="1" applyBorder="1" applyAlignment="1">
      <alignment horizontal="left" vertical="center"/>
    </xf>
    <xf numFmtId="0" fontId="9" fillId="2" borderId="68" xfId="0" applyFont="1" applyFill="1" applyBorder="1" applyAlignment="1">
      <alignment horizontal="left" vertical="center"/>
    </xf>
    <xf numFmtId="0" fontId="13" fillId="2" borderId="73" xfId="0" applyFont="1" applyFill="1" applyBorder="1" applyAlignment="1">
      <alignment horizontal="left" vertical="center"/>
    </xf>
    <xf numFmtId="0" fontId="13" fillId="2" borderId="74" xfId="0" applyFont="1" applyFill="1" applyBorder="1" applyAlignment="1">
      <alignment horizontal="left" vertical="center"/>
    </xf>
    <xf numFmtId="0" fontId="13" fillId="2" borderId="75" xfId="0" applyFont="1" applyFill="1" applyBorder="1" applyAlignment="1">
      <alignment horizontal="left" vertical="center"/>
    </xf>
    <xf numFmtId="0" fontId="13" fillId="2" borderId="16"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18" xfId="0" applyFont="1" applyFill="1" applyBorder="1" applyAlignment="1">
      <alignment horizontal="left" vertical="center"/>
    </xf>
    <xf numFmtId="0" fontId="13" fillId="2" borderId="73" xfId="0" applyFont="1" applyFill="1" applyBorder="1" applyAlignment="1">
      <alignment horizontal="center" vertical="center"/>
    </xf>
    <xf numFmtId="0" fontId="13" fillId="2" borderId="74" xfId="0" applyFont="1" applyFill="1" applyBorder="1" applyAlignment="1">
      <alignment horizontal="center" vertical="center"/>
    </xf>
    <xf numFmtId="0" fontId="13" fillId="2" borderId="75" xfId="0" applyFont="1" applyFill="1" applyBorder="1" applyAlignment="1">
      <alignment horizontal="center" vertical="center"/>
    </xf>
    <xf numFmtId="0" fontId="34" fillId="3" borderId="16" xfId="132" applyFont="1" applyFill="1" applyBorder="1" applyAlignment="1">
      <alignment horizontal="center" wrapText="1"/>
    </xf>
    <xf numFmtId="0" fontId="34" fillId="3" borderId="17" xfId="132" applyFont="1" applyFill="1" applyBorder="1" applyAlignment="1">
      <alignment horizontal="center" wrapText="1"/>
    </xf>
    <xf numFmtId="0" fontId="34" fillId="3" borderId="18" xfId="132" applyFont="1" applyFill="1" applyBorder="1" applyAlignment="1">
      <alignment horizontal="center" wrapText="1"/>
    </xf>
    <xf numFmtId="0" fontId="13" fillId="3" borderId="62" xfId="0" applyFont="1" applyFill="1" applyBorder="1" applyAlignment="1">
      <alignment horizontal="center"/>
    </xf>
    <xf numFmtId="0" fontId="13" fillId="3" borderId="20" xfId="0" applyFont="1" applyFill="1" applyBorder="1" applyAlignment="1">
      <alignment horizontal="center"/>
    </xf>
    <xf numFmtId="0" fontId="34" fillId="3" borderId="57" xfId="132" applyFont="1" applyFill="1" applyBorder="1" applyAlignment="1">
      <alignment horizontal="center" wrapText="1"/>
    </xf>
    <xf numFmtId="0" fontId="34" fillId="3" borderId="58" xfId="132" applyFont="1" applyFill="1" applyBorder="1" applyAlignment="1">
      <alignment horizontal="center" wrapText="1"/>
    </xf>
    <xf numFmtId="0" fontId="34" fillId="3" borderId="59" xfId="132" applyFont="1" applyFill="1" applyBorder="1" applyAlignment="1">
      <alignment horizontal="center" wrapText="1"/>
    </xf>
    <xf numFmtId="0" fontId="13" fillId="3" borderId="19" xfId="0" applyFont="1" applyFill="1" applyBorder="1" applyAlignment="1">
      <alignment horizontal="center"/>
    </xf>
    <xf numFmtId="0" fontId="13" fillId="2" borderId="73" xfId="0" applyFont="1" applyFill="1" applyBorder="1" applyAlignment="1">
      <alignment horizontal="left"/>
    </xf>
    <xf numFmtId="0" fontId="13" fillId="2" borderId="75" xfId="0" applyFont="1" applyFill="1" applyBorder="1" applyAlignment="1">
      <alignment horizontal="left"/>
    </xf>
    <xf numFmtId="0" fontId="13" fillId="3" borderId="60" xfId="0" applyFont="1" applyFill="1" applyBorder="1" applyAlignment="1">
      <alignment horizontal="center" vertical="center"/>
    </xf>
    <xf numFmtId="0" fontId="13" fillId="3" borderId="61" xfId="0" applyFont="1" applyFill="1" applyBorder="1" applyAlignment="1">
      <alignment horizontal="center" vertical="center"/>
    </xf>
    <xf numFmtId="0" fontId="0" fillId="0" borderId="18" xfId="0" applyBorder="1" applyAlignment="1">
      <alignment horizontal="center" vertical="center"/>
    </xf>
    <xf numFmtId="0" fontId="13" fillId="2" borderId="74" xfId="0" applyFont="1" applyFill="1" applyBorder="1" applyAlignment="1">
      <alignment horizontal="left"/>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18" xfId="0" applyFont="1" applyFill="1" applyBorder="1" applyAlignment="1">
      <alignment horizontal="center" vertical="center"/>
    </xf>
    <xf numFmtId="4" fontId="13" fillId="2" borderId="73" xfId="0" applyNumberFormat="1" applyFont="1" applyFill="1" applyBorder="1" applyAlignment="1">
      <alignment horizontal="left"/>
    </xf>
    <xf numFmtId="4" fontId="13" fillId="2" borderId="75" xfId="0" applyNumberFormat="1" applyFont="1" applyFill="1" applyBorder="1" applyAlignment="1">
      <alignment horizontal="left"/>
    </xf>
    <xf numFmtId="4" fontId="9" fillId="2" borderId="99" xfId="0" applyNumberFormat="1" applyFont="1" applyFill="1" applyBorder="1" applyAlignment="1" applyProtection="1">
      <alignment horizontal="left" vertical="center"/>
      <protection locked="0"/>
    </xf>
    <xf numFmtId="4" fontId="9" fillId="2" borderId="104" xfId="0" applyNumberFormat="1" applyFont="1" applyFill="1" applyBorder="1" applyAlignment="1" applyProtection="1">
      <alignment horizontal="left" vertical="center"/>
      <protection locked="0"/>
    </xf>
    <xf numFmtId="4" fontId="9" fillId="2" borderId="66" xfId="0" applyNumberFormat="1" applyFont="1" applyFill="1" applyBorder="1" applyAlignment="1" applyProtection="1">
      <alignment horizontal="left" vertical="center"/>
      <protection locked="0"/>
    </xf>
    <xf numFmtId="4" fontId="9" fillId="2" borderId="68" xfId="0" applyNumberFormat="1" applyFont="1" applyFill="1" applyBorder="1" applyAlignment="1" applyProtection="1">
      <alignment horizontal="left" vertical="center"/>
      <protection locked="0"/>
    </xf>
    <xf numFmtId="4" fontId="9" fillId="2" borderId="69" xfId="0" applyNumberFormat="1" applyFont="1" applyFill="1" applyBorder="1" applyAlignment="1" applyProtection="1">
      <alignment horizontal="left" vertical="center"/>
      <protection locked="0"/>
    </xf>
    <xf numFmtId="4" fontId="9" fillId="2" borderId="71" xfId="0" applyNumberFormat="1" applyFont="1" applyFill="1" applyBorder="1" applyAlignment="1" applyProtection="1">
      <alignment horizontal="left" vertical="center"/>
      <protection locked="0"/>
    </xf>
    <xf numFmtId="0" fontId="13" fillId="2" borderId="16" xfId="0" applyFont="1" applyFill="1" applyBorder="1" applyAlignment="1">
      <alignment horizontal="left"/>
    </xf>
    <xf numFmtId="0" fontId="13" fillId="2" borderId="18" xfId="0" applyFont="1" applyFill="1" applyBorder="1" applyAlignment="1">
      <alignment horizontal="left"/>
    </xf>
    <xf numFmtId="0" fontId="43" fillId="6" borderId="120" xfId="0" applyFont="1" applyFill="1" applyBorder="1" applyAlignment="1">
      <alignment horizontal="left"/>
    </xf>
    <xf numFmtId="0" fontId="43" fillId="6" borderId="121" xfId="0" applyFont="1" applyFill="1" applyBorder="1" applyAlignment="1">
      <alignment horizontal="left"/>
    </xf>
    <xf numFmtId="0" fontId="42" fillId="6" borderId="120" xfId="0" applyFont="1" applyFill="1" applyBorder="1" applyAlignment="1">
      <alignment horizontal="left"/>
    </xf>
    <xf numFmtId="0" fontId="42" fillId="6" borderId="121" xfId="0" applyFont="1" applyFill="1" applyBorder="1" applyAlignment="1">
      <alignment horizontal="left"/>
    </xf>
  </cellXfs>
  <cellStyles count="709">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5" builtinId="8" hidden="1"/>
    <cellStyle name="Hipervínculo" xfId="487" builtinId="8" hidden="1"/>
    <cellStyle name="Hipervínculo" xfId="489" builtinId="8" hidden="1"/>
    <cellStyle name="Hipervínculo" xfId="491" builtinId="8" hidden="1"/>
    <cellStyle name="Hipervínculo" xfId="493" builtinId="8" hidden="1"/>
    <cellStyle name="Hipervínculo" xfId="495" builtinId="8" hidden="1"/>
    <cellStyle name="Hipervínculo" xfId="497" builtinId="8" hidden="1"/>
    <cellStyle name="Hipervínculo" xfId="499" builtinId="8" hidden="1"/>
    <cellStyle name="Hipervínculo" xfId="501" builtinId="8" hidden="1"/>
    <cellStyle name="Hipervínculo" xfId="503" builtinId="8" hidden="1"/>
    <cellStyle name="Hipervínculo" xfId="505" builtinId="8" hidden="1"/>
    <cellStyle name="Hipervínculo" xfId="507" builtinId="8" hidden="1"/>
    <cellStyle name="Hipervínculo" xfId="509" builtinId="8" hidden="1"/>
    <cellStyle name="Hipervínculo" xfId="511" builtinId="8" hidden="1"/>
    <cellStyle name="Hipervínculo" xfId="513" builtinId="8" hidden="1"/>
    <cellStyle name="Hipervínculo" xfId="515" builtinId="8" hidden="1"/>
    <cellStyle name="Hipervínculo" xfId="517" builtinId="8" hidden="1"/>
    <cellStyle name="Hipervínculo" xfId="519" builtinId="8" hidden="1"/>
    <cellStyle name="Hipervínculo" xfId="521" builtinId="8" hidden="1"/>
    <cellStyle name="Hipervínculo" xfId="523" builtinId="8" hidden="1"/>
    <cellStyle name="Hipervínculo" xfId="525" builtinId="8" hidden="1"/>
    <cellStyle name="Hipervínculo" xfId="527" builtinId="8" hidden="1"/>
    <cellStyle name="Hipervínculo" xfId="529" builtinId="8" hidden="1"/>
    <cellStyle name="Hipervínculo" xfId="531" builtinId="8" hidden="1"/>
    <cellStyle name="Hipervínculo" xfId="533" builtinId="8" hidden="1"/>
    <cellStyle name="Hipervínculo" xfId="535" builtinId="8" hidden="1"/>
    <cellStyle name="Hipervínculo" xfId="537" builtinId="8" hidden="1"/>
    <cellStyle name="Hipervínculo" xfId="539" builtinId="8" hidden="1"/>
    <cellStyle name="Hipervínculo" xfId="541" builtinId="8" hidden="1"/>
    <cellStyle name="Hipervínculo" xfId="543" builtinId="8" hidden="1"/>
    <cellStyle name="Hipervínculo" xfId="545" builtinId="8" hidden="1"/>
    <cellStyle name="Hipervínculo" xfId="547" builtinId="8" hidden="1"/>
    <cellStyle name="Hipervínculo" xfId="549" builtinId="8" hidden="1"/>
    <cellStyle name="Hipervínculo" xfId="551" builtinId="8" hidden="1"/>
    <cellStyle name="Hipervínculo" xfId="553" builtinId="8" hidden="1"/>
    <cellStyle name="Hipervínculo" xfId="555" builtinId="8" hidden="1"/>
    <cellStyle name="Hipervínculo" xfId="557" builtinId="8" hidden="1"/>
    <cellStyle name="Hipervínculo" xfId="559" builtinId="8" hidden="1"/>
    <cellStyle name="Hipervínculo" xfId="561" builtinId="8" hidden="1"/>
    <cellStyle name="Hipervínculo" xfId="563" builtinId="8" hidden="1"/>
    <cellStyle name="Hipervínculo" xfId="565" builtinId="8" hidden="1"/>
    <cellStyle name="Hipervínculo" xfId="567" builtinId="8" hidden="1"/>
    <cellStyle name="Hipervínculo" xfId="569" builtinId="8" hidden="1"/>
    <cellStyle name="Hipervínculo" xfId="571" builtinId="8" hidden="1"/>
    <cellStyle name="Hipervínculo" xfId="573" builtinId="8" hidden="1"/>
    <cellStyle name="Hipervínculo" xfId="575" builtinId="8" hidden="1"/>
    <cellStyle name="Hipervínculo" xfId="577" builtinId="8" hidden="1"/>
    <cellStyle name="Hipervínculo" xfId="579" builtinId="8" hidden="1"/>
    <cellStyle name="Hipervínculo" xfId="581" builtinId="8" hidden="1"/>
    <cellStyle name="Hipervínculo" xfId="583" builtinId="8" hidden="1"/>
    <cellStyle name="Hipervínculo" xfId="585" builtinId="8" hidden="1"/>
    <cellStyle name="Hipervínculo" xfId="587" builtinId="8" hidden="1"/>
    <cellStyle name="Hipervínculo" xfId="589" builtinId="8" hidden="1"/>
    <cellStyle name="Hipervínculo" xfId="591" builtinId="8" hidden="1"/>
    <cellStyle name="Hipervínculo" xfId="593" builtinId="8" hidden="1"/>
    <cellStyle name="Hipervínculo" xfId="595" builtinId="8" hidden="1"/>
    <cellStyle name="Hipervínculo" xfId="597" builtinId="8" hidden="1"/>
    <cellStyle name="Hipervínculo" xfId="599" builtinId="8" hidden="1"/>
    <cellStyle name="Hipervínculo" xfId="601" builtinId="8" hidden="1"/>
    <cellStyle name="Hipervínculo" xfId="603" builtinId="8" hidden="1"/>
    <cellStyle name="Hipervínculo" xfId="605" builtinId="8" hidden="1"/>
    <cellStyle name="Hipervínculo" xfId="607" builtinId="8" hidden="1"/>
    <cellStyle name="Hipervínculo" xfId="609" builtinId="8" hidden="1"/>
    <cellStyle name="Hipervínculo" xfId="611" builtinId="8" hidden="1"/>
    <cellStyle name="Hipervínculo" xfId="613" builtinId="8" hidden="1"/>
    <cellStyle name="Hipervínculo" xfId="615" builtinId="8" hidden="1"/>
    <cellStyle name="Hipervínculo" xfId="617" builtinId="8" hidden="1"/>
    <cellStyle name="Hipervínculo" xfId="619" builtinId="8" hidden="1"/>
    <cellStyle name="Hipervínculo" xfId="621" builtinId="8" hidden="1"/>
    <cellStyle name="Hipervínculo" xfId="623" builtinId="8" hidden="1"/>
    <cellStyle name="Hipervínculo" xfId="625" builtinId="8" hidden="1"/>
    <cellStyle name="Hipervínculo" xfId="627" builtinId="8" hidden="1"/>
    <cellStyle name="Hipervínculo" xfId="629" builtinId="8" hidden="1"/>
    <cellStyle name="Hipervínculo" xfId="631" builtinId="8" hidden="1"/>
    <cellStyle name="Hipervínculo" xfId="633" builtinId="8" hidden="1"/>
    <cellStyle name="Hipervínculo" xfId="635" builtinId="8" hidden="1"/>
    <cellStyle name="Hipervínculo" xfId="637" builtinId="8" hidden="1"/>
    <cellStyle name="Hipervínculo" xfId="639" builtinId="8" hidden="1"/>
    <cellStyle name="Hipervínculo" xfId="641" builtinId="8" hidden="1"/>
    <cellStyle name="Hipervínculo" xfId="643" builtinId="8" hidden="1"/>
    <cellStyle name="Hipervínculo" xfId="645" builtinId="8" hidden="1"/>
    <cellStyle name="Hipervínculo" xfId="647" builtinId="8" hidden="1"/>
    <cellStyle name="Hipervínculo" xfId="649" builtinId="8" hidden="1"/>
    <cellStyle name="Hipervínculo" xfId="651" builtinId="8" hidden="1"/>
    <cellStyle name="Hipervínculo" xfId="653" builtinId="8" hidden="1"/>
    <cellStyle name="Hipervínculo" xfId="655" builtinId="8" hidden="1"/>
    <cellStyle name="Hipervínculo" xfId="657" builtinId="8" hidden="1"/>
    <cellStyle name="Hipervínculo" xfId="659" builtinId="8" hidden="1"/>
    <cellStyle name="Hipervínculo" xfId="661" builtinId="8" hidden="1"/>
    <cellStyle name="Hipervínculo" xfId="663" builtinId="8" hidden="1"/>
    <cellStyle name="Hipervínculo" xfId="665" builtinId="8" hidden="1"/>
    <cellStyle name="Hipervínculo" xfId="667" builtinId="8" hidden="1"/>
    <cellStyle name="Hipervínculo" xfId="669" builtinId="8" hidden="1"/>
    <cellStyle name="Hipervínculo" xfId="671" builtinId="8" hidden="1"/>
    <cellStyle name="Hipervínculo" xfId="673" builtinId="8" hidden="1"/>
    <cellStyle name="Hipervínculo" xfId="675" builtinId="8" hidden="1"/>
    <cellStyle name="Hipervínculo" xfId="677" builtinId="8" hidden="1"/>
    <cellStyle name="Hipervínculo" xfId="679" builtinId="8" hidden="1"/>
    <cellStyle name="Hipervínculo" xfId="681" builtinId="8" hidden="1"/>
    <cellStyle name="Hipervínculo" xfId="683" builtinId="8" hidden="1"/>
    <cellStyle name="Hipervínculo" xfId="685" builtinId="8" hidden="1"/>
    <cellStyle name="Hipervínculo" xfId="687" builtinId="8" hidden="1"/>
    <cellStyle name="Hipervínculo" xfId="689" builtinId="8" hidden="1"/>
    <cellStyle name="Hipervínculo" xfId="691" builtinId="8" hidden="1"/>
    <cellStyle name="Hipervínculo" xfId="693" builtinId="8" hidden="1"/>
    <cellStyle name="Hipervínculo" xfId="695" builtinId="8" hidden="1"/>
    <cellStyle name="Hipervínculo" xfId="697" builtinId="8" hidden="1"/>
    <cellStyle name="Hipervínculo" xfId="699" builtinId="8" hidden="1"/>
    <cellStyle name="Hipervínculo" xfId="701" builtinId="8" hidden="1"/>
    <cellStyle name="Hipervínculo" xfId="703" builtinId="8" hidden="1"/>
    <cellStyle name="Hipervínculo" xfId="705" builtinId="8" hidden="1"/>
    <cellStyle name="Hipervínculo" xfId="70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6" builtinId="9" hidden="1"/>
    <cellStyle name="Hipervínculo visitado" xfId="488" builtinId="9" hidden="1"/>
    <cellStyle name="Hipervínculo visitado" xfId="490" builtinId="9" hidden="1"/>
    <cellStyle name="Hipervínculo visitado" xfId="492" builtinId="9" hidden="1"/>
    <cellStyle name="Hipervínculo visitado" xfId="494" builtinId="9" hidden="1"/>
    <cellStyle name="Hipervínculo visitado" xfId="496" builtinId="9" hidden="1"/>
    <cellStyle name="Hipervínculo visitado" xfId="498" builtinId="9" hidden="1"/>
    <cellStyle name="Hipervínculo visitado" xfId="500" builtinId="9" hidden="1"/>
    <cellStyle name="Hipervínculo visitado" xfId="502" builtinId="9" hidden="1"/>
    <cellStyle name="Hipervínculo visitado" xfId="504" builtinId="9" hidden="1"/>
    <cellStyle name="Hipervínculo visitado" xfId="506" builtinId="9" hidden="1"/>
    <cellStyle name="Hipervínculo visitado" xfId="508" builtinId="9" hidden="1"/>
    <cellStyle name="Hipervínculo visitado" xfId="510" builtinId="9" hidden="1"/>
    <cellStyle name="Hipervínculo visitado" xfId="512" builtinId="9" hidden="1"/>
    <cellStyle name="Hipervínculo visitado" xfId="514" builtinId="9" hidden="1"/>
    <cellStyle name="Hipervínculo visitado" xfId="516" builtinId="9" hidden="1"/>
    <cellStyle name="Hipervínculo visitado" xfId="518" builtinId="9" hidden="1"/>
    <cellStyle name="Hipervínculo visitado" xfId="520" builtinId="9" hidden="1"/>
    <cellStyle name="Hipervínculo visitado" xfId="522" builtinId="9" hidden="1"/>
    <cellStyle name="Hipervínculo visitado" xfId="524" builtinId="9" hidden="1"/>
    <cellStyle name="Hipervínculo visitado" xfId="526" builtinId="9" hidden="1"/>
    <cellStyle name="Hipervínculo visitado" xfId="528" builtinId="9" hidden="1"/>
    <cellStyle name="Hipervínculo visitado" xfId="530" builtinId="9" hidden="1"/>
    <cellStyle name="Hipervínculo visitado" xfId="532" builtinId="9" hidden="1"/>
    <cellStyle name="Hipervínculo visitado" xfId="534" builtinId="9" hidden="1"/>
    <cellStyle name="Hipervínculo visitado" xfId="536" builtinId="9" hidden="1"/>
    <cellStyle name="Hipervínculo visitado" xfId="538" builtinId="9" hidden="1"/>
    <cellStyle name="Hipervínculo visitado" xfId="540" builtinId="9" hidden="1"/>
    <cellStyle name="Hipervínculo visitado" xfId="542" builtinId="9" hidden="1"/>
    <cellStyle name="Hipervínculo visitado" xfId="544" builtinId="9" hidden="1"/>
    <cellStyle name="Hipervínculo visitado" xfId="546" builtinId="9" hidden="1"/>
    <cellStyle name="Hipervínculo visitado" xfId="548" builtinId="9" hidden="1"/>
    <cellStyle name="Hipervínculo visitado" xfId="550" builtinId="9" hidden="1"/>
    <cellStyle name="Hipervínculo visitado" xfId="552" builtinId="9" hidden="1"/>
    <cellStyle name="Hipervínculo visitado" xfId="554" builtinId="9" hidden="1"/>
    <cellStyle name="Hipervínculo visitado" xfId="556" builtinId="9" hidden="1"/>
    <cellStyle name="Hipervínculo visitado" xfId="558" builtinId="9" hidden="1"/>
    <cellStyle name="Hipervínculo visitado" xfId="560" builtinId="9" hidden="1"/>
    <cellStyle name="Hipervínculo visitado" xfId="562" builtinId="9" hidden="1"/>
    <cellStyle name="Hipervínculo visitado" xfId="564" builtinId="9" hidden="1"/>
    <cellStyle name="Hipervínculo visitado" xfId="566" builtinId="9" hidden="1"/>
    <cellStyle name="Hipervínculo visitado" xfId="568" builtinId="9" hidden="1"/>
    <cellStyle name="Hipervínculo visitado" xfId="570" builtinId="9" hidden="1"/>
    <cellStyle name="Hipervínculo visitado" xfId="572" builtinId="9" hidden="1"/>
    <cellStyle name="Hipervínculo visitado" xfId="574" builtinId="9" hidden="1"/>
    <cellStyle name="Hipervínculo visitado" xfId="576" builtinId="9" hidden="1"/>
    <cellStyle name="Hipervínculo visitado" xfId="578" builtinId="9" hidden="1"/>
    <cellStyle name="Hipervínculo visitado" xfId="580" builtinId="9" hidden="1"/>
    <cellStyle name="Hipervínculo visitado" xfId="582" builtinId="9" hidden="1"/>
    <cellStyle name="Hipervínculo visitado" xfId="584" builtinId="9" hidden="1"/>
    <cellStyle name="Hipervínculo visitado" xfId="586" builtinId="9" hidden="1"/>
    <cellStyle name="Hipervínculo visitado" xfId="588" builtinId="9" hidden="1"/>
    <cellStyle name="Hipervínculo visitado" xfId="590" builtinId="9" hidden="1"/>
    <cellStyle name="Hipervínculo visitado" xfId="592" builtinId="9" hidden="1"/>
    <cellStyle name="Hipervínculo visitado" xfId="594" builtinId="9" hidden="1"/>
    <cellStyle name="Hipervínculo visitado" xfId="596" builtinId="9" hidden="1"/>
    <cellStyle name="Hipervínculo visitado" xfId="598" builtinId="9" hidden="1"/>
    <cellStyle name="Hipervínculo visitado" xfId="600" builtinId="9" hidden="1"/>
    <cellStyle name="Hipervínculo visitado" xfId="602" builtinId="9" hidden="1"/>
    <cellStyle name="Hipervínculo visitado" xfId="604" builtinId="9" hidden="1"/>
    <cellStyle name="Hipervínculo visitado" xfId="606" builtinId="9" hidden="1"/>
    <cellStyle name="Hipervínculo visitado" xfId="608" builtinId="9" hidden="1"/>
    <cellStyle name="Hipervínculo visitado" xfId="610" builtinId="9" hidden="1"/>
    <cellStyle name="Hipervínculo visitado" xfId="612" builtinId="9" hidden="1"/>
    <cellStyle name="Hipervínculo visitado" xfId="614" builtinId="9" hidden="1"/>
    <cellStyle name="Hipervínculo visitado" xfId="616" builtinId="9" hidden="1"/>
    <cellStyle name="Hipervínculo visitado" xfId="618" builtinId="9" hidden="1"/>
    <cellStyle name="Hipervínculo visitado" xfId="620" builtinId="9" hidden="1"/>
    <cellStyle name="Hipervínculo visitado" xfId="622" builtinId="9" hidden="1"/>
    <cellStyle name="Hipervínculo visitado" xfId="624" builtinId="9" hidden="1"/>
    <cellStyle name="Hipervínculo visitado" xfId="626" builtinId="9" hidden="1"/>
    <cellStyle name="Hipervínculo visitado" xfId="628" builtinId="9" hidden="1"/>
    <cellStyle name="Hipervínculo visitado" xfId="630" builtinId="9" hidden="1"/>
    <cellStyle name="Hipervínculo visitado" xfId="632" builtinId="9" hidden="1"/>
    <cellStyle name="Hipervínculo visitado" xfId="634" builtinId="9" hidden="1"/>
    <cellStyle name="Hipervínculo visitado" xfId="636" builtinId="9" hidden="1"/>
    <cellStyle name="Hipervínculo visitado" xfId="638" builtinId="9" hidden="1"/>
    <cellStyle name="Hipervínculo visitado" xfId="640" builtinId="9" hidden="1"/>
    <cellStyle name="Hipervínculo visitado" xfId="642" builtinId="9" hidden="1"/>
    <cellStyle name="Hipervínculo visitado" xfId="644" builtinId="9" hidden="1"/>
    <cellStyle name="Hipervínculo visitado" xfId="646" builtinId="9" hidden="1"/>
    <cellStyle name="Hipervínculo visitado" xfId="648" builtinId="9" hidden="1"/>
    <cellStyle name="Hipervínculo visitado" xfId="650" builtinId="9" hidden="1"/>
    <cellStyle name="Hipervínculo visitado" xfId="652" builtinId="9" hidden="1"/>
    <cellStyle name="Hipervínculo visitado" xfId="654" builtinId="9" hidden="1"/>
    <cellStyle name="Hipervínculo visitado" xfId="656" builtinId="9" hidden="1"/>
    <cellStyle name="Hipervínculo visitado" xfId="658" builtinId="9" hidden="1"/>
    <cellStyle name="Hipervínculo visitado" xfId="660" builtinId="9" hidden="1"/>
    <cellStyle name="Hipervínculo visitado" xfId="662" builtinId="9" hidden="1"/>
    <cellStyle name="Hipervínculo visitado" xfId="664" builtinId="9" hidden="1"/>
    <cellStyle name="Hipervínculo visitado" xfId="666" builtinId="9" hidden="1"/>
    <cellStyle name="Hipervínculo visitado" xfId="668" builtinId="9" hidden="1"/>
    <cellStyle name="Hipervínculo visitado" xfId="670" builtinId="9" hidden="1"/>
    <cellStyle name="Hipervínculo visitado" xfId="672" builtinId="9" hidden="1"/>
    <cellStyle name="Hipervínculo visitado" xfId="674" builtinId="9" hidden="1"/>
    <cellStyle name="Hipervínculo visitado" xfId="676" builtinId="9" hidden="1"/>
    <cellStyle name="Hipervínculo visitado" xfId="678" builtinId="9" hidden="1"/>
    <cellStyle name="Hipervínculo visitado" xfId="680" builtinId="9" hidden="1"/>
    <cellStyle name="Hipervínculo visitado" xfId="682" builtinId="9" hidden="1"/>
    <cellStyle name="Hipervínculo visitado" xfId="684" builtinId="9" hidden="1"/>
    <cellStyle name="Hipervínculo visitado" xfId="686" builtinId="9" hidden="1"/>
    <cellStyle name="Hipervínculo visitado" xfId="688" builtinId="9" hidden="1"/>
    <cellStyle name="Hipervínculo visitado" xfId="690" builtinId="9" hidden="1"/>
    <cellStyle name="Hipervínculo visitado" xfId="692" builtinId="9" hidden="1"/>
    <cellStyle name="Hipervínculo visitado" xfId="694" builtinId="9" hidden="1"/>
    <cellStyle name="Hipervínculo visitado" xfId="696" builtinId="9" hidden="1"/>
    <cellStyle name="Hipervínculo visitado" xfId="698" builtinId="9" hidden="1"/>
    <cellStyle name="Hipervínculo visitado" xfId="700" builtinId="9" hidden="1"/>
    <cellStyle name="Hipervínculo visitado" xfId="702" builtinId="9" hidden="1"/>
    <cellStyle name="Hipervínculo visitado" xfId="704" builtinId="9" hidden="1"/>
    <cellStyle name="Hipervínculo visitado" xfId="706" builtinId="9" hidden="1"/>
    <cellStyle name="Hipervínculo visitado" xfId="708" builtinId="9" hidden="1"/>
    <cellStyle name="Normal" xfId="0" builtinId="0"/>
    <cellStyle name="Normal 2" xfId="132"/>
    <cellStyle name="Porcentaje" xfId="131" builtinId="5"/>
  </cellStyles>
  <dxfs count="0"/>
  <tableStyles count="0" defaultTableStyle="TableStyleMedium9" defaultPivotStyle="PivotStyleMedium4"/>
  <colors>
    <mruColors>
      <color rgb="FFABE3FF"/>
      <color rgb="FF69CDFF"/>
      <color rgb="FF11C1FF"/>
      <color rgb="FF00A7E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50800</xdr:colOff>
      <xdr:row>0</xdr:row>
      <xdr:rowOff>139699</xdr:rowOff>
    </xdr:from>
    <xdr:to>
      <xdr:col>2</xdr:col>
      <xdr:colOff>1079500</xdr:colOff>
      <xdr:row>3</xdr:row>
      <xdr:rowOff>77524</xdr:rowOff>
    </xdr:to>
    <xdr:pic>
      <xdr:nvPicPr>
        <xdr:cNvPr id="6" name="Imagen 5"/>
        <xdr:cNvPicPr>
          <a:picLocks noChangeAspect="1"/>
        </xdr:cNvPicPr>
      </xdr:nvPicPr>
      <xdr:blipFill>
        <a:blip xmlns:r="http://schemas.openxmlformats.org/officeDocument/2006/relationships" r:embed="rId1"/>
        <a:stretch>
          <a:fillRect/>
        </a:stretch>
      </xdr:blipFill>
      <xdr:spPr>
        <a:xfrm>
          <a:off x="609600" y="139699"/>
          <a:ext cx="1028700" cy="814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215900</xdr:colOff>
      <xdr:row>0</xdr:row>
      <xdr:rowOff>203200</xdr:rowOff>
    </xdr:from>
    <xdr:to>
      <xdr:col>3</xdr:col>
      <xdr:colOff>79248</xdr:colOff>
      <xdr:row>3</xdr:row>
      <xdr:rowOff>113284</xdr:rowOff>
    </xdr:to>
    <xdr:pic>
      <xdr:nvPicPr>
        <xdr:cNvPr id="3" name="Imagen 2"/>
        <xdr:cNvPicPr>
          <a:picLocks noChangeAspect="1"/>
        </xdr:cNvPicPr>
      </xdr:nvPicPr>
      <xdr:blipFill>
        <a:blip xmlns:r="http://schemas.openxmlformats.org/officeDocument/2006/relationships" r:embed="rId1"/>
        <a:stretch>
          <a:fillRect/>
        </a:stretch>
      </xdr:blipFill>
      <xdr:spPr>
        <a:xfrm>
          <a:off x="495300" y="203200"/>
          <a:ext cx="993648" cy="78638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228600</xdr:colOff>
      <xdr:row>0</xdr:row>
      <xdr:rowOff>130503</xdr:rowOff>
    </xdr:from>
    <xdr:to>
      <xdr:col>3</xdr:col>
      <xdr:colOff>990600</xdr:colOff>
      <xdr:row>3</xdr:row>
      <xdr:rowOff>229142</xdr:rowOff>
    </xdr:to>
    <xdr:pic>
      <xdr:nvPicPr>
        <xdr:cNvPr id="2" name="Imagen 1"/>
        <xdr:cNvPicPr>
          <a:picLocks noChangeAspect="1"/>
        </xdr:cNvPicPr>
      </xdr:nvPicPr>
      <xdr:blipFill>
        <a:blip xmlns:r="http://schemas.openxmlformats.org/officeDocument/2006/relationships" r:embed="rId1"/>
        <a:stretch>
          <a:fillRect/>
        </a:stretch>
      </xdr:blipFill>
      <xdr:spPr>
        <a:xfrm>
          <a:off x="787400" y="130503"/>
          <a:ext cx="1231900" cy="97493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88900</xdr:colOff>
      <xdr:row>0</xdr:row>
      <xdr:rowOff>190500</xdr:rowOff>
    </xdr:from>
    <xdr:to>
      <xdr:col>3</xdr:col>
      <xdr:colOff>0</xdr:colOff>
      <xdr:row>3</xdr:row>
      <xdr:rowOff>99059</xdr:rowOff>
    </xdr:to>
    <xdr:pic>
      <xdr:nvPicPr>
        <xdr:cNvPr id="2" name="Picture 1" descr="logo-administrativo"/>
        <xdr:cNvPicPr>
          <a:picLocks noChangeAspect="1" noChangeArrowheads="1"/>
        </xdr:cNvPicPr>
      </xdr:nvPicPr>
      <xdr:blipFill>
        <a:blip xmlns:r="http://schemas.openxmlformats.org/officeDocument/2006/relationships" r:embed="rId1"/>
        <a:srcRect/>
        <a:stretch>
          <a:fillRect/>
        </a:stretch>
      </xdr:blipFill>
      <xdr:spPr bwMode="auto">
        <a:xfrm>
          <a:off x="635000" y="190500"/>
          <a:ext cx="990600" cy="784859"/>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165100</xdr:colOff>
      <xdr:row>3</xdr:row>
      <xdr:rowOff>125984</xdr:rowOff>
    </xdr:to>
    <xdr:pic>
      <xdr:nvPicPr>
        <xdr:cNvPr id="2" name="Imagen 1"/>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165100</xdr:colOff>
      <xdr:row>3</xdr:row>
      <xdr:rowOff>125984</xdr:rowOff>
    </xdr:to>
    <xdr:pic>
      <xdr:nvPicPr>
        <xdr:cNvPr id="2" name="Imagen 1"/>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165100</xdr:colOff>
      <xdr:row>3</xdr:row>
      <xdr:rowOff>125984</xdr:rowOff>
    </xdr:to>
    <xdr:pic>
      <xdr:nvPicPr>
        <xdr:cNvPr id="2" name="Imagen 1"/>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165100</xdr:colOff>
      <xdr:row>3</xdr:row>
      <xdr:rowOff>125984</xdr:rowOff>
    </xdr:to>
    <xdr:pic>
      <xdr:nvPicPr>
        <xdr:cNvPr id="2" name="Imagen 1"/>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165100</xdr:colOff>
      <xdr:row>3</xdr:row>
      <xdr:rowOff>125984</xdr:rowOff>
    </xdr:to>
    <xdr:pic>
      <xdr:nvPicPr>
        <xdr:cNvPr id="2" name="Imagen 1"/>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88900</xdr:colOff>
      <xdr:row>0</xdr:row>
      <xdr:rowOff>190500</xdr:rowOff>
    </xdr:from>
    <xdr:to>
      <xdr:col>3</xdr:col>
      <xdr:colOff>0</xdr:colOff>
      <xdr:row>3</xdr:row>
      <xdr:rowOff>99059</xdr:rowOff>
    </xdr:to>
    <xdr:pic>
      <xdr:nvPicPr>
        <xdr:cNvPr id="3" name="Picture 1" descr="logo-administrativo"/>
        <xdr:cNvPicPr>
          <a:picLocks noChangeAspect="1" noChangeArrowheads="1"/>
        </xdr:cNvPicPr>
      </xdr:nvPicPr>
      <xdr:blipFill>
        <a:blip xmlns:r="http://schemas.openxmlformats.org/officeDocument/2006/relationships" r:embed="rId1"/>
        <a:srcRect/>
        <a:stretch>
          <a:fillRect/>
        </a:stretch>
      </xdr:blipFill>
      <xdr:spPr bwMode="auto">
        <a:xfrm>
          <a:off x="635000" y="190500"/>
          <a:ext cx="990600" cy="784859"/>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114301</xdr:colOff>
      <xdr:row>0</xdr:row>
      <xdr:rowOff>160021</xdr:rowOff>
    </xdr:from>
    <xdr:to>
      <xdr:col>2</xdr:col>
      <xdr:colOff>1104901</xdr:colOff>
      <xdr:row>3</xdr:row>
      <xdr:rowOff>68580</xdr:rowOff>
    </xdr:to>
    <xdr:pic>
      <xdr:nvPicPr>
        <xdr:cNvPr id="2" name="Picture 1" descr="logo-administrativo"/>
        <xdr:cNvPicPr>
          <a:picLocks noChangeAspect="1" noChangeArrowheads="1"/>
        </xdr:cNvPicPr>
      </xdr:nvPicPr>
      <xdr:blipFill>
        <a:blip xmlns:r="http://schemas.openxmlformats.org/officeDocument/2006/relationships" r:embed="rId1"/>
        <a:srcRect/>
        <a:stretch>
          <a:fillRect/>
        </a:stretch>
      </xdr:blipFill>
      <xdr:spPr bwMode="auto">
        <a:xfrm>
          <a:off x="647701" y="160021"/>
          <a:ext cx="990600" cy="77723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114301</xdr:colOff>
      <xdr:row>0</xdr:row>
      <xdr:rowOff>160021</xdr:rowOff>
    </xdr:from>
    <xdr:to>
      <xdr:col>2</xdr:col>
      <xdr:colOff>1104901</xdr:colOff>
      <xdr:row>3</xdr:row>
      <xdr:rowOff>68580</xdr:rowOff>
    </xdr:to>
    <xdr:pic>
      <xdr:nvPicPr>
        <xdr:cNvPr id="2" name="Picture 1" descr="logo-administrativo"/>
        <xdr:cNvPicPr>
          <a:picLocks noChangeAspect="1" noChangeArrowheads="1"/>
        </xdr:cNvPicPr>
      </xdr:nvPicPr>
      <xdr:blipFill>
        <a:blip xmlns:r="http://schemas.openxmlformats.org/officeDocument/2006/relationships" r:embed="rId1"/>
        <a:srcRect/>
        <a:stretch>
          <a:fillRect/>
        </a:stretch>
      </xdr:blipFill>
      <xdr:spPr bwMode="auto">
        <a:xfrm>
          <a:off x="673101" y="160021"/>
          <a:ext cx="990600" cy="784859"/>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114301</xdr:colOff>
      <xdr:row>0</xdr:row>
      <xdr:rowOff>160021</xdr:rowOff>
    </xdr:from>
    <xdr:to>
      <xdr:col>2</xdr:col>
      <xdr:colOff>1104901</xdr:colOff>
      <xdr:row>3</xdr:row>
      <xdr:rowOff>68580</xdr:rowOff>
    </xdr:to>
    <xdr:pic>
      <xdr:nvPicPr>
        <xdr:cNvPr id="2" name="Picture 1" descr="logo-administrativo"/>
        <xdr:cNvPicPr>
          <a:picLocks noChangeAspect="1" noChangeArrowheads="1"/>
        </xdr:cNvPicPr>
      </xdr:nvPicPr>
      <xdr:blipFill>
        <a:blip xmlns:r="http://schemas.openxmlformats.org/officeDocument/2006/relationships" r:embed="rId1"/>
        <a:srcRect/>
        <a:stretch>
          <a:fillRect/>
        </a:stretch>
      </xdr:blipFill>
      <xdr:spPr bwMode="auto">
        <a:xfrm>
          <a:off x="673101" y="160021"/>
          <a:ext cx="990600" cy="784859"/>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114301</xdr:colOff>
      <xdr:row>0</xdr:row>
      <xdr:rowOff>160021</xdr:rowOff>
    </xdr:from>
    <xdr:to>
      <xdr:col>2</xdr:col>
      <xdr:colOff>1104901</xdr:colOff>
      <xdr:row>3</xdr:row>
      <xdr:rowOff>68580</xdr:rowOff>
    </xdr:to>
    <xdr:pic>
      <xdr:nvPicPr>
        <xdr:cNvPr id="2" name="Picture 1" descr="logo-administrativo"/>
        <xdr:cNvPicPr>
          <a:picLocks noChangeAspect="1" noChangeArrowheads="1"/>
        </xdr:cNvPicPr>
      </xdr:nvPicPr>
      <xdr:blipFill>
        <a:blip xmlns:r="http://schemas.openxmlformats.org/officeDocument/2006/relationships" r:embed="rId1"/>
        <a:srcRect/>
        <a:stretch>
          <a:fillRect/>
        </a:stretch>
      </xdr:blipFill>
      <xdr:spPr bwMode="auto">
        <a:xfrm>
          <a:off x="673101" y="160021"/>
          <a:ext cx="990600" cy="784859"/>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114301</xdr:colOff>
      <xdr:row>0</xdr:row>
      <xdr:rowOff>160021</xdr:rowOff>
    </xdr:from>
    <xdr:to>
      <xdr:col>2</xdr:col>
      <xdr:colOff>1104901</xdr:colOff>
      <xdr:row>3</xdr:row>
      <xdr:rowOff>68580</xdr:rowOff>
    </xdr:to>
    <xdr:pic>
      <xdr:nvPicPr>
        <xdr:cNvPr id="2" name="Picture 1" descr="logo-administrativo"/>
        <xdr:cNvPicPr>
          <a:picLocks noChangeAspect="1" noChangeArrowheads="1"/>
        </xdr:cNvPicPr>
      </xdr:nvPicPr>
      <xdr:blipFill>
        <a:blip xmlns:r="http://schemas.openxmlformats.org/officeDocument/2006/relationships" r:embed="rId1"/>
        <a:srcRect/>
        <a:stretch>
          <a:fillRect/>
        </a:stretch>
      </xdr:blipFill>
      <xdr:spPr bwMode="auto">
        <a:xfrm>
          <a:off x="673101" y="160021"/>
          <a:ext cx="990600" cy="78485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pageSetUpPr fitToPage="1"/>
  </sheetPr>
  <dimension ref="B1:AK165"/>
  <sheetViews>
    <sheetView zoomScale="70" zoomScaleNormal="70" zoomScalePageLayoutView="70" workbookViewId="0">
      <selection activeCell="H29" sqref="H29"/>
    </sheetView>
  </sheetViews>
  <sheetFormatPr baseColWidth="10" defaultColWidth="10.77734375" defaultRowHeight="15"/>
  <cols>
    <col min="1" max="1" width="3.21875" style="4" customWidth="1"/>
    <col min="2" max="2" width="3.44140625" style="2" customWidth="1"/>
    <col min="3" max="3" width="12.21875" style="4" customWidth="1"/>
    <col min="4" max="13" width="10.77734375" style="4"/>
    <col min="14" max="14" width="3.21875" style="2" customWidth="1"/>
    <col min="15" max="17" width="10.77734375" style="2"/>
    <col min="18" max="16384" width="10.77734375" style="4"/>
  </cols>
  <sheetData>
    <row r="1" spans="2:37" s="2" customFormat="1" ht="22.9" customHeight="1">
      <c r="D1" s="3"/>
    </row>
    <row r="2" spans="2:37" s="2" customFormat="1" ht="22.9" customHeight="1">
      <c r="D2" s="21" t="s">
        <v>31</v>
      </c>
    </row>
    <row r="3" spans="2:37" s="2" customFormat="1" ht="22.9" customHeight="1">
      <c r="D3" s="63" t="s">
        <v>32</v>
      </c>
    </row>
    <row r="4" spans="2:37" s="2" customFormat="1" ht="22.9" customHeight="1" thickBot="1"/>
    <row r="5" spans="2:37" s="2" customFormat="1" ht="9" customHeight="1">
      <c r="B5" s="5"/>
      <c r="C5" s="6"/>
      <c r="D5" s="6"/>
      <c r="E5" s="6"/>
      <c r="F5" s="6"/>
      <c r="G5" s="6"/>
      <c r="H5" s="6"/>
      <c r="I5" s="6"/>
      <c r="J5" s="6"/>
      <c r="K5" s="6"/>
      <c r="L5" s="6"/>
      <c r="M5" s="6"/>
      <c r="N5" s="7"/>
    </row>
    <row r="6" spans="2:37" s="2" customFormat="1" ht="30" customHeight="1">
      <c r="B6" s="8"/>
      <c r="C6" s="1" t="s">
        <v>0</v>
      </c>
      <c r="D6" s="3"/>
      <c r="E6" s="3"/>
      <c r="F6" s="3"/>
      <c r="G6" s="3"/>
      <c r="H6" s="3"/>
      <c r="I6" s="3"/>
      <c r="J6" s="3"/>
      <c r="K6" s="3"/>
      <c r="L6" s="3"/>
      <c r="M6" s="1105">
        <f>ejercicio</f>
        <v>2018</v>
      </c>
      <c r="N6" s="9"/>
    </row>
    <row r="7" spans="2:37" s="2" customFormat="1" ht="30" customHeight="1">
      <c r="B7" s="8"/>
      <c r="C7" s="1" t="s">
        <v>1</v>
      </c>
      <c r="D7" s="3"/>
      <c r="E7" s="3"/>
      <c r="F7" s="3"/>
      <c r="G7" s="3"/>
      <c r="H7" s="3"/>
      <c r="I7" s="3"/>
      <c r="J7" s="3"/>
      <c r="K7" s="10"/>
      <c r="L7" s="3"/>
      <c r="M7" s="1105"/>
      <c r="N7" s="9"/>
    </row>
    <row r="8" spans="2:37" s="2" customFormat="1" ht="30" customHeight="1">
      <c r="B8" s="8"/>
      <c r="N8" s="9"/>
    </row>
    <row r="9" spans="2:37" s="2" customFormat="1" ht="30" customHeight="1">
      <c r="B9" s="8"/>
      <c r="N9" s="9"/>
    </row>
    <row r="10" spans="2:37" s="2" customFormat="1" ht="7.15" customHeight="1">
      <c r="B10" s="8"/>
      <c r="N10" s="9"/>
    </row>
    <row r="11" spans="2:37" ht="30" customHeight="1">
      <c r="B11" s="8"/>
      <c r="C11" s="11" t="s">
        <v>33</v>
      </c>
      <c r="D11" s="11"/>
      <c r="E11" s="11"/>
      <c r="F11" s="11"/>
      <c r="G11" s="11"/>
      <c r="H11" s="11"/>
      <c r="I11" s="11"/>
      <c r="J11" s="11"/>
      <c r="K11" s="11"/>
      <c r="L11" s="11"/>
      <c r="M11" s="11"/>
      <c r="N11" s="9"/>
      <c r="O11" s="4"/>
      <c r="R11" s="2"/>
      <c r="S11" s="2"/>
      <c r="T11" s="2"/>
      <c r="U11" s="2"/>
      <c r="V11" s="2"/>
      <c r="W11" s="2"/>
      <c r="X11" s="2"/>
      <c r="Y11" s="2"/>
      <c r="Z11" s="2"/>
      <c r="AA11" s="2"/>
      <c r="AB11" s="2"/>
      <c r="AC11" s="2"/>
      <c r="AD11" s="2"/>
      <c r="AE11" s="2"/>
      <c r="AF11" s="2"/>
      <c r="AG11" s="2"/>
      <c r="AH11" s="2"/>
      <c r="AI11" s="2"/>
      <c r="AJ11" s="2"/>
      <c r="AK11" s="2"/>
    </row>
    <row r="12" spans="2:37" s="2" customFormat="1" ht="30" customHeight="1">
      <c r="B12" s="8"/>
      <c r="N12" s="9"/>
    </row>
    <row r="13" spans="2:37" s="15" customFormat="1" ht="30" customHeight="1">
      <c r="B13" s="8"/>
      <c r="C13" s="283" t="s">
        <v>34</v>
      </c>
      <c r="D13" s="1106" t="s">
        <v>551</v>
      </c>
      <c r="E13" s="1107"/>
      <c r="F13" s="1107"/>
      <c r="G13" s="1107"/>
      <c r="H13" s="1107"/>
      <c r="I13" s="1107"/>
      <c r="J13" s="1107"/>
      <c r="K13" s="1107"/>
      <c r="L13" s="1107"/>
      <c r="M13" s="1108"/>
      <c r="N13" s="9"/>
    </row>
    <row r="14" spans="2:37" s="15" customFormat="1" ht="30" customHeight="1">
      <c r="B14" s="8"/>
      <c r="C14" s="22"/>
      <c r="D14" s="21"/>
      <c r="E14" s="21"/>
      <c r="F14" s="21"/>
      <c r="G14" s="21"/>
      <c r="H14" s="21"/>
      <c r="I14" s="21"/>
      <c r="J14" s="21"/>
      <c r="K14" s="21"/>
      <c r="L14" s="21"/>
      <c r="M14" s="21"/>
      <c r="N14" s="9"/>
    </row>
    <row r="15" spans="2:37" s="2" customFormat="1" ht="30" customHeight="1">
      <c r="B15" s="8"/>
      <c r="C15" s="283" t="s">
        <v>35</v>
      </c>
      <c r="D15" s="567">
        <v>2018</v>
      </c>
      <c r="E15" s="14"/>
      <c r="F15" s="14"/>
      <c r="G15" s="419"/>
      <c r="H15" s="419"/>
      <c r="I15" s="14"/>
      <c r="J15" s="14"/>
      <c r="K15" s="14"/>
      <c r="L15" s="14"/>
      <c r="M15" s="14"/>
      <c r="N15" s="9"/>
    </row>
    <row r="16" spans="2:37" s="2" customFormat="1" ht="30" customHeight="1">
      <c r="B16" s="8"/>
      <c r="C16" s="12"/>
      <c r="D16" s="1109"/>
      <c r="E16" s="1109"/>
      <c r="F16" s="1109"/>
      <c r="G16" s="1109"/>
      <c r="H16" s="1109"/>
      <c r="I16" s="1109"/>
      <c r="J16" s="1109"/>
      <c r="K16" s="1109"/>
      <c r="L16" s="1109"/>
      <c r="M16" s="1109"/>
      <c r="N16" s="9"/>
    </row>
    <row r="17" spans="2:14" s="2" customFormat="1" ht="30" customHeight="1">
      <c r="B17" s="8"/>
      <c r="C17" s="284" t="s">
        <v>67</v>
      </c>
      <c r="D17" s="285"/>
      <c r="E17" s="285"/>
      <c r="F17" s="285"/>
      <c r="G17" s="285"/>
      <c r="H17" s="285"/>
      <c r="I17" s="285"/>
      <c r="J17" s="285"/>
      <c r="K17" s="285"/>
      <c r="L17" s="285"/>
      <c r="M17" s="285"/>
      <c r="N17" s="9"/>
    </row>
    <row r="18" spans="2:14" s="2" customFormat="1" ht="9" customHeight="1">
      <c r="B18" s="8"/>
      <c r="C18" s="12"/>
      <c r="D18" s="17"/>
      <c r="E18" s="17"/>
      <c r="F18" s="17"/>
      <c r="G18" s="17"/>
      <c r="H18" s="17"/>
      <c r="I18" s="17"/>
      <c r="J18" s="17"/>
      <c r="K18" s="17"/>
      <c r="L18" s="17"/>
      <c r="M18" s="17"/>
      <c r="N18" s="9"/>
    </row>
    <row r="19" spans="2:14" s="2" customFormat="1" ht="25.15" customHeight="1">
      <c r="B19" s="8"/>
      <c r="C19" s="2" t="s">
        <v>37</v>
      </c>
      <c r="D19" s="2" t="s">
        <v>38</v>
      </c>
      <c r="N19" s="9"/>
    </row>
    <row r="20" spans="2:14" s="2" customFormat="1" ht="25.15" customHeight="1">
      <c r="B20" s="8"/>
      <c r="C20" s="2" t="s">
        <v>39</v>
      </c>
      <c r="D20" s="2" t="s">
        <v>40</v>
      </c>
      <c r="N20" s="9"/>
    </row>
    <row r="21" spans="2:14" s="2" customFormat="1" ht="25.15" customHeight="1">
      <c r="B21" s="8"/>
      <c r="C21" s="878" t="s">
        <v>788</v>
      </c>
      <c r="D21" s="878" t="s">
        <v>789</v>
      </c>
      <c r="N21" s="9"/>
    </row>
    <row r="22" spans="2:14" s="2" customFormat="1" ht="25.15" customHeight="1">
      <c r="B22" s="8"/>
      <c r="C22" s="2" t="s">
        <v>41</v>
      </c>
      <c r="D22" s="2" t="s">
        <v>42</v>
      </c>
      <c r="N22" s="9"/>
    </row>
    <row r="23" spans="2:14" s="2" customFormat="1" ht="25.15" customHeight="1">
      <c r="B23" s="8"/>
      <c r="C23" s="2" t="s">
        <v>47</v>
      </c>
      <c r="D23" s="2" t="s">
        <v>48</v>
      </c>
      <c r="N23" s="9"/>
    </row>
    <row r="24" spans="2:14" s="2" customFormat="1" ht="25.15" customHeight="1">
      <c r="B24" s="8"/>
      <c r="C24" s="2" t="s">
        <v>43</v>
      </c>
      <c r="D24" s="286" t="s">
        <v>676</v>
      </c>
      <c r="N24" s="9"/>
    </row>
    <row r="25" spans="2:14" s="2" customFormat="1" ht="25.15" customHeight="1">
      <c r="B25" s="8"/>
      <c r="C25" s="2" t="s">
        <v>44</v>
      </c>
      <c r="D25" s="2" t="s">
        <v>45</v>
      </c>
      <c r="N25" s="9"/>
    </row>
    <row r="26" spans="2:14" s="2" customFormat="1" ht="25.15" customHeight="1">
      <c r="B26" s="8"/>
      <c r="C26" s="2" t="s">
        <v>46</v>
      </c>
      <c r="D26" s="2" t="s">
        <v>49</v>
      </c>
      <c r="N26" s="9"/>
    </row>
    <row r="27" spans="2:14" s="2" customFormat="1" ht="25.15" customHeight="1">
      <c r="B27" s="8"/>
      <c r="C27" s="2" t="s">
        <v>50</v>
      </c>
      <c r="D27" s="2" t="s">
        <v>51</v>
      </c>
      <c r="N27" s="9"/>
    </row>
    <row r="28" spans="2:14" s="2" customFormat="1" ht="25.15" customHeight="1">
      <c r="B28" s="8"/>
      <c r="C28" s="2" t="s">
        <v>52</v>
      </c>
      <c r="D28" s="2" t="s">
        <v>53</v>
      </c>
      <c r="N28" s="9"/>
    </row>
    <row r="29" spans="2:14" s="2" customFormat="1" ht="25.15" customHeight="1">
      <c r="B29" s="8"/>
      <c r="C29" s="2" t="s">
        <v>54</v>
      </c>
      <c r="D29" s="2" t="s">
        <v>55</v>
      </c>
      <c r="N29" s="9"/>
    </row>
    <row r="30" spans="2:14" s="2" customFormat="1" ht="25.15" customHeight="1">
      <c r="B30" s="8"/>
      <c r="C30" s="2" t="s">
        <v>56</v>
      </c>
      <c r="D30" s="424" t="s">
        <v>704</v>
      </c>
      <c r="N30" s="9"/>
    </row>
    <row r="31" spans="2:14" s="2" customFormat="1" ht="25.15" customHeight="1">
      <c r="B31" s="8"/>
      <c r="C31" s="2" t="s">
        <v>58</v>
      </c>
      <c r="D31" s="2" t="s">
        <v>57</v>
      </c>
      <c r="N31" s="9"/>
    </row>
    <row r="32" spans="2:14" s="2" customFormat="1" ht="25.15" customHeight="1">
      <c r="B32" s="8"/>
      <c r="C32" s="2" t="s">
        <v>60</v>
      </c>
      <c r="D32" s="2" t="s">
        <v>59</v>
      </c>
      <c r="N32" s="9"/>
    </row>
    <row r="33" spans="2:14" s="2" customFormat="1" ht="25.15" customHeight="1">
      <c r="B33" s="8"/>
      <c r="C33" s="424" t="s">
        <v>61</v>
      </c>
      <c r="D33" s="2" t="s">
        <v>62</v>
      </c>
      <c r="N33" s="9"/>
    </row>
    <row r="34" spans="2:14" s="2" customFormat="1" ht="25.15" customHeight="1">
      <c r="B34" s="8"/>
      <c r="C34" s="424" t="s">
        <v>700</v>
      </c>
      <c r="D34" s="2" t="s">
        <v>64</v>
      </c>
      <c r="N34" s="9"/>
    </row>
    <row r="35" spans="2:14" s="2" customFormat="1" ht="25.15" customHeight="1">
      <c r="B35" s="8"/>
      <c r="C35" s="424" t="s">
        <v>701</v>
      </c>
      <c r="D35" s="2" t="s">
        <v>65</v>
      </c>
      <c r="N35" s="9"/>
    </row>
    <row r="36" spans="2:14" s="2" customFormat="1" ht="25.15" customHeight="1">
      <c r="B36" s="8"/>
      <c r="C36" s="424" t="s">
        <v>702</v>
      </c>
      <c r="D36" s="2" t="s">
        <v>66</v>
      </c>
      <c r="N36" s="9"/>
    </row>
    <row r="37" spans="2:14" s="2" customFormat="1" ht="25.15" customHeight="1">
      <c r="B37" s="8"/>
      <c r="C37" s="424" t="s">
        <v>703</v>
      </c>
      <c r="D37" s="2" t="s">
        <v>69</v>
      </c>
      <c r="N37" s="9"/>
    </row>
    <row r="38" spans="2:14" s="2" customFormat="1" ht="25.15" customHeight="1">
      <c r="B38" s="8"/>
      <c r="N38" s="9"/>
    </row>
    <row r="39" spans="2:14" s="2" customFormat="1" ht="25.15" customHeight="1">
      <c r="B39" s="8"/>
      <c r="N39" s="9"/>
    </row>
    <row r="40" spans="2:14" s="2" customFormat="1" ht="25.15" customHeight="1">
      <c r="B40" s="8"/>
      <c r="C40" s="286" t="s">
        <v>68</v>
      </c>
      <c r="D40" s="2" t="s">
        <v>71</v>
      </c>
      <c r="N40" s="9"/>
    </row>
    <row r="41" spans="2:14" s="2" customFormat="1" ht="25.15" customHeight="1">
      <c r="B41" s="8"/>
      <c r="C41" s="286" t="s">
        <v>70</v>
      </c>
      <c r="D41" s="2" t="s">
        <v>73</v>
      </c>
      <c r="N41" s="9"/>
    </row>
    <row r="42" spans="2:14" s="2" customFormat="1" ht="25.15" customHeight="1">
      <c r="B42" s="8"/>
      <c r="C42" s="286" t="s">
        <v>72</v>
      </c>
      <c r="D42" s="2" t="s">
        <v>75</v>
      </c>
      <c r="N42" s="9"/>
    </row>
    <row r="43" spans="2:14" s="2" customFormat="1" ht="25.15" customHeight="1">
      <c r="B43" s="8"/>
      <c r="N43" s="9"/>
    </row>
    <row r="44" spans="2:14" s="2" customFormat="1" ht="25.15" customHeight="1">
      <c r="B44" s="8"/>
      <c r="C44" s="284" t="s">
        <v>529</v>
      </c>
      <c r="D44" s="285"/>
      <c r="E44" s="285"/>
      <c r="F44" s="285"/>
      <c r="G44" s="285"/>
      <c r="H44" s="285"/>
      <c r="I44" s="285"/>
      <c r="J44" s="285"/>
      <c r="K44" s="285"/>
      <c r="L44" s="285"/>
      <c r="M44" s="285"/>
      <c r="N44" s="9"/>
    </row>
    <row r="45" spans="2:14" s="2" customFormat="1" ht="25.15" customHeight="1">
      <c r="B45" s="8"/>
      <c r="N45" s="9"/>
    </row>
    <row r="46" spans="2:14" s="2" customFormat="1" ht="25.15" customHeight="1">
      <c r="B46" s="8"/>
      <c r="C46" s="286" t="s">
        <v>530</v>
      </c>
      <c r="N46" s="9"/>
    </row>
    <row r="47" spans="2:14" s="2" customFormat="1" ht="30" customHeight="1" thickBot="1">
      <c r="B47" s="18"/>
      <c r="C47" s="19"/>
      <c r="D47" s="19"/>
      <c r="E47" s="19"/>
      <c r="F47" s="19"/>
      <c r="G47" s="19"/>
      <c r="H47" s="19"/>
      <c r="I47" s="19"/>
      <c r="J47" s="19"/>
      <c r="K47" s="19"/>
      <c r="L47" s="19"/>
      <c r="M47" s="19"/>
      <c r="N47" s="20"/>
    </row>
    <row r="48" spans="2:14" s="2" customFormat="1" ht="30" customHeight="1"/>
    <row r="49" spans="3:13" s="42" customFormat="1" ht="12.75">
      <c r="C49" s="37" t="s">
        <v>77</v>
      </c>
      <c r="G49" s="43"/>
      <c r="M49" s="41" t="s">
        <v>82</v>
      </c>
    </row>
    <row r="50" spans="3:13" s="42" customFormat="1" ht="12.75">
      <c r="C50" s="38" t="s">
        <v>78</v>
      </c>
      <c r="G50" s="43"/>
    </row>
    <row r="51" spans="3:13" s="42" customFormat="1" ht="12.75">
      <c r="C51" s="38" t="s">
        <v>79</v>
      </c>
      <c r="G51" s="43"/>
    </row>
    <row r="52" spans="3:13" s="42" customFormat="1" ht="12.75">
      <c r="C52" s="38" t="s">
        <v>80</v>
      </c>
      <c r="G52" s="43"/>
    </row>
    <row r="53" spans="3:13" s="42" customFormat="1" ht="12.75">
      <c r="C53" s="38" t="s">
        <v>81</v>
      </c>
      <c r="G53" s="43"/>
    </row>
    <row r="54" spans="3:13" s="2" customFormat="1" ht="30" customHeight="1"/>
    <row r="55" spans="3:13" s="2" customFormat="1" ht="30" customHeight="1"/>
    <row r="56" spans="3:13" s="2" customFormat="1" ht="30" customHeight="1"/>
    <row r="57" spans="3:13" s="2" customFormat="1" ht="30" customHeight="1"/>
    <row r="58" spans="3:13" s="2" customFormat="1" ht="30" customHeight="1"/>
    <row r="59" spans="3:13" s="2" customFormat="1" ht="30" customHeight="1"/>
    <row r="60" spans="3:13" s="2" customFormat="1" ht="30" customHeight="1"/>
    <row r="61" spans="3:13" s="2" customFormat="1" ht="30" customHeight="1"/>
    <row r="62" spans="3:13" s="2" customFormat="1" ht="30" customHeight="1"/>
    <row r="63" spans="3:13" s="2" customFormat="1" ht="30" customHeight="1"/>
    <row r="64" spans="3:13" s="2" customFormat="1" ht="30" customHeight="1"/>
    <row r="65" s="2" customFormat="1" ht="30" customHeight="1"/>
    <row r="66" s="2" customFormat="1" ht="30" customHeight="1"/>
    <row r="67" s="2" customFormat="1" ht="30" customHeight="1"/>
    <row r="68" s="2" customFormat="1" ht="30" customHeight="1"/>
    <row r="69" s="2" customFormat="1" ht="30" customHeight="1"/>
    <row r="70" s="2" customFormat="1" ht="30" customHeight="1"/>
    <row r="71" s="2" customFormat="1" ht="30" customHeight="1"/>
    <row r="72" s="2" customFormat="1" ht="30" customHeight="1"/>
    <row r="73" s="2" customFormat="1" ht="30" customHeight="1"/>
    <row r="74" s="2" customFormat="1" ht="30" customHeight="1"/>
    <row r="75" s="2" customFormat="1" ht="30" customHeight="1"/>
    <row r="76" s="2" customFormat="1" ht="30" customHeight="1"/>
    <row r="77" s="2" customFormat="1" ht="30" customHeight="1"/>
    <row r="78" s="2" customFormat="1" ht="30" customHeight="1"/>
    <row r="79" s="2" customFormat="1" ht="30" customHeight="1"/>
    <row r="80" s="2" customFormat="1" ht="30" customHeight="1"/>
    <row r="81" s="2" customFormat="1" ht="30" customHeight="1"/>
    <row r="82" s="2" customFormat="1" ht="30" customHeight="1"/>
    <row r="83" s="2" customFormat="1" ht="30" customHeight="1"/>
    <row r="84" s="2" customFormat="1" ht="30" customHeight="1"/>
    <row r="85" s="2" customFormat="1" ht="30" customHeight="1"/>
    <row r="86" s="2" customFormat="1" ht="30" customHeight="1"/>
    <row r="87" s="2" customFormat="1" ht="30" customHeight="1"/>
    <row r="88" s="2" customFormat="1" ht="30" customHeight="1"/>
    <row r="89" s="2" customFormat="1" ht="30" customHeight="1"/>
    <row r="90" s="2" customFormat="1" ht="30" customHeight="1"/>
    <row r="91" s="2" customFormat="1" ht="30" customHeigh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sheetData>
  <sheetProtection password="E059" sheet="1" objects="1" scenarios="1"/>
  <mergeCells count="3">
    <mergeCell ref="M6:M7"/>
    <mergeCell ref="D13:M13"/>
    <mergeCell ref="D16:M16"/>
  </mergeCells>
  <phoneticPr fontId="22" type="noConversion"/>
  <pageMargins left="0.75000000000000011" right="0.75000000000000011" top="1" bottom="1" header="0.5" footer="0.5"/>
  <pageSetup paperSize="9" scale="55" orientation="portrait" horizontalDpi="4294967292" verticalDpi="4294967292"/>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X111"/>
  <sheetViews>
    <sheetView zoomScale="85" zoomScaleNormal="85" zoomScalePageLayoutView="85" workbookViewId="0">
      <selection activeCell="G118" sqref="G118"/>
    </sheetView>
  </sheetViews>
  <sheetFormatPr baseColWidth="10" defaultColWidth="10.77734375" defaultRowHeight="22.9" customHeight="1"/>
  <cols>
    <col min="1" max="2" width="3.21875" style="42" customWidth="1"/>
    <col min="3" max="3" width="9.5546875" style="42" customWidth="1"/>
    <col min="4" max="4" width="5.5546875" style="42" customWidth="1"/>
    <col min="5" max="5" width="69.77734375" style="42" customWidth="1"/>
    <col min="6" max="8" width="18.21875" style="90" customWidth="1"/>
    <col min="9" max="9" width="3.21875" style="42" customWidth="1"/>
    <col min="10" max="16384" width="10.77734375" style="42"/>
  </cols>
  <sheetData>
    <row r="1" spans="2:24" ht="22.9" customHeight="1">
      <c r="D1" s="44"/>
    </row>
    <row r="2" spans="2:24" ht="22.9" customHeight="1">
      <c r="D2" s="66" t="s">
        <v>379</v>
      </c>
    </row>
    <row r="3" spans="2:24" ht="22.9" customHeight="1">
      <c r="D3" s="66" t="s">
        <v>380</v>
      </c>
    </row>
    <row r="4" spans="2:24" ht="22.9" customHeight="1" thickBot="1"/>
    <row r="5" spans="2:24" ht="9" customHeight="1">
      <c r="B5" s="45"/>
      <c r="C5" s="46"/>
      <c r="D5" s="46"/>
      <c r="E5" s="46"/>
      <c r="F5" s="91"/>
      <c r="G5" s="91"/>
      <c r="H5" s="91"/>
      <c r="I5" s="47"/>
      <c r="K5" s="426"/>
      <c r="L5" s="427"/>
      <c r="M5" s="427"/>
      <c r="N5" s="427"/>
      <c r="O5" s="427"/>
      <c r="P5" s="427"/>
      <c r="Q5" s="427"/>
      <c r="R5" s="427"/>
      <c r="S5" s="427"/>
      <c r="T5" s="427"/>
      <c r="U5" s="427"/>
      <c r="V5" s="427"/>
      <c r="W5" s="427"/>
      <c r="X5" s="428"/>
    </row>
    <row r="6" spans="2:24" ht="30" customHeight="1">
      <c r="B6" s="48"/>
      <c r="C6" s="1" t="s">
        <v>0</v>
      </c>
      <c r="D6" s="44"/>
      <c r="E6" s="44"/>
      <c r="F6" s="92"/>
      <c r="G6" s="92"/>
      <c r="H6" s="1105">
        <f>ejercicio</f>
        <v>2018</v>
      </c>
      <c r="I6" s="50"/>
      <c r="K6" s="429"/>
      <c r="L6" s="430" t="s">
        <v>707</v>
      </c>
      <c r="M6" s="431"/>
      <c r="N6" s="431"/>
      <c r="O6" s="431"/>
      <c r="P6" s="431"/>
      <c r="Q6" s="431"/>
      <c r="R6" s="431"/>
      <c r="S6" s="431"/>
      <c r="T6" s="431"/>
      <c r="U6" s="431"/>
      <c r="V6" s="431"/>
      <c r="W6" s="431"/>
      <c r="X6" s="432"/>
    </row>
    <row r="7" spans="2:24" ht="30" customHeight="1">
      <c r="B7" s="48"/>
      <c r="C7" s="1" t="s">
        <v>1</v>
      </c>
      <c r="D7" s="44"/>
      <c r="E7" s="44"/>
      <c r="F7" s="92"/>
      <c r="G7" s="92"/>
      <c r="H7" s="1105"/>
      <c r="I7" s="50"/>
      <c r="K7" s="429"/>
      <c r="L7" s="431"/>
      <c r="M7" s="431"/>
      <c r="N7" s="431"/>
      <c r="O7" s="431"/>
      <c r="P7" s="431"/>
      <c r="Q7" s="431"/>
      <c r="R7" s="431"/>
      <c r="S7" s="431"/>
      <c r="T7" s="431"/>
      <c r="U7" s="431"/>
      <c r="V7" s="431"/>
      <c r="W7" s="431"/>
      <c r="X7" s="432"/>
    </row>
    <row r="8" spans="2:24" ht="30" customHeight="1">
      <c r="B8" s="48"/>
      <c r="C8" s="49"/>
      <c r="D8" s="44"/>
      <c r="E8" s="44"/>
      <c r="F8" s="92"/>
      <c r="G8" s="92"/>
      <c r="H8" s="93"/>
      <c r="I8" s="50"/>
      <c r="K8" s="429"/>
      <c r="L8" s="431"/>
      <c r="M8" s="431"/>
      <c r="N8" s="431"/>
      <c r="O8" s="431"/>
      <c r="P8" s="431"/>
      <c r="Q8" s="431"/>
      <c r="R8" s="431"/>
      <c r="S8" s="431"/>
      <c r="T8" s="431"/>
      <c r="U8" s="431"/>
      <c r="V8" s="431"/>
      <c r="W8" s="431"/>
      <c r="X8" s="432"/>
    </row>
    <row r="9" spans="2:24" s="60" customFormat="1" ht="30" customHeight="1">
      <c r="B9" s="58"/>
      <c r="C9" s="39" t="s">
        <v>2</v>
      </c>
      <c r="D9" s="1129" t="str">
        <f>Entidad</f>
        <v>METROPOLITANO DE TENERIFE, S.A.</v>
      </c>
      <c r="E9" s="1129"/>
      <c r="F9" s="1129"/>
      <c r="G9" s="1129"/>
      <c r="H9" s="1129"/>
      <c r="I9" s="59"/>
      <c r="K9" s="433"/>
      <c r="L9" s="434"/>
      <c r="M9" s="434"/>
      <c r="N9" s="434"/>
      <c r="O9" s="434"/>
      <c r="P9" s="434"/>
      <c r="Q9" s="434"/>
      <c r="R9" s="434"/>
      <c r="S9" s="434"/>
      <c r="T9" s="434"/>
      <c r="U9" s="434"/>
      <c r="V9" s="434"/>
      <c r="W9" s="434"/>
      <c r="X9" s="435"/>
    </row>
    <row r="10" spans="2:24" ht="7.15" customHeight="1">
      <c r="B10" s="48"/>
      <c r="C10" s="44"/>
      <c r="D10" s="44"/>
      <c r="E10" s="44"/>
      <c r="F10" s="92"/>
      <c r="G10" s="92"/>
      <c r="H10" s="92"/>
      <c r="I10" s="50"/>
      <c r="K10" s="429"/>
      <c r="L10" s="431"/>
      <c r="M10" s="431"/>
      <c r="N10" s="431"/>
      <c r="O10" s="431"/>
      <c r="P10" s="431"/>
      <c r="Q10" s="431"/>
      <c r="R10" s="431"/>
      <c r="S10" s="431"/>
      <c r="T10" s="431"/>
      <c r="U10" s="431"/>
      <c r="V10" s="431"/>
      <c r="W10" s="431"/>
      <c r="X10" s="432"/>
    </row>
    <row r="11" spans="2:24" s="62" customFormat="1" ht="30" customHeight="1">
      <c r="B11" s="24"/>
      <c r="C11" s="11" t="s">
        <v>321</v>
      </c>
      <c r="D11" s="11"/>
      <c r="E11" s="11"/>
      <c r="F11" s="94"/>
      <c r="G11" s="94"/>
      <c r="H11" s="94"/>
      <c r="I11" s="61"/>
      <c r="K11" s="436"/>
      <c r="L11" s="437"/>
      <c r="M11" s="437"/>
      <c r="N11" s="437"/>
      <c r="O11" s="437"/>
      <c r="P11" s="437"/>
      <c r="Q11" s="437"/>
      <c r="R11" s="437"/>
      <c r="S11" s="437"/>
      <c r="T11" s="437"/>
      <c r="U11" s="437"/>
      <c r="V11" s="437"/>
      <c r="W11" s="437"/>
      <c r="X11" s="438"/>
    </row>
    <row r="12" spans="2:24" s="62" customFormat="1" ht="30" customHeight="1">
      <c r="B12" s="24"/>
      <c r="C12" s="68"/>
      <c r="D12" s="68"/>
      <c r="E12" s="68"/>
      <c r="F12" s="95"/>
      <c r="G12" s="95"/>
      <c r="H12" s="95"/>
      <c r="I12" s="61"/>
      <c r="K12" s="436"/>
      <c r="L12" s="437"/>
      <c r="M12" s="437"/>
      <c r="N12" s="437"/>
      <c r="O12" s="437"/>
      <c r="P12" s="437"/>
      <c r="Q12" s="437"/>
      <c r="R12" s="437"/>
      <c r="S12" s="437"/>
      <c r="T12" s="437"/>
      <c r="U12" s="437"/>
      <c r="V12" s="437"/>
      <c r="W12" s="437"/>
      <c r="X12" s="438"/>
    </row>
    <row r="13" spans="2:24" ht="22.9" customHeight="1">
      <c r="B13" s="48"/>
      <c r="C13" s="400"/>
      <c r="D13" s="401"/>
      <c r="E13" s="401"/>
      <c r="F13" s="409" t="s">
        <v>183</v>
      </c>
      <c r="G13" s="409" t="s">
        <v>184</v>
      </c>
      <c r="H13" s="409" t="s">
        <v>185</v>
      </c>
      <c r="I13" s="50"/>
      <c r="K13" s="429"/>
      <c r="L13" s="431"/>
      <c r="M13" s="431"/>
      <c r="N13" s="431"/>
      <c r="O13" s="431"/>
      <c r="P13" s="431"/>
      <c r="Q13" s="431"/>
      <c r="R13" s="431"/>
      <c r="S13" s="431"/>
      <c r="T13" s="431"/>
      <c r="U13" s="431"/>
      <c r="V13" s="431"/>
      <c r="W13" s="431"/>
      <c r="X13" s="432"/>
    </row>
    <row r="14" spans="2:24" ht="22.9" customHeight="1">
      <c r="B14" s="48"/>
      <c r="C14" s="407"/>
      <c r="D14" s="408"/>
      <c r="E14" s="408"/>
      <c r="F14" s="410">
        <f>ejercicio-2</f>
        <v>2016</v>
      </c>
      <c r="G14" s="410">
        <f>ejercicio-1</f>
        <v>2017</v>
      </c>
      <c r="H14" s="410">
        <f>ejercicio</f>
        <v>2018</v>
      </c>
      <c r="I14" s="50"/>
      <c r="K14" s="429"/>
      <c r="L14" s="431"/>
      <c r="M14" s="431"/>
      <c r="N14" s="431"/>
      <c r="O14" s="431"/>
      <c r="P14" s="431"/>
      <c r="Q14" s="431"/>
      <c r="R14" s="431"/>
      <c r="S14" s="431"/>
      <c r="T14" s="431"/>
      <c r="U14" s="431"/>
      <c r="V14" s="431"/>
      <c r="W14" s="431"/>
      <c r="X14" s="432"/>
    </row>
    <row r="15" spans="2:24" ht="22.9" customHeight="1">
      <c r="B15" s="48"/>
      <c r="C15" s="402" t="s">
        <v>322</v>
      </c>
      <c r="D15" s="88"/>
      <c r="E15" s="87"/>
      <c r="F15" s="411"/>
      <c r="G15" s="411"/>
      <c r="H15" s="411"/>
      <c r="I15" s="50"/>
      <c r="K15" s="429"/>
      <c r="L15" s="431"/>
      <c r="M15" s="431"/>
      <c r="N15" s="431"/>
      <c r="O15" s="431"/>
      <c r="P15" s="431"/>
      <c r="Q15" s="431"/>
      <c r="R15" s="431"/>
      <c r="S15" s="431"/>
      <c r="T15" s="431"/>
      <c r="U15" s="431"/>
      <c r="V15" s="431"/>
      <c r="W15" s="431"/>
      <c r="X15" s="432"/>
    </row>
    <row r="16" spans="2:24" ht="22.9" customHeight="1">
      <c r="B16" s="48"/>
      <c r="C16" s="403" t="s">
        <v>323</v>
      </c>
      <c r="D16" s="72"/>
      <c r="E16" s="71"/>
      <c r="F16" s="580">
        <f>'FC-3_CPyG'!E76</f>
        <v>392216.27999999654</v>
      </c>
      <c r="G16" s="580">
        <f>'FC-3_CPyG'!F76</f>
        <v>643361.81164114084</v>
      </c>
      <c r="H16" s="580">
        <f>'FC-3_CPyG'!G76</f>
        <v>1057861.5631058151</v>
      </c>
      <c r="I16" s="50"/>
      <c r="K16" s="429"/>
      <c r="L16" s="431"/>
      <c r="M16" s="431"/>
      <c r="N16" s="431"/>
      <c r="O16" s="431"/>
      <c r="P16" s="431"/>
      <c r="Q16" s="431"/>
      <c r="R16" s="431"/>
      <c r="S16" s="431"/>
      <c r="T16" s="431"/>
      <c r="U16" s="431"/>
      <c r="V16" s="431"/>
      <c r="W16" s="431"/>
      <c r="X16" s="432"/>
    </row>
    <row r="17" spans="2:24" ht="22.9" customHeight="1">
      <c r="B17" s="48"/>
      <c r="C17" s="403" t="s">
        <v>324</v>
      </c>
      <c r="D17" s="72"/>
      <c r="E17" s="71"/>
      <c r="F17" s="412">
        <f>SUM(F18:F28)</f>
        <v>8946511.6100000013</v>
      </c>
      <c r="G17" s="412">
        <f>SUM(G18:G28)</f>
        <v>8597797.0709766001</v>
      </c>
      <c r="H17" s="412">
        <f>SUM(H18:H28)</f>
        <v>8629640.9096945524</v>
      </c>
      <c r="I17" s="50"/>
      <c r="K17" s="429"/>
      <c r="L17" s="431"/>
      <c r="M17" s="431"/>
      <c r="N17" s="431"/>
      <c r="O17" s="431"/>
      <c r="P17" s="431"/>
      <c r="Q17" s="431"/>
      <c r="R17" s="431"/>
      <c r="S17" s="431"/>
      <c r="T17" s="431"/>
      <c r="U17" s="431"/>
      <c r="V17" s="431"/>
      <c r="W17" s="431"/>
      <c r="X17" s="432"/>
    </row>
    <row r="18" spans="2:24" ht="22.9" customHeight="1">
      <c r="B18" s="48"/>
      <c r="C18" s="404"/>
      <c r="D18" s="74" t="s">
        <v>325</v>
      </c>
      <c r="E18" s="74"/>
      <c r="F18" s="491">
        <v>4473874.4000000004</v>
      </c>
      <c r="G18" s="491">
        <v>4392774.3599999994</v>
      </c>
      <c r="H18" s="491">
        <v>4354995.6206666697</v>
      </c>
      <c r="I18" s="50"/>
      <c r="K18" s="429"/>
      <c r="L18" s="431"/>
      <c r="M18" s="431"/>
      <c r="N18" s="431"/>
      <c r="O18" s="431"/>
      <c r="P18" s="431"/>
      <c r="Q18" s="431"/>
      <c r="R18" s="431"/>
      <c r="S18" s="431"/>
      <c r="T18" s="431"/>
      <c r="U18" s="431"/>
      <c r="V18" s="431"/>
      <c r="W18" s="431"/>
      <c r="X18" s="432"/>
    </row>
    <row r="19" spans="2:24" ht="22.9" customHeight="1">
      <c r="B19" s="48"/>
      <c r="C19" s="404"/>
      <c r="D19" s="74" t="s">
        <v>326</v>
      </c>
      <c r="E19" s="74"/>
      <c r="F19" s="491"/>
      <c r="G19" s="491">
        <v>57329.56</v>
      </c>
      <c r="H19" s="491">
        <v>20583.349272441039</v>
      </c>
      <c r="I19" s="50"/>
      <c r="K19" s="429"/>
      <c r="L19" s="431"/>
      <c r="M19" s="431"/>
      <c r="N19" s="431"/>
      <c r="O19" s="431"/>
      <c r="P19" s="431"/>
      <c r="Q19" s="431"/>
      <c r="R19" s="431"/>
      <c r="S19" s="431"/>
      <c r="T19" s="431"/>
      <c r="U19" s="431"/>
      <c r="V19" s="431"/>
      <c r="W19" s="431"/>
      <c r="X19" s="432"/>
    </row>
    <row r="20" spans="2:24" ht="22.9" customHeight="1">
      <c r="B20" s="48"/>
      <c r="C20" s="404"/>
      <c r="D20" s="74" t="s">
        <v>327</v>
      </c>
      <c r="E20" s="74"/>
      <c r="F20" s="491"/>
      <c r="G20" s="491"/>
      <c r="H20" s="491"/>
      <c r="I20" s="50"/>
      <c r="K20" s="429"/>
      <c r="L20" s="431"/>
      <c r="M20" s="431"/>
      <c r="N20" s="431"/>
      <c r="O20" s="431"/>
      <c r="P20" s="431"/>
      <c r="Q20" s="431"/>
      <c r="R20" s="431"/>
      <c r="S20" s="431"/>
      <c r="T20" s="431"/>
      <c r="U20" s="431"/>
      <c r="V20" s="431"/>
      <c r="W20" s="431"/>
      <c r="X20" s="432"/>
    </row>
    <row r="21" spans="2:24" ht="22.9" customHeight="1">
      <c r="B21" s="48"/>
      <c r="C21" s="404"/>
      <c r="D21" s="74" t="s">
        <v>328</v>
      </c>
      <c r="E21" s="74"/>
      <c r="F21" s="491">
        <v>-275196.71999999997</v>
      </c>
      <c r="G21" s="491">
        <v>-275196.71999999997</v>
      </c>
      <c r="H21" s="491">
        <v>-275196.71999999997</v>
      </c>
      <c r="I21" s="50"/>
      <c r="K21" s="429"/>
      <c r="L21" s="431"/>
      <c r="M21" s="431"/>
      <c r="N21" s="431"/>
      <c r="O21" s="431"/>
      <c r="P21" s="431"/>
      <c r="Q21" s="431"/>
      <c r="R21" s="431"/>
      <c r="S21" s="431"/>
      <c r="T21" s="431"/>
      <c r="U21" s="431"/>
      <c r="V21" s="431"/>
      <c r="W21" s="431"/>
      <c r="X21" s="432"/>
    </row>
    <row r="22" spans="2:24" ht="22.9" customHeight="1">
      <c r="B22" s="48"/>
      <c r="C22" s="404"/>
      <c r="D22" s="74" t="s">
        <v>329</v>
      </c>
      <c r="E22" s="74"/>
      <c r="F22" s="491"/>
      <c r="G22" s="491"/>
      <c r="H22" s="491"/>
      <c r="I22" s="50"/>
      <c r="K22" s="429"/>
      <c r="L22" s="431"/>
      <c r="M22" s="431"/>
      <c r="N22" s="431"/>
      <c r="O22" s="431"/>
      <c r="P22" s="431"/>
      <c r="Q22" s="431"/>
      <c r="R22" s="431"/>
      <c r="S22" s="431"/>
      <c r="T22" s="431"/>
      <c r="U22" s="431"/>
      <c r="V22" s="431"/>
      <c r="W22" s="431"/>
      <c r="X22" s="432"/>
    </row>
    <row r="23" spans="2:24" ht="22.9" customHeight="1">
      <c r="B23" s="48"/>
      <c r="C23" s="404"/>
      <c r="D23" s="74" t="s">
        <v>330</v>
      </c>
      <c r="E23" s="74"/>
      <c r="F23" s="491"/>
      <c r="G23" s="491"/>
      <c r="H23" s="491"/>
      <c r="I23" s="50"/>
      <c r="K23" s="429"/>
      <c r="L23" s="431"/>
      <c r="M23" s="431"/>
      <c r="N23" s="431"/>
      <c r="O23" s="431"/>
      <c r="P23" s="431"/>
      <c r="Q23" s="431"/>
      <c r="R23" s="431"/>
      <c r="S23" s="431"/>
      <c r="T23" s="431"/>
      <c r="U23" s="431"/>
      <c r="V23" s="431"/>
      <c r="W23" s="431"/>
      <c r="X23" s="432"/>
    </row>
    <row r="24" spans="2:24" ht="22.9" customHeight="1">
      <c r="B24" s="48"/>
      <c r="C24" s="404"/>
      <c r="D24" s="74" t="s">
        <v>331</v>
      </c>
      <c r="E24" s="74"/>
      <c r="F24" s="491">
        <v>-26360.84</v>
      </c>
      <c r="G24" s="491"/>
      <c r="H24" s="491"/>
      <c r="I24" s="50"/>
      <c r="K24" s="429"/>
      <c r="L24" s="431"/>
      <c r="M24" s="431"/>
      <c r="N24" s="431"/>
      <c r="O24" s="431"/>
      <c r="P24" s="431"/>
      <c r="Q24" s="431"/>
      <c r="R24" s="431"/>
      <c r="S24" s="431"/>
      <c r="T24" s="431"/>
      <c r="U24" s="431"/>
      <c r="V24" s="431"/>
      <c r="W24" s="431"/>
      <c r="X24" s="432"/>
    </row>
    <row r="25" spans="2:24" ht="22.9" customHeight="1">
      <c r="B25" s="48"/>
      <c r="C25" s="404"/>
      <c r="D25" s="74" t="s">
        <v>332</v>
      </c>
      <c r="E25" s="74"/>
      <c r="F25" s="491">
        <v>4768208.13</v>
      </c>
      <c r="G25" s="491">
        <v>4422889.8709765999</v>
      </c>
      <c r="H25" s="491">
        <v>4508675.3104830002</v>
      </c>
      <c r="I25" s="50"/>
      <c r="K25" s="429"/>
      <c r="L25" s="431"/>
      <c r="M25" s="431"/>
      <c r="N25" s="431"/>
      <c r="O25" s="431"/>
      <c r="P25" s="431"/>
      <c r="Q25" s="431"/>
      <c r="R25" s="431"/>
      <c r="S25" s="431"/>
      <c r="T25" s="431"/>
      <c r="U25" s="431"/>
      <c r="V25" s="431"/>
      <c r="W25" s="431"/>
      <c r="X25" s="432"/>
    </row>
    <row r="26" spans="2:24" ht="22.9" customHeight="1">
      <c r="B26" s="48"/>
      <c r="C26" s="404"/>
      <c r="D26" s="74" t="s">
        <v>333</v>
      </c>
      <c r="E26" s="74"/>
      <c r="F26" s="491"/>
      <c r="G26" s="491"/>
      <c r="H26" s="491"/>
      <c r="I26" s="50"/>
      <c r="K26" s="429"/>
      <c r="L26" s="431"/>
      <c r="M26" s="431"/>
      <c r="N26" s="431"/>
      <c r="O26" s="431"/>
      <c r="P26" s="431"/>
      <c r="Q26" s="431"/>
      <c r="R26" s="431"/>
      <c r="S26" s="431"/>
      <c r="T26" s="431"/>
      <c r="U26" s="431"/>
      <c r="V26" s="431"/>
      <c r="W26" s="431"/>
      <c r="X26" s="432"/>
    </row>
    <row r="27" spans="2:24" ht="22.9" customHeight="1">
      <c r="B27" s="48"/>
      <c r="C27" s="404"/>
      <c r="D27" s="74" t="s">
        <v>334</v>
      </c>
      <c r="E27" s="74"/>
      <c r="F27" s="491"/>
      <c r="G27" s="491"/>
      <c r="H27" s="491"/>
      <c r="I27" s="50"/>
      <c r="K27" s="429"/>
      <c r="L27" s="431"/>
      <c r="M27" s="431"/>
      <c r="N27" s="431"/>
      <c r="O27" s="431"/>
      <c r="P27" s="431"/>
      <c r="Q27" s="431"/>
      <c r="R27" s="431"/>
      <c r="S27" s="431"/>
      <c r="T27" s="431"/>
      <c r="U27" s="431"/>
      <c r="V27" s="431"/>
      <c r="W27" s="431"/>
      <c r="X27" s="432"/>
    </row>
    <row r="28" spans="2:24" ht="22.9" customHeight="1">
      <c r="B28" s="48"/>
      <c r="C28" s="404"/>
      <c r="D28" s="74" t="s">
        <v>335</v>
      </c>
      <c r="E28" s="74"/>
      <c r="F28" s="491">
        <v>5986.64</v>
      </c>
      <c r="G28" s="491">
        <v>0</v>
      </c>
      <c r="H28" s="491">
        <v>20583.349272441039</v>
      </c>
      <c r="I28" s="50"/>
      <c r="K28" s="429"/>
      <c r="L28" s="431"/>
      <c r="M28" s="431"/>
      <c r="N28" s="431"/>
      <c r="O28" s="431"/>
      <c r="P28" s="431"/>
      <c r="Q28" s="431"/>
      <c r="R28" s="431"/>
      <c r="S28" s="431"/>
      <c r="T28" s="431"/>
      <c r="U28" s="431"/>
      <c r="V28" s="431"/>
      <c r="W28" s="431"/>
      <c r="X28" s="432"/>
    </row>
    <row r="29" spans="2:24" ht="22.9" customHeight="1">
      <c r="B29" s="48"/>
      <c r="C29" s="403" t="s">
        <v>336</v>
      </c>
      <c r="D29" s="72"/>
      <c r="E29" s="71"/>
      <c r="F29" s="412">
        <f>SUM(F30:F35)</f>
        <v>3406754.66</v>
      </c>
      <c r="G29" s="412">
        <f>SUM(G30:G35)</f>
        <v>43504.603843068515</v>
      </c>
      <c r="H29" s="412">
        <f>SUM(H30:H35)</f>
        <v>-628394.34353786497</v>
      </c>
      <c r="I29" s="50"/>
      <c r="K29" s="429"/>
      <c r="L29" s="431"/>
      <c r="M29" s="431"/>
      <c r="N29" s="431"/>
      <c r="O29" s="431"/>
      <c r="P29" s="431"/>
      <c r="Q29" s="431"/>
      <c r="R29" s="431"/>
      <c r="S29" s="431"/>
      <c r="T29" s="431"/>
      <c r="U29" s="431"/>
      <c r="V29" s="431"/>
      <c r="W29" s="431"/>
      <c r="X29" s="432"/>
    </row>
    <row r="30" spans="2:24" ht="22.9" customHeight="1">
      <c r="B30" s="48"/>
      <c r="C30" s="404"/>
      <c r="D30" s="74" t="s">
        <v>337</v>
      </c>
      <c r="E30" s="74"/>
      <c r="F30" s="491">
        <v>-393810.55</v>
      </c>
      <c r="G30" s="491">
        <v>37787.279999999795</v>
      </c>
      <c r="H30" s="491"/>
      <c r="I30" s="50"/>
      <c r="K30" s="439"/>
      <c r="L30" s="440"/>
      <c r="M30" s="440"/>
      <c r="N30" s="440"/>
      <c r="O30" s="440"/>
      <c r="P30" s="440"/>
      <c r="Q30" s="440"/>
      <c r="R30" s="440"/>
      <c r="S30" s="440"/>
      <c r="T30" s="440"/>
      <c r="U30" s="440"/>
      <c r="V30" s="440"/>
      <c r="W30" s="440"/>
      <c r="X30" s="441"/>
    </row>
    <row r="31" spans="2:24" ht="22.9" customHeight="1">
      <c r="B31" s="48"/>
      <c r="C31" s="404"/>
      <c r="D31" s="74" t="s">
        <v>338</v>
      </c>
      <c r="E31" s="74"/>
      <c r="F31" s="491">
        <v>4082783.49</v>
      </c>
      <c r="G31" s="491">
        <v>809346.99871337041</v>
      </c>
      <c r="H31" s="491">
        <v>-640525.66002163012</v>
      </c>
      <c r="I31" s="50"/>
      <c r="K31" s="439"/>
      <c r="L31" s="440"/>
      <c r="M31" s="440"/>
      <c r="N31" s="440"/>
      <c r="O31" s="440"/>
      <c r="P31" s="440"/>
      <c r="Q31" s="440"/>
      <c r="R31" s="440"/>
      <c r="S31" s="440"/>
      <c r="T31" s="440"/>
      <c r="U31" s="440"/>
      <c r="V31" s="440"/>
      <c r="W31" s="440"/>
      <c r="X31" s="441"/>
    </row>
    <row r="32" spans="2:24" ht="22.9" customHeight="1">
      <c r="B32" s="48"/>
      <c r="C32" s="404"/>
      <c r="D32" s="74" t="s">
        <v>339</v>
      </c>
      <c r="E32" s="74"/>
      <c r="F32" s="491">
        <v>10415.23</v>
      </c>
      <c r="G32" s="491">
        <v>9770.1221917807998</v>
      </c>
      <c r="H32" s="491">
        <v>22602.687808219202</v>
      </c>
      <c r="I32" s="50"/>
      <c r="K32" s="429"/>
      <c r="L32" s="431"/>
      <c r="M32" s="431"/>
      <c r="N32" s="431"/>
      <c r="O32" s="431"/>
      <c r="P32" s="431"/>
      <c r="Q32" s="431"/>
      <c r="R32" s="431"/>
      <c r="S32" s="431"/>
      <c r="T32" s="431"/>
      <c r="U32" s="431"/>
      <c r="V32" s="431"/>
      <c r="W32" s="431"/>
      <c r="X32" s="432"/>
    </row>
    <row r="33" spans="2:24" ht="22.9" customHeight="1">
      <c r="B33" s="48"/>
      <c r="C33" s="404"/>
      <c r="D33" s="74" t="s">
        <v>340</v>
      </c>
      <c r="E33" s="74"/>
      <c r="F33" s="491">
        <v>-228787.91</v>
      </c>
      <c r="G33" s="491">
        <v>-844382.33706208272</v>
      </c>
      <c r="H33" s="491">
        <v>52939.989154135343</v>
      </c>
      <c r="I33" s="50"/>
      <c r="K33" s="429"/>
      <c r="L33" s="431"/>
      <c r="M33" s="431"/>
      <c r="N33" s="431"/>
      <c r="O33" s="431"/>
      <c r="P33" s="431"/>
      <c r="Q33" s="431"/>
      <c r="R33" s="431"/>
      <c r="S33" s="431"/>
      <c r="T33" s="431"/>
      <c r="U33" s="431"/>
      <c r="V33" s="431"/>
      <c r="W33" s="431"/>
      <c r="X33" s="432"/>
    </row>
    <row r="34" spans="2:24" ht="22.9" customHeight="1">
      <c r="B34" s="48"/>
      <c r="C34" s="404"/>
      <c r="D34" s="74" t="s">
        <v>341</v>
      </c>
      <c r="E34" s="74"/>
      <c r="F34" s="491">
        <v>-63845.599999999999</v>
      </c>
      <c r="G34" s="491">
        <v>30982.540000000197</v>
      </c>
      <c r="H34" s="491">
        <v>-46142.730478589423</v>
      </c>
      <c r="I34" s="50"/>
      <c r="K34" s="429"/>
      <c r="L34" s="431"/>
      <c r="M34" s="431"/>
      <c r="N34" s="431"/>
      <c r="O34" s="431"/>
      <c r="P34" s="431"/>
      <c r="Q34" s="431"/>
      <c r="R34" s="431"/>
      <c r="S34" s="431"/>
      <c r="T34" s="431"/>
      <c r="U34" s="431"/>
      <c r="V34" s="431"/>
      <c r="W34" s="431"/>
      <c r="X34" s="432"/>
    </row>
    <row r="35" spans="2:24" ht="22.9" customHeight="1">
      <c r="B35" s="48"/>
      <c r="C35" s="404"/>
      <c r="D35" s="74" t="s">
        <v>342</v>
      </c>
      <c r="E35" s="74"/>
      <c r="F35" s="491"/>
      <c r="G35" s="491">
        <v>0</v>
      </c>
      <c r="H35" s="491">
        <v>-17268.63</v>
      </c>
      <c r="I35" s="50"/>
      <c r="K35" s="429"/>
      <c r="L35" s="431"/>
      <c r="M35" s="431"/>
      <c r="N35" s="431"/>
      <c r="O35" s="431"/>
      <c r="P35" s="431"/>
      <c r="Q35" s="431"/>
      <c r="R35" s="431"/>
      <c r="S35" s="431"/>
      <c r="T35" s="431"/>
      <c r="U35" s="431"/>
      <c r="V35" s="431"/>
      <c r="W35" s="431"/>
      <c r="X35" s="432"/>
    </row>
    <row r="36" spans="2:24" ht="22.9" customHeight="1">
      <c r="B36" s="48"/>
      <c r="C36" s="403" t="s">
        <v>343</v>
      </c>
      <c r="D36" s="72"/>
      <c r="E36" s="71"/>
      <c r="F36" s="412">
        <f>SUM(F37:F41)</f>
        <v>-4769133.08</v>
      </c>
      <c r="G36" s="412">
        <f>SUM(G37:G41)</f>
        <v>-4616531.4600598412</v>
      </c>
      <c r="H36" s="412">
        <f>SUM(H37:H41)</f>
        <v>-4681021.4843814131</v>
      </c>
      <c r="I36" s="50"/>
      <c r="K36" s="442"/>
      <c r="L36" s="443"/>
      <c r="M36" s="443"/>
      <c r="N36" s="443"/>
      <c r="O36" s="443"/>
      <c r="P36" s="443"/>
      <c r="Q36" s="443"/>
      <c r="R36" s="443"/>
      <c r="S36" s="443"/>
      <c r="T36" s="443"/>
      <c r="U36" s="443"/>
      <c r="V36" s="443"/>
      <c r="W36" s="443"/>
      <c r="X36" s="444"/>
    </row>
    <row r="37" spans="2:24" ht="22.9" customHeight="1">
      <c r="B37" s="48"/>
      <c r="C37" s="404"/>
      <c r="D37" s="74" t="s">
        <v>344</v>
      </c>
      <c r="E37" s="74"/>
      <c r="F37" s="491">
        <v>-4768208.13</v>
      </c>
      <c r="G37" s="491">
        <v>-4422889.8709765999</v>
      </c>
      <c r="H37" s="491">
        <v>-4508675.3104830002</v>
      </c>
      <c r="I37" s="50"/>
      <c r="K37" s="442"/>
      <c r="L37" s="443"/>
      <c r="M37" s="443"/>
      <c r="N37" s="443"/>
      <c r="O37" s="443"/>
      <c r="P37" s="443"/>
      <c r="Q37" s="443"/>
      <c r="R37" s="443"/>
      <c r="S37" s="443"/>
      <c r="T37" s="443"/>
      <c r="U37" s="443"/>
      <c r="V37" s="443"/>
      <c r="W37" s="443"/>
      <c r="X37" s="444"/>
    </row>
    <row r="38" spans="2:24" ht="22.9" customHeight="1">
      <c r="B38" s="48"/>
      <c r="C38" s="404"/>
      <c r="D38" s="74" t="s">
        <v>345</v>
      </c>
      <c r="E38" s="74"/>
      <c r="F38" s="491"/>
      <c r="G38" s="491">
        <v>0</v>
      </c>
      <c r="H38" s="491">
        <v>0</v>
      </c>
      <c r="I38" s="50"/>
      <c r="K38" s="442"/>
      <c r="L38" s="443"/>
      <c r="M38" s="443"/>
      <c r="N38" s="443"/>
      <c r="O38" s="443"/>
      <c r="P38" s="443"/>
      <c r="Q38" s="443"/>
      <c r="R38" s="443"/>
      <c r="S38" s="443"/>
      <c r="T38" s="443"/>
      <c r="U38" s="443"/>
      <c r="V38" s="443"/>
      <c r="W38" s="443"/>
      <c r="X38" s="444"/>
    </row>
    <row r="39" spans="2:24" ht="22.9" customHeight="1">
      <c r="B39" s="48"/>
      <c r="C39" s="404"/>
      <c r="D39" s="74" t="s">
        <v>346</v>
      </c>
      <c r="E39" s="74"/>
      <c r="F39" s="491">
        <v>26360.84</v>
      </c>
      <c r="G39" s="491">
        <v>0</v>
      </c>
      <c r="H39" s="491">
        <v>0</v>
      </c>
      <c r="I39" s="50"/>
      <c r="K39" s="442"/>
      <c r="L39" s="443"/>
      <c r="M39" s="443"/>
      <c r="N39" s="443"/>
      <c r="O39" s="443"/>
      <c r="P39" s="443"/>
      <c r="Q39" s="443"/>
      <c r="R39" s="443"/>
      <c r="S39" s="443"/>
      <c r="T39" s="443"/>
      <c r="U39" s="443"/>
      <c r="V39" s="443"/>
      <c r="W39" s="443"/>
      <c r="X39" s="444"/>
    </row>
    <row r="40" spans="2:24" ht="22.9" customHeight="1">
      <c r="B40" s="48"/>
      <c r="C40" s="404"/>
      <c r="D40" s="74" t="s">
        <v>347</v>
      </c>
      <c r="E40" s="74"/>
      <c r="F40" s="491">
        <v>-27285.79</v>
      </c>
      <c r="G40" s="491">
        <v>-193641.58908324136</v>
      </c>
      <c r="H40" s="491">
        <v>-172346.17389841273</v>
      </c>
      <c r="I40" s="50"/>
      <c r="K40" s="442"/>
      <c r="L40" s="443"/>
      <c r="M40" s="443"/>
      <c r="N40" s="443"/>
      <c r="O40" s="443"/>
      <c r="P40" s="443"/>
      <c r="Q40" s="443"/>
      <c r="R40" s="443"/>
      <c r="S40" s="443"/>
      <c r="T40" s="443"/>
      <c r="U40" s="443"/>
      <c r="V40" s="443"/>
      <c r="W40" s="443"/>
      <c r="X40" s="444"/>
    </row>
    <row r="41" spans="2:24" ht="22.9" customHeight="1">
      <c r="B41" s="48"/>
      <c r="C41" s="404"/>
      <c r="D41" s="74" t="s">
        <v>348</v>
      </c>
      <c r="E41" s="74"/>
      <c r="F41" s="491"/>
      <c r="G41" s="491"/>
      <c r="H41" s="491"/>
      <c r="I41" s="50"/>
      <c r="K41" s="442"/>
      <c r="L41" s="443"/>
      <c r="M41" s="443"/>
      <c r="N41" s="443"/>
      <c r="O41" s="443"/>
      <c r="P41" s="443"/>
      <c r="Q41" s="443"/>
      <c r="R41" s="443"/>
      <c r="S41" s="443"/>
      <c r="T41" s="443"/>
      <c r="U41" s="443"/>
      <c r="V41" s="443"/>
      <c r="W41" s="443"/>
      <c r="X41" s="444"/>
    </row>
    <row r="42" spans="2:24" ht="22.9" customHeight="1" thickBot="1">
      <c r="B42" s="48"/>
      <c r="C42" s="405" t="s">
        <v>349</v>
      </c>
      <c r="D42" s="85"/>
      <c r="E42" s="85"/>
      <c r="F42" s="414">
        <f>F16+F17+F29+F36</f>
        <v>7976349.4699999969</v>
      </c>
      <c r="G42" s="414">
        <f>G16+G17+G29+G36</f>
        <v>4668132.0264009694</v>
      </c>
      <c r="H42" s="414">
        <f>H16+H17+H29+H36</f>
        <v>4378086.6448810883</v>
      </c>
      <c r="I42" s="50"/>
      <c r="K42" s="442"/>
      <c r="L42" s="443"/>
      <c r="M42" s="443"/>
      <c r="N42" s="443"/>
      <c r="O42" s="443"/>
      <c r="P42" s="443"/>
      <c r="Q42" s="443"/>
      <c r="R42" s="443"/>
      <c r="S42" s="443"/>
      <c r="T42" s="443"/>
      <c r="U42" s="443"/>
      <c r="V42" s="443"/>
      <c r="W42" s="443"/>
      <c r="X42" s="444"/>
    </row>
    <row r="43" spans="2:24" ht="22.9" customHeight="1">
      <c r="B43" s="48"/>
      <c r="C43" s="404"/>
      <c r="D43" s="64"/>
      <c r="E43" s="64"/>
      <c r="F43" s="411"/>
      <c r="G43" s="411"/>
      <c r="H43" s="411"/>
      <c r="I43" s="50"/>
      <c r="K43" s="442"/>
      <c r="L43" s="443"/>
      <c r="M43" s="443"/>
      <c r="N43" s="443"/>
      <c r="O43" s="443"/>
      <c r="P43" s="443"/>
      <c r="Q43" s="443"/>
      <c r="R43" s="443"/>
      <c r="S43" s="443"/>
      <c r="T43" s="443"/>
      <c r="U43" s="443"/>
      <c r="V43" s="443"/>
      <c r="W43" s="443"/>
      <c r="X43" s="444"/>
    </row>
    <row r="44" spans="2:24" ht="22.9" customHeight="1">
      <c r="B44" s="48"/>
      <c r="C44" s="402" t="s">
        <v>350</v>
      </c>
      <c r="D44" s="88"/>
      <c r="E44" s="87"/>
      <c r="F44" s="411"/>
      <c r="G44" s="411"/>
      <c r="H44" s="411"/>
      <c r="I44" s="50"/>
      <c r="K44" s="442"/>
      <c r="L44" s="443"/>
      <c r="M44" s="443"/>
      <c r="N44" s="443"/>
      <c r="O44" s="443"/>
      <c r="P44" s="443"/>
      <c r="Q44" s="443"/>
      <c r="R44" s="443"/>
      <c r="S44" s="443"/>
      <c r="T44" s="443"/>
      <c r="U44" s="443"/>
      <c r="V44" s="443"/>
      <c r="W44" s="443"/>
      <c r="X44" s="444"/>
    </row>
    <row r="45" spans="2:24" ht="22.9" customHeight="1">
      <c r="B45" s="48"/>
      <c r="C45" s="403" t="s">
        <v>351</v>
      </c>
      <c r="D45" s="72"/>
      <c r="E45" s="71"/>
      <c r="F45" s="412">
        <f>SUM(F46:F53)</f>
        <v>-2232651.38</v>
      </c>
      <c r="G45" s="412">
        <f>SUM(G46:G53)</f>
        <v>-3274699.7009472405</v>
      </c>
      <c r="H45" s="412">
        <f>SUM(H46:H53)</f>
        <v>-8341347.3880285388</v>
      </c>
      <c r="I45" s="50"/>
      <c r="K45" s="442"/>
      <c r="L45" s="443"/>
      <c r="M45" s="443"/>
      <c r="N45" s="443"/>
      <c r="O45" s="443"/>
      <c r="P45" s="443"/>
      <c r="Q45" s="443"/>
      <c r="R45" s="443"/>
      <c r="S45" s="443"/>
      <c r="T45" s="443"/>
      <c r="U45" s="443"/>
      <c r="V45" s="443"/>
      <c r="W45" s="443"/>
      <c r="X45" s="444"/>
    </row>
    <row r="46" spans="2:24" ht="22.9" customHeight="1">
      <c r="B46" s="48"/>
      <c r="C46" s="404"/>
      <c r="D46" s="74" t="s">
        <v>352</v>
      </c>
      <c r="E46" s="74"/>
      <c r="F46" s="491"/>
      <c r="G46" s="491"/>
      <c r="H46" s="491"/>
      <c r="I46" s="50"/>
      <c r="K46" s="442"/>
      <c r="L46" s="443"/>
      <c r="M46" s="443"/>
      <c r="N46" s="443"/>
      <c r="O46" s="443"/>
      <c r="P46" s="443"/>
      <c r="Q46" s="443"/>
      <c r="R46" s="443"/>
      <c r="S46" s="443"/>
      <c r="T46" s="443"/>
      <c r="U46" s="443"/>
      <c r="V46" s="443"/>
      <c r="W46" s="443"/>
      <c r="X46" s="444"/>
    </row>
    <row r="47" spans="2:24" ht="22.9" customHeight="1">
      <c r="B47" s="48"/>
      <c r="C47" s="404"/>
      <c r="D47" s="74" t="s">
        <v>353</v>
      </c>
      <c r="E47" s="74"/>
      <c r="F47" s="491">
        <v>-1707090.39</v>
      </c>
      <c r="G47" s="491">
        <v>-1649359.739688444</v>
      </c>
      <c r="H47" s="491">
        <v>-3702472.9651157698</v>
      </c>
      <c r="I47" s="50"/>
      <c r="K47" s="442"/>
      <c r="L47" s="443"/>
      <c r="M47" s="443"/>
      <c r="N47" s="443"/>
      <c r="O47" s="443"/>
      <c r="P47" s="443"/>
      <c r="Q47" s="443"/>
      <c r="R47" s="443"/>
      <c r="S47" s="443"/>
      <c r="T47" s="443"/>
      <c r="U47" s="443"/>
      <c r="V47" s="443"/>
      <c r="W47" s="443"/>
      <c r="X47" s="444"/>
    </row>
    <row r="48" spans="2:24" ht="22.9" customHeight="1">
      <c r="B48" s="48"/>
      <c r="C48" s="404"/>
      <c r="D48" s="74" t="s">
        <v>354</v>
      </c>
      <c r="E48" s="74"/>
      <c r="F48" s="491">
        <v>-525560.99</v>
      </c>
      <c r="G48" s="491">
        <v>-1625339.9612587965</v>
      </c>
      <c r="H48" s="491">
        <v>-4638874.422912769</v>
      </c>
      <c r="I48" s="50"/>
      <c r="K48" s="442"/>
      <c r="L48" s="443"/>
      <c r="M48" s="443"/>
      <c r="N48" s="443"/>
      <c r="O48" s="443"/>
      <c r="P48" s="443"/>
      <c r="Q48" s="443"/>
      <c r="R48" s="443"/>
      <c r="S48" s="443"/>
      <c r="T48" s="443"/>
      <c r="U48" s="443"/>
      <c r="V48" s="443"/>
      <c r="W48" s="443"/>
      <c r="X48" s="444"/>
    </row>
    <row r="49" spans="2:24" ht="22.9" customHeight="1">
      <c r="B49" s="48"/>
      <c r="C49" s="404"/>
      <c r="D49" s="74" t="s">
        <v>355</v>
      </c>
      <c r="E49" s="74"/>
      <c r="F49" s="491"/>
      <c r="G49" s="491"/>
      <c r="H49" s="491"/>
      <c r="I49" s="50"/>
      <c r="K49" s="442"/>
      <c r="L49" s="443"/>
      <c r="M49" s="443"/>
      <c r="N49" s="443"/>
      <c r="O49" s="443"/>
      <c r="P49" s="443"/>
      <c r="Q49" s="443"/>
      <c r="R49" s="443"/>
      <c r="S49" s="443"/>
      <c r="T49" s="443"/>
      <c r="U49" s="443"/>
      <c r="V49" s="443"/>
      <c r="W49" s="443"/>
      <c r="X49" s="444"/>
    </row>
    <row r="50" spans="2:24" ht="22.9" customHeight="1">
      <c r="B50" s="48"/>
      <c r="C50" s="404"/>
      <c r="D50" s="74" t="s">
        <v>356</v>
      </c>
      <c r="E50" s="74"/>
      <c r="F50" s="491"/>
      <c r="G50" s="491"/>
      <c r="H50" s="491"/>
      <c r="I50" s="50"/>
      <c r="K50" s="442"/>
      <c r="L50" s="443"/>
      <c r="M50" s="443"/>
      <c r="N50" s="443"/>
      <c r="O50" s="443"/>
      <c r="P50" s="443"/>
      <c r="Q50" s="443"/>
      <c r="R50" s="443"/>
      <c r="S50" s="443"/>
      <c r="T50" s="443"/>
      <c r="U50" s="443"/>
      <c r="V50" s="443"/>
      <c r="W50" s="443"/>
      <c r="X50" s="444"/>
    </row>
    <row r="51" spans="2:24" ht="22.9" customHeight="1">
      <c r="B51" s="48"/>
      <c r="C51" s="404"/>
      <c r="D51" s="74" t="s">
        <v>357</v>
      </c>
      <c r="E51" s="74"/>
      <c r="F51" s="491"/>
      <c r="G51" s="491"/>
      <c r="H51" s="491"/>
      <c r="I51" s="50"/>
      <c r="K51" s="442"/>
      <c r="L51" s="443"/>
      <c r="M51" s="443"/>
      <c r="N51" s="443"/>
      <c r="O51" s="443"/>
      <c r="P51" s="443"/>
      <c r="Q51" s="443"/>
      <c r="R51" s="443"/>
      <c r="S51" s="443"/>
      <c r="T51" s="443"/>
      <c r="U51" s="443"/>
      <c r="V51" s="443"/>
      <c r="W51" s="443"/>
      <c r="X51" s="444"/>
    </row>
    <row r="52" spans="2:24" s="77" customFormat="1" ht="22.9" customHeight="1">
      <c r="B52" s="24"/>
      <c r="C52" s="404"/>
      <c r="D52" s="74" t="s">
        <v>383</v>
      </c>
      <c r="E52" s="74"/>
      <c r="F52" s="491"/>
      <c r="G52" s="491"/>
      <c r="H52" s="491"/>
      <c r="I52" s="61"/>
      <c r="K52" s="442"/>
      <c r="L52" s="443"/>
      <c r="M52" s="443"/>
      <c r="N52" s="443"/>
      <c r="O52" s="443"/>
      <c r="P52" s="443"/>
      <c r="Q52" s="443"/>
      <c r="R52" s="443"/>
      <c r="S52" s="443"/>
      <c r="T52" s="443"/>
      <c r="U52" s="443"/>
      <c r="V52" s="443"/>
      <c r="W52" s="443"/>
      <c r="X52" s="444"/>
    </row>
    <row r="53" spans="2:24" ht="22.9" customHeight="1">
      <c r="B53" s="48"/>
      <c r="C53" s="404"/>
      <c r="D53" s="74" t="s">
        <v>384</v>
      </c>
      <c r="E53" s="74"/>
      <c r="F53" s="491"/>
      <c r="G53" s="491"/>
      <c r="H53" s="491"/>
      <c r="I53" s="50"/>
      <c r="K53" s="442"/>
      <c r="L53" s="443"/>
      <c r="M53" s="443"/>
      <c r="N53" s="443"/>
      <c r="O53" s="443"/>
      <c r="P53" s="443"/>
      <c r="Q53" s="443"/>
      <c r="R53" s="443"/>
      <c r="S53" s="443"/>
      <c r="T53" s="443"/>
      <c r="U53" s="443"/>
      <c r="V53" s="443"/>
      <c r="W53" s="443"/>
      <c r="X53" s="444"/>
    </row>
    <row r="54" spans="2:24" ht="22.9" customHeight="1">
      <c r="B54" s="48"/>
      <c r="C54" s="403" t="s">
        <v>358</v>
      </c>
      <c r="D54" s="72"/>
      <c r="E54" s="71"/>
      <c r="F54" s="412">
        <f>SUM(F55:F62)</f>
        <v>17217.830000000002</v>
      </c>
      <c r="G54" s="412">
        <f>SUM(G55:G62)</f>
        <v>71294.349999999991</v>
      </c>
      <c r="H54" s="412">
        <f>SUM(H55:H62)</f>
        <v>0</v>
      </c>
      <c r="I54" s="50"/>
      <c r="K54" s="442"/>
      <c r="L54" s="443"/>
      <c r="M54" s="443"/>
      <c r="N54" s="443"/>
      <c r="O54" s="443"/>
      <c r="P54" s="443"/>
      <c r="Q54" s="443"/>
      <c r="R54" s="443"/>
      <c r="S54" s="443"/>
      <c r="T54" s="443"/>
      <c r="U54" s="443"/>
      <c r="V54" s="443"/>
      <c r="W54" s="443"/>
      <c r="X54" s="444"/>
    </row>
    <row r="55" spans="2:24" ht="22.9" customHeight="1">
      <c r="B55" s="48"/>
      <c r="C55" s="404"/>
      <c r="D55" s="74" t="s">
        <v>352</v>
      </c>
      <c r="E55" s="74"/>
      <c r="F55" s="491"/>
      <c r="G55" s="491"/>
      <c r="H55" s="491"/>
      <c r="I55" s="50"/>
      <c r="K55" s="442"/>
      <c r="L55" s="443"/>
      <c r="M55" s="443"/>
      <c r="N55" s="443"/>
      <c r="O55" s="443"/>
      <c r="P55" s="443"/>
      <c r="Q55" s="443"/>
      <c r="R55" s="443"/>
      <c r="S55" s="443"/>
      <c r="T55" s="443"/>
      <c r="U55" s="443"/>
      <c r="V55" s="443"/>
      <c r="W55" s="443"/>
      <c r="X55" s="444"/>
    </row>
    <row r="56" spans="2:24" ht="22.9" customHeight="1">
      <c r="B56" s="48"/>
      <c r="C56" s="404"/>
      <c r="D56" s="74" t="s">
        <v>353</v>
      </c>
      <c r="E56" s="74"/>
      <c r="F56" s="491"/>
      <c r="G56" s="491"/>
      <c r="H56" s="491"/>
      <c r="I56" s="50"/>
      <c r="K56" s="442"/>
      <c r="L56" s="443"/>
      <c r="M56" s="443"/>
      <c r="N56" s="443"/>
      <c r="O56" s="443"/>
      <c r="P56" s="443"/>
      <c r="Q56" s="443"/>
      <c r="R56" s="443"/>
      <c r="S56" s="443"/>
      <c r="T56" s="443"/>
      <c r="U56" s="443"/>
      <c r="V56" s="443"/>
      <c r="W56" s="443"/>
      <c r="X56" s="444"/>
    </row>
    <row r="57" spans="2:24" ht="22.9" customHeight="1">
      <c r="B57" s="48"/>
      <c r="C57" s="404"/>
      <c r="D57" s="74" t="s">
        <v>354</v>
      </c>
      <c r="E57" s="74"/>
      <c r="F57" s="491"/>
      <c r="G57" s="491"/>
      <c r="H57" s="491"/>
      <c r="I57" s="50"/>
      <c r="K57" s="442"/>
      <c r="L57" s="443"/>
      <c r="M57" s="443"/>
      <c r="N57" s="443"/>
      <c r="O57" s="443"/>
      <c r="P57" s="443"/>
      <c r="Q57" s="443"/>
      <c r="R57" s="443"/>
      <c r="S57" s="443"/>
      <c r="T57" s="443"/>
      <c r="U57" s="443"/>
      <c r="V57" s="443"/>
      <c r="W57" s="443"/>
      <c r="X57" s="444"/>
    </row>
    <row r="58" spans="2:24" ht="22.9" customHeight="1">
      <c r="B58" s="48"/>
      <c r="C58" s="404"/>
      <c r="D58" s="74" t="s">
        <v>355</v>
      </c>
      <c r="E58" s="74"/>
      <c r="F58" s="491"/>
      <c r="G58" s="491"/>
      <c r="H58" s="491"/>
      <c r="I58" s="50"/>
      <c r="K58" s="442"/>
      <c r="L58" s="443"/>
      <c r="M58" s="443"/>
      <c r="N58" s="443"/>
      <c r="O58" s="443"/>
      <c r="P58" s="443"/>
      <c r="Q58" s="443"/>
      <c r="R58" s="443"/>
      <c r="S58" s="443"/>
      <c r="T58" s="443"/>
      <c r="U58" s="443"/>
      <c r="V58" s="443"/>
      <c r="W58" s="443"/>
      <c r="X58" s="444"/>
    </row>
    <row r="59" spans="2:24" ht="22.9" customHeight="1">
      <c r="B59" s="48"/>
      <c r="C59" s="404"/>
      <c r="D59" s="74" t="s">
        <v>356</v>
      </c>
      <c r="E59" s="74"/>
      <c r="F59" s="491">
        <v>17217.830000000002</v>
      </c>
      <c r="G59" s="491">
        <v>71294.349999999991</v>
      </c>
      <c r="H59" s="491"/>
      <c r="I59" s="50"/>
      <c r="K59" s="442"/>
      <c r="L59" s="443"/>
      <c r="M59" s="443"/>
      <c r="N59" s="443"/>
      <c r="O59" s="443"/>
      <c r="P59" s="443"/>
      <c r="Q59" s="443"/>
      <c r="R59" s="443"/>
      <c r="S59" s="443"/>
      <c r="T59" s="443"/>
      <c r="U59" s="443"/>
      <c r="V59" s="443"/>
      <c r="W59" s="443"/>
      <c r="X59" s="444"/>
    </row>
    <row r="60" spans="2:24" ht="22.9" customHeight="1">
      <c r="B60" s="48"/>
      <c r="C60" s="404"/>
      <c r="D60" s="74" t="s">
        <v>357</v>
      </c>
      <c r="E60" s="74"/>
      <c r="F60" s="491"/>
      <c r="G60" s="491"/>
      <c r="H60" s="491"/>
      <c r="I60" s="50"/>
      <c r="K60" s="442"/>
      <c r="L60" s="443"/>
      <c r="M60" s="443"/>
      <c r="N60" s="443"/>
      <c r="O60" s="443"/>
      <c r="P60" s="443"/>
      <c r="Q60" s="443"/>
      <c r="R60" s="443"/>
      <c r="S60" s="443"/>
      <c r="T60" s="443"/>
      <c r="U60" s="443"/>
      <c r="V60" s="443"/>
      <c r="W60" s="443"/>
      <c r="X60" s="444"/>
    </row>
    <row r="61" spans="2:24" ht="22.9" customHeight="1">
      <c r="B61" s="48"/>
      <c r="C61" s="404"/>
      <c r="D61" s="74" t="s">
        <v>383</v>
      </c>
      <c r="E61" s="74"/>
      <c r="F61" s="491"/>
      <c r="G61" s="491"/>
      <c r="H61" s="491"/>
      <c r="I61" s="50"/>
      <c r="K61" s="442"/>
      <c r="L61" s="443"/>
      <c r="M61" s="443"/>
      <c r="N61" s="443"/>
      <c r="O61" s="443"/>
      <c r="P61" s="443"/>
      <c r="Q61" s="443"/>
      <c r="R61" s="443"/>
      <c r="S61" s="443"/>
      <c r="T61" s="443"/>
      <c r="U61" s="443"/>
      <c r="V61" s="443"/>
      <c r="W61" s="443"/>
      <c r="X61" s="444"/>
    </row>
    <row r="62" spans="2:24" ht="22.9" customHeight="1">
      <c r="B62" s="48"/>
      <c r="C62" s="404"/>
      <c r="D62" s="74" t="s">
        <v>384</v>
      </c>
      <c r="E62" s="74"/>
      <c r="F62" s="491"/>
      <c r="G62" s="491"/>
      <c r="H62" s="491"/>
      <c r="I62" s="50"/>
      <c r="K62" s="442"/>
      <c r="L62" s="443"/>
      <c r="M62" s="443"/>
      <c r="N62" s="443"/>
      <c r="O62" s="443"/>
      <c r="P62" s="443"/>
      <c r="Q62" s="443"/>
      <c r="R62" s="443"/>
      <c r="S62" s="443"/>
      <c r="T62" s="443"/>
      <c r="U62" s="443"/>
      <c r="V62" s="443"/>
      <c r="W62" s="443"/>
      <c r="X62" s="444"/>
    </row>
    <row r="63" spans="2:24" ht="22.9" customHeight="1" thickBot="1">
      <c r="B63" s="48"/>
      <c r="C63" s="405" t="s">
        <v>359</v>
      </c>
      <c r="D63" s="85"/>
      <c r="E63" s="85"/>
      <c r="F63" s="414">
        <f>F45+F54</f>
        <v>-2215433.5499999998</v>
      </c>
      <c r="G63" s="414">
        <f>G45+G54</f>
        <v>-3203405.3509472404</v>
      </c>
      <c r="H63" s="414">
        <f>H45+H54</f>
        <v>-8341347.3880285388</v>
      </c>
      <c r="I63" s="50"/>
      <c r="K63" s="442"/>
      <c r="L63" s="443"/>
      <c r="M63" s="443"/>
      <c r="N63" s="443"/>
      <c r="O63" s="443"/>
      <c r="P63" s="443"/>
      <c r="Q63" s="443"/>
      <c r="R63" s="443"/>
      <c r="S63" s="443"/>
      <c r="T63" s="443"/>
      <c r="U63" s="443"/>
      <c r="V63" s="443"/>
      <c r="W63" s="443"/>
      <c r="X63" s="444"/>
    </row>
    <row r="64" spans="2:24" ht="22.9" customHeight="1">
      <c r="B64" s="48"/>
      <c r="C64" s="404"/>
      <c r="D64" s="64"/>
      <c r="E64" s="64"/>
      <c r="F64" s="411"/>
      <c r="G64" s="411"/>
      <c r="H64" s="411"/>
      <c r="I64" s="50"/>
      <c r="K64" s="442"/>
      <c r="L64" s="443"/>
      <c r="M64" s="443"/>
      <c r="N64" s="443"/>
      <c r="O64" s="443"/>
      <c r="P64" s="443"/>
      <c r="Q64" s="443"/>
      <c r="R64" s="443"/>
      <c r="S64" s="443"/>
      <c r="T64" s="443"/>
      <c r="U64" s="443"/>
      <c r="V64" s="443"/>
      <c r="W64" s="443"/>
      <c r="X64" s="444"/>
    </row>
    <row r="65" spans="2:24" ht="22.9" customHeight="1">
      <c r="B65" s="48"/>
      <c r="C65" s="402" t="s">
        <v>360</v>
      </c>
      <c r="D65" s="88"/>
      <c r="E65" s="87"/>
      <c r="F65" s="411"/>
      <c r="G65" s="411"/>
      <c r="H65" s="411"/>
      <c r="I65" s="50"/>
      <c r="K65" s="442"/>
      <c r="L65" s="443"/>
      <c r="M65" s="443"/>
      <c r="N65" s="443"/>
      <c r="O65" s="443"/>
      <c r="P65" s="443"/>
      <c r="Q65" s="443"/>
      <c r="R65" s="443"/>
      <c r="S65" s="443"/>
      <c r="T65" s="443"/>
      <c r="U65" s="443"/>
      <c r="V65" s="443"/>
      <c r="W65" s="443"/>
      <c r="X65" s="444"/>
    </row>
    <row r="66" spans="2:24" ht="22.9" customHeight="1">
      <c r="B66" s="48"/>
      <c r="C66" s="403" t="s">
        <v>361</v>
      </c>
      <c r="D66" s="72"/>
      <c r="E66" s="71"/>
      <c r="F66" s="412">
        <f>SUM(F67:F71)</f>
        <v>11038580.779999999</v>
      </c>
      <c r="G66" s="412">
        <f>SUM(G67:G71)</f>
        <v>3491387.6799999946</v>
      </c>
      <c r="H66" s="412">
        <f>SUM(H67:H71)</f>
        <v>-363195.45999999926</v>
      </c>
      <c r="I66" s="50"/>
      <c r="K66" s="442"/>
      <c r="L66" s="443"/>
      <c r="M66" s="443"/>
      <c r="N66" s="443"/>
      <c r="O66" s="443"/>
      <c r="P66" s="443"/>
      <c r="Q66" s="443"/>
      <c r="R66" s="443"/>
      <c r="S66" s="443"/>
      <c r="T66" s="443"/>
      <c r="U66" s="443"/>
      <c r="V66" s="443"/>
      <c r="W66" s="443"/>
      <c r="X66" s="444"/>
    </row>
    <row r="67" spans="2:24" ht="22.9" customHeight="1">
      <c r="B67" s="48"/>
      <c r="C67" s="404"/>
      <c r="D67" s="74" t="s">
        <v>362</v>
      </c>
      <c r="E67" s="74"/>
      <c r="F67" s="491"/>
      <c r="G67" s="491"/>
      <c r="H67" s="491"/>
      <c r="I67" s="50"/>
      <c r="K67" s="442"/>
      <c r="L67" s="443"/>
      <c r="M67" s="443"/>
      <c r="N67" s="443"/>
      <c r="O67" s="443"/>
      <c r="P67" s="443"/>
      <c r="Q67" s="443"/>
      <c r="R67" s="443"/>
      <c r="S67" s="443"/>
      <c r="T67" s="443"/>
      <c r="U67" s="443"/>
      <c r="V67" s="443"/>
      <c r="W67" s="443"/>
      <c r="X67" s="444"/>
    </row>
    <row r="68" spans="2:24" ht="22.9" customHeight="1">
      <c r="B68" s="48"/>
      <c r="C68" s="404"/>
      <c r="D68" s="74" t="s">
        <v>363</v>
      </c>
      <c r="E68" s="74"/>
      <c r="F68" s="491"/>
      <c r="G68" s="491"/>
      <c r="H68" s="491"/>
      <c r="I68" s="50"/>
      <c r="K68" s="442"/>
      <c r="L68" s="443"/>
      <c r="M68" s="443"/>
      <c r="N68" s="443"/>
      <c r="O68" s="443"/>
      <c r="P68" s="443"/>
      <c r="Q68" s="443"/>
      <c r="R68" s="443"/>
      <c r="S68" s="443"/>
      <c r="T68" s="443"/>
      <c r="U68" s="443"/>
      <c r="V68" s="443"/>
      <c r="W68" s="443"/>
      <c r="X68" s="444"/>
    </row>
    <row r="69" spans="2:24" ht="22.9" customHeight="1">
      <c r="B69" s="48"/>
      <c r="C69" s="404"/>
      <c r="D69" s="581" t="s">
        <v>725</v>
      </c>
      <c r="E69" s="74"/>
      <c r="F69" s="491"/>
      <c r="G69" s="491"/>
      <c r="H69" s="491"/>
      <c r="I69" s="50"/>
      <c r="K69" s="442"/>
      <c r="L69" s="443"/>
      <c r="M69" s="443"/>
      <c r="N69" s="443"/>
      <c r="O69" s="443"/>
      <c r="P69" s="443"/>
      <c r="Q69" s="443"/>
      <c r="R69" s="443"/>
      <c r="S69" s="443"/>
      <c r="T69" s="443"/>
      <c r="U69" s="443"/>
      <c r="V69" s="443"/>
      <c r="W69" s="443"/>
      <c r="X69" s="444"/>
    </row>
    <row r="70" spans="2:24" ht="22.9" customHeight="1">
      <c r="B70" s="48"/>
      <c r="C70" s="404"/>
      <c r="D70" s="74" t="s">
        <v>364</v>
      </c>
      <c r="E70" s="74"/>
      <c r="F70" s="491"/>
      <c r="G70" s="491">
        <v>245000</v>
      </c>
      <c r="H70" s="491"/>
      <c r="I70" s="50"/>
      <c r="K70" s="442"/>
      <c r="L70" s="443"/>
      <c r="M70" s="443"/>
      <c r="N70" s="443"/>
      <c r="O70" s="443"/>
      <c r="P70" s="443"/>
      <c r="Q70" s="443"/>
      <c r="R70" s="443"/>
      <c r="S70" s="443"/>
      <c r="T70" s="443"/>
      <c r="U70" s="443"/>
      <c r="V70" s="443"/>
      <c r="W70" s="443"/>
      <c r="X70" s="444"/>
    </row>
    <row r="71" spans="2:24" ht="22.9" customHeight="1">
      <c r="B71" s="48"/>
      <c r="C71" s="404"/>
      <c r="D71" s="74" t="s">
        <v>365</v>
      </c>
      <c r="E71" s="74"/>
      <c r="F71" s="491">
        <v>11038580.779999999</v>
      </c>
      <c r="G71" s="491">
        <v>3246387.6799999946</v>
      </c>
      <c r="H71" s="491">
        <v>-363195.45999999926</v>
      </c>
      <c r="I71" s="50"/>
      <c r="K71" s="442"/>
      <c r="L71" s="443"/>
      <c r="M71" s="443"/>
      <c r="N71" s="443"/>
      <c r="O71" s="443"/>
      <c r="P71" s="443"/>
      <c r="Q71" s="443"/>
      <c r="R71" s="443"/>
      <c r="S71" s="443"/>
      <c r="T71" s="443"/>
      <c r="U71" s="443"/>
      <c r="V71" s="443"/>
      <c r="W71" s="443"/>
      <c r="X71" s="444"/>
    </row>
    <row r="72" spans="2:24" ht="22.9" customHeight="1">
      <c r="B72" s="48"/>
      <c r="C72" s="403" t="s">
        <v>366</v>
      </c>
      <c r="D72" s="72"/>
      <c r="E72" s="71"/>
      <c r="F72" s="412">
        <f>+F73+F79</f>
        <v>-15321147.369999999</v>
      </c>
      <c r="G72" s="412">
        <f>+G73+G79</f>
        <v>-2547884.0099999998</v>
      </c>
      <c r="H72" s="412">
        <f>+H73+H79</f>
        <v>-90910.802810889669</v>
      </c>
      <c r="I72" s="50"/>
      <c r="K72" s="442"/>
      <c r="L72" s="443"/>
      <c r="M72" s="443"/>
      <c r="N72" s="443"/>
      <c r="O72" s="443"/>
      <c r="P72" s="443"/>
      <c r="Q72" s="443"/>
      <c r="R72" s="443"/>
      <c r="S72" s="443"/>
      <c r="T72" s="443"/>
      <c r="U72" s="443"/>
      <c r="V72" s="443"/>
      <c r="W72" s="443"/>
      <c r="X72" s="444"/>
    </row>
    <row r="73" spans="2:24" ht="22.9" customHeight="1">
      <c r="B73" s="48"/>
      <c r="C73" s="404"/>
      <c r="D73" s="74" t="s">
        <v>367</v>
      </c>
      <c r="E73" s="74"/>
      <c r="F73" s="413">
        <f>SUM(F74:F78)</f>
        <v>0</v>
      </c>
      <c r="G73" s="413">
        <f>SUM(G74:G78)</f>
        <v>0</v>
      </c>
      <c r="H73" s="413">
        <f>SUM(H74:H78)</f>
        <v>2945430.0599999996</v>
      </c>
      <c r="I73" s="50"/>
      <c r="K73" s="442"/>
      <c r="L73" s="443"/>
      <c r="M73" s="443"/>
      <c r="N73" s="443"/>
      <c r="O73" s="443"/>
      <c r="P73" s="443"/>
      <c r="Q73" s="443"/>
      <c r="R73" s="443"/>
      <c r="S73" s="443"/>
      <c r="T73" s="443"/>
      <c r="U73" s="443"/>
      <c r="V73" s="443"/>
      <c r="W73" s="443"/>
      <c r="X73" s="444"/>
    </row>
    <row r="74" spans="2:24" ht="22.9" customHeight="1">
      <c r="B74" s="48"/>
      <c r="C74" s="406"/>
      <c r="D74" s="89"/>
      <c r="E74" s="89" t="s">
        <v>368</v>
      </c>
      <c r="F74" s="492"/>
      <c r="G74" s="492"/>
      <c r="H74" s="492"/>
      <c r="I74" s="50"/>
      <c r="K74" s="442"/>
      <c r="L74" s="443"/>
      <c r="M74" s="443"/>
      <c r="N74" s="443"/>
      <c r="O74" s="443"/>
      <c r="P74" s="443"/>
      <c r="Q74" s="443"/>
      <c r="R74" s="443"/>
      <c r="S74" s="443"/>
      <c r="T74" s="443"/>
      <c r="U74" s="443"/>
      <c r="V74" s="443"/>
      <c r="W74" s="443"/>
      <c r="X74" s="444"/>
    </row>
    <row r="75" spans="2:24" ht="22.9" customHeight="1">
      <c r="B75" s="48"/>
      <c r="C75" s="406"/>
      <c r="D75" s="89"/>
      <c r="E75" s="89" t="s">
        <v>369</v>
      </c>
      <c r="F75" s="492"/>
      <c r="G75" s="492"/>
      <c r="H75" s="492">
        <v>2945430.0599999996</v>
      </c>
      <c r="I75" s="50"/>
      <c r="K75" s="442"/>
      <c r="L75" s="443"/>
      <c r="M75" s="443"/>
      <c r="N75" s="443"/>
      <c r="O75" s="443"/>
      <c r="P75" s="443"/>
      <c r="Q75" s="443"/>
      <c r="R75" s="443"/>
      <c r="S75" s="443"/>
      <c r="T75" s="443"/>
      <c r="U75" s="443"/>
      <c r="V75" s="443"/>
      <c r="W75" s="443"/>
      <c r="X75" s="444"/>
    </row>
    <row r="76" spans="2:24" ht="22.9" customHeight="1">
      <c r="B76" s="48"/>
      <c r="C76" s="406"/>
      <c r="D76" s="89"/>
      <c r="E76" s="89" t="s">
        <v>370</v>
      </c>
      <c r="F76" s="492"/>
      <c r="G76" s="492"/>
      <c r="H76" s="492"/>
      <c r="I76" s="50"/>
      <c r="K76" s="442"/>
      <c r="L76" s="443"/>
      <c r="M76" s="443"/>
      <c r="N76" s="443"/>
      <c r="O76" s="443"/>
      <c r="P76" s="443"/>
      <c r="Q76" s="443"/>
      <c r="R76" s="443"/>
      <c r="S76" s="443"/>
      <c r="T76" s="443"/>
      <c r="U76" s="443"/>
      <c r="V76" s="443"/>
      <c r="W76" s="443"/>
      <c r="X76" s="444"/>
    </row>
    <row r="77" spans="2:24" ht="22.9" customHeight="1">
      <c r="B77" s="48"/>
      <c r="C77" s="406"/>
      <c r="D77" s="89"/>
      <c r="E77" s="89" t="s">
        <v>371</v>
      </c>
      <c r="F77" s="492"/>
      <c r="G77" s="492"/>
      <c r="H77" s="492"/>
      <c r="I77" s="50"/>
      <c r="K77" s="442"/>
      <c r="L77" s="443"/>
      <c r="M77" s="443"/>
      <c r="N77" s="443"/>
      <c r="O77" s="443"/>
      <c r="P77" s="443"/>
      <c r="Q77" s="443"/>
      <c r="R77" s="443"/>
      <c r="S77" s="443"/>
      <c r="T77" s="443"/>
      <c r="U77" s="443"/>
      <c r="V77" s="443"/>
      <c r="W77" s="443"/>
      <c r="X77" s="444"/>
    </row>
    <row r="78" spans="2:24" ht="22.9" customHeight="1">
      <c r="B78" s="48"/>
      <c r="C78" s="406"/>
      <c r="D78" s="89"/>
      <c r="E78" s="89" t="s">
        <v>372</v>
      </c>
      <c r="F78" s="492"/>
      <c r="G78" s="492"/>
      <c r="H78" s="492"/>
      <c r="I78" s="50"/>
      <c r="K78" s="442"/>
      <c r="L78" s="443"/>
      <c r="M78" s="443"/>
      <c r="N78" s="443"/>
      <c r="O78" s="443"/>
      <c r="P78" s="443"/>
      <c r="Q78" s="443"/>
      <c r="R78" s="443"/>
      <c r="S78" s="443"/>
      <c r="T78" s="443"/>
      <c r="U78" s="443"/>
      <c r="V78" s="443"/>
      <c r="W78" s="443"/>
      <c r="X78" s="444"/>
    </row>
    <row r="79" spans="2:24" ht="22.9" customHeight="1">
      <c r="B79" s="48"/>
      <c r="C79" s="404"/>
      <c r="D79" s="75" t="s">
        <v>373</v>
      </c>
      <c r="E79" s="75"/>
      <c r="F79" s="415">
        <f>SUM(F80:F84)</f>
        <v>-15321147.369999999</v>
      </c>
      <c r="G79" s="415">
        <f>SUM(G80:G84)</f>
        <v>-2547884.0099999998</v>
      </c>
      <c r="H79" s="415">
        <f>SUM(H80:H84)</f>
        <v>-3036340.8628108893</v>
      </c>
      <c r="I79" s="50"/>
      <c r="K79" s="442"/>
      <c r="L79" s="443"/>
      <c r="M79" s="443"/>
      <c r="N79" s="443"/>
      <c r="O79" s="443"/>
      <c r="P79" s="443"/>
      <c r="Q79" s="443"/>
      <c r="R79" s="443"/>
      <c r="S79" s="443"/>
      <c r="T79" s="443"/>
      <c r="U79" s="443"/>
      <c r="V79" s="443"/>
      <c r="W79" s="443"/>
      <c r="X79" s="444"/>
    </row>
    <row r="80" spans="2:24" ht="22.9" customHeight="1">
      <c r="B80" s="48"/>
      <c r="C80" s="406"/>
      <c r="D80" s="89"/>
      <c r="E80" s="89" t="s">
        <v>720</v>
      </c>
      <c r="F80" s="492"/>
      <c r="G80" s="492"/>
      <c r="H80" s="492"/>
      <c r="I80" s="50"/>
      <c r="K80" s="442"/>
      <c r="L80" s="443"/>
      <c r="M80" s="443"/>
      <c r="N80" s="443"/>
      <c r="O80" s="443"/>
      <c r="P80" s="443"/>
      <c r="Q80" s="443"/>
      <c r="R80" s="443"/>
      <c r="S80" s="443"/>
      <c r="T80" s="443"/>
      <c r="U80" s="443"/>
      <c r="V80" s="443"/>
      <c r="W80" s="443"/>
      <c r="X80" s="444"/>
    </row>
    <row r="81" spans="2:24" ht="22.9" customHeight="1">
      <c r="B81" s="48"/>
      <c r="C81" s="406"/>
      <c r="D81" s="89"/>
      <c r="E81" s="89" t="s">
        <v>721</v>
      </c>
      <c r="F81" s="492">
        <v>-15321147.369999999</v>
      </c>
      <c r="G81" s="492">
        <v>-2547884.0099999998</v>
      </c>
      <c r="H81" s="492">
        <v>-3036340.8628108893</v>
      </c>
      <c r="I81" s="50"/>
      <c r="K81" s="442"/>
      <c r="L81" s="443"/>
      <c r="M81" s="443"/>
      <c r="N81" s="443"/>
      <c r="O81" s="443"/>
      <c r="P81" s="443"/>
      <c r="Q81" s="443"/>
      <c r="R81" s="443"/>
      <c r="S81" s="443"/>
      <c r="T81" s="443"/>
      <c r="U81" s="443"/>
      <c r="V81" s="443"/>
      <c r="W81" s="443"/>
      <c r="X81" s="444"/>
    </row>
    <row r="82" spans="2:24" ht="22.9" customHeight="1">
      <c r="B82" s="48"/>
      <c r="C82" s="406"/>
      <c r="D82" s="89"/>
      <c r="E82" s="89" t="s">
        <v>722</v>
      </c>
      <c r="F82" s="492"/>
      <c r="G82" s="492"/>
      <c r="H82" s="492"/>
      <c r="I82" s="50"/>
      <c r="K82" s="442"/>
      <c r="L82" s="443"/>
      <c r="M82" s="443"/>
      <c r="N82" s="443"/>
      <c r="O82" s="443"/>
      <c r="P82" s="443"/>
      <c r="Q82" s="443"/>
      <c r="R82" s="443"/>
      <c r="S82" s="443"/>
      <c r="T82" s="443"/>
      <c r="U82" s="443"/>
      <c r="V82" s="443"/>
      <c r="W82" s="443"/>
      <c r="X82" s="444"/>
    </row>
    <row r="83" spans="2:24" ht="22.9" customHeight="1">
      <c r="B83" s="48"/>
      <c r="C83" s="406"/>
      <c r="D83" s="89"/>
      <c r="E83" s="89" t="s">
        <v>723</v>
      </c>
      <c r="F83" s="492"/>
      <c r="G83" s="492"/>
      <c r="H83" s="492"/>
      <c r="I83" s="50"/>
      <c r="K83" s="442"/>
      <c r="L83" s="443"/>
      <c r="M83" s="443"/>
      <c r="N83" s="443"/>
      <c r="O83" s="443"/>
      <c r="P83" s="443"/>
      <c r="Q83" s="443"/>
      <c r="R83" s="443"/>
      <c r="S83" s="443"/>
      <c r="T83" s="443"/>
      <c r="U83" s="443"/>
      <c r="V83" s="443"/>
      <c r="W83" s="443"/>
      <c r="X83" s="444"/>
    </row>
    <row r="84" spans="2:24" ht="22.9" customHeight="1">
      <c r="B84" s="48"/>
      <c r="C84" s="406"/>
      <c r="D84" s="89"/>
      <c r="E84" s="89" t="s">
        <v>724</v>
      </c>
      <c r="F84" s="492"/>
      <c r="G84" s="492"/>
      <c r="H84" s="492"/>
      <c r="I84" s="50"/>
      <c r="K84" s="442"/>
      <c r="L84" s="443"/>
      <c r="M84" s="443"/>
      <c r="N84" s="443"/>
      <c r="O84" s="443"/>
      <c r="P84" s="443"/>
      <c r="Q84" s="443"/>
      <c r="R84" s="443"/>
      <c r="S84" s="443"/>
      <c r="T84" s="443"/>
      <c r="U84" s="443"/>
      <c r="V84" s="443"/>
      <c r="W84" s="443"/>
      <c r="X84" s="444"/>
    </row>
    <row r="85" spans="2:24" ht="22.9" customHeight="1">
      <c r="B85" s="48"/>
      <c r="C85" s="403" t="s">
        <v>374</v>
      </c>
      <c r="D85" s="72"/>
      <c r="E85" s="71"/>
      <c r="F85" s="412">
        <f>+SUM(F86:F87)</f>
        <v>0</v>
      </c>
      <c r="G85" s="412">
        <f>+SUM(G86:G87)</f>
        <v>0</v>
      </c>
      <c r="H85" s="412">
        <f>+SUM(H86:H87)</f>
        <v>0</v>
      </c>
      <c r="I85" s="50"/>
      <c r="K85" s="442"/>
      <c r="L85" s="443"/>
      <c r="M85" s="443"/>
      <c r="N85" s="443"/>
      <c r="O85" s="443"/>
      <c r="P85" s="443"/>
      <c r="Q85" s="443"/>
      <c r="R85" s="443"/>
      <c r="S85" s="443"/>
      <c r="T85" s="443"/>
      <c r="U85" s="443"/>
      <c r="V85" s="443"/>
      <c r="W85" s="443"/>
      <c r="X85" s="444"/>
    </row>
    <row r="86" spans="2:24" ht="22.9" customHeight="1">
      <c r="B86" s="48"/>
      <c r="C86" s="404"/>
      <c r="D86" s="74" t="s">
        <v>375</v>
      </c>
      <c r="E86" s="74"/>
      <c r="F86" s="491"/>
      <c r="G86" s="491"/>
      <c r="H86" s="491"/>
      <c r="I86" s="50"/>
      <c r="K86" s="442"/>
      <c r="L86" s="443"/>
      <c r="M86" s="443"/>
      <c r="N86" s="443"/>
      <c r="O86" s="443"/>
      <c r="P86" s="443"/>
      <c r="Q86" s="443"/>
      <c r="R86" s="443"/>
      <c r="S86" s="443"/>
      <c r="T86" s="443"/>
      <c r="U86" s="443"/>
      <c r="V86" s="443"/>
      <c r="W86" s="443"/>
      <c r="X86" s="444"/>
    </row>
    <row r="87" spans="2:24" ht="22.9" customHeight="1">
      <c r="B87" s="48"/>
      <c r="C87" s="404"/>
      <c r="D87" s="74" t="s">
        <v>376</v>
      </c>
      <c r="E87" s="74"/>
      <c r="F87" s="491"/>
      <c r="G87" s="491"/>
      <c r="H87" s="491"/>
      <c r="I87" s="50"/>
      <c r="K87" s="442"/>
      <c r="L87" s="443"/>
      <c r="M87" s="443"/>
      <c r="N87" s="443"/>
      <c r="O87" s="443"/>
      <c r="P87" s="443"/>
      <c r="Q87" s="443"/>
      <c r="R87" s="443"/>
      <c r="S87" s="443"/>
      <c r="T87" s="443"/>
      <c r="U87" s="443"/>
      <c r="V87" s="443"/>
      <c r="W87" s="443"/>
      <c r="X87" s="444"/>
    </row>
    <row r="88" spans="2:24" ht="22.9" customHeight="1" thickBot="1">
      <c r="B88" s="48"/>
      <c r="C88" s="405" t="s">
        <v>381</v>
      </c>
      <c r="D88" s="85"/>
      <c r="E88" s="85"/>
      <c r="F88" s="414">
        <f>+F66+F72+F85</f>
        <v>-4282566.59</v>
      </c>
      <c r="G88" s="414">
        <f>+G66+G72+G85</f>
        <v>943503.6699999948</v>
      </c>
      <c r="H88" s="414">
        <f>+H66+H72+H85</f>
        <v>-454106.26281088893</v>
      </c>
      <c r="I88" s="50"/>
      <c r="K88" s="442"/>
      <c r="L88" s="443"/>
      <c r="M88" s="443"/>
      <c r="N88" s="443"/>
      <c r="O88" s="443"/>
      <c r="P88" s="443"/>
      <c r="Q88" s="443"/>
      <c r="R88" s="443"/>
      <c r="S88" s="443"/>
      <c r="T88" s="443"/>
      <c r="U88" s="443"/>
      <c r="V88" s="443"/>
      <c r="W88" s="443"/>
      <c r="X88" s="444"/>
    </row>
    <row r="89" spans="2:24" ht="22.9" customHeight="1">
      <c r="B89" s="48"/>
      <c r="C89" s="404"/>
      <c r="D89" s="64"/>
      <c r="E89" s="64"/>
      <c r="F89" s="411"/>
      <c r="G89" s="411"/>
      <c r="H89" s="411"/>
      <c r="I89" s="50"/>
      <c r="K89" s="442"/>
      <c r="L89" s="443"/>
      <c r="M89" s="443"/>
      <c r="N89" s="443"/>
      <c r="O89" s="443"/>
      <c r="P89" s="443"/>
      <c r="Q89" s="443"/>
      <c r="R89" s="443"/>
      <c r="S89" s="443"/>
      <c r="T89" s="443"/>
      <c r="U89" s="443"/>
      <c r="V89" s="443"/>
      <c r="W89" s="443"/>
      <c r="X89" s="444"/>
    </row>
    <row r="90" spans="2:24" ht="22.9" customHeight="1" thickBot="1">
      <c r="B90" s="48"/>
      <c r="C90" s="405" t="s">
        <v>377</v>
      </c>
      <c r="D90" s="85"/>
      <c r="E90" s="85"/>
      <c r="F90" s="414">
        <v>0</v>
      </c>
      <c r="G90" s="414">
        <v>0</v>
      </c>
      <c r="H90" s="414">
        <v>0</v>
      </c>
      <c r="I90" s="50"/>
      <c r="K90" s="442"/>
      <c r="L90" s="443"/>
      <c r="M90" s="443"/>
      <c r="N90" s="443"/>
      <c r="O90" s="443"/>
      <c r="P90" s="443"/>
      <c r="Q90" s="443"/>
      <c r="R90" s="443"/>
      <c r="S90" s="443"/>
      <c r="T90" s="443"/>
      <c r="U90" s="443"/>
      <c r="V90" s="443"/>
      <c r="W90" s="443"/>
      <c r="X90" s="444"/>
    </row>
    <row r="91" spans="2:24" ht="22.9" customHeight="1">
      <c r="B91" s="48"/>
      <c r="C91" s="404"/>
      <c r="D91" s="64"/>
      <c r="E91" s="64"/>
      <c r="F91" s="411"/>
      <c r="G91" s="411"/>
      <c r="H91" s="411"/>
      <c r="I91" s="50"/>
      <c r="K91" s="442"/>
      <c r="L91" s="443"/>
      <c r="M91" s="443"/>
      <c r="N91" s="443"/>
      <c r="O91" s="443"/>
      <c r="P91" s="443"/>
      <c r="Q91" s="443"/>
      <c r="R91" s="443"/>
      <c r="S91" s="443"/>
      <c r="T91" s="443"/>
      <c r="U91" s="443"/>
      <c r="V91" s="443"/>
      <c r="W91" s="443"/>
      <c r="X91" s="444"/>
    </row>
    <row r="92" spans="2:24" ht="22.9" customHeight="1" thickBot="1">
      <c r="B92" s="48"/>
      <c r="C92" s="405" t="s">
        <v>382</v>
      </c>
      <c r="D92" s="85"/>
      <c r="E92" s="85"/>
      <c r="F92" s="414">
        <f>+F42+F63+F88+F90</f>
        <v>1478349.3299999973</v>
      </c>
      <c r="G92" s="414">
        <f>+G42+G63+G88+G90</f>
        <v>2408230.3454537238</v>
      </c>
      <c r="H92" s="414">
        <f>+H42+H63+H88+H90</f>
        <v>-4417367.0059583392</v>
      </c>
      <c r="I92" s="50"/>
      <c r="K92" s="442"/>
      <c r="L92" s="443"/>
      <c r="M92" s="443"/>
      <c r="N92" s="443"/>
      <c r="O92" s="443"/>
      <c r="P92" s="443"/>
      <c r="Q92" s="443"/>
      <c r="R92" s="443"/>
      <c r="S92" s="443"/>
      <c r="T92" s="443"/>
      <c r="U92" s="443"/>
      <c r="V92" s="443"/>
      <c r="W92" s="443"/>
      <c r="X92" s="444"/>
    </row>
    <row r="93" spans="2:24" ht="22.9" customHeight="1">
      <c r="B93" s="48"/>
      <c r="C93" s="60"/>
      <c r="D93" s="60"/>
      <c r="E93" s="60"/>
      <c r="F93" s="60"/>
      <c r="G93" s="60"/>
      <c r="H93" s="60"/>
      <c r="I93" s="50"/>
      <c r="K93" s="442"/>
      <c r="L93" s="443"/>
      <c r="M93" s="443"/>
      <c r="N93" s="443"/>
      <c r="O93" s="443"/>
      <c r="P93" s="443"/>
      <c r="Q93" s="443"/>
      <c r="R93" s="443"/>
      <c r="S93" s="443"/>
      <c r="T93" s="443"/>
      <c r="U93" s="443"/>
      <c r="V93" s="443"/>
      <c r="W93" s="443"/>
      <c r="X93" s="444"/>
    </row>
    <row r="94" spans="2:24" ht="22.9" customHeight="1" thickBot="1">
      <c r="B94" s="48"/>
      <c r="C94" s="416" t="s">
        <v>840</v>
      </c>
      <c r="D94" s="417"/>
      <c r="E94" s="417"/>
      <c r="F94" s="493">
        <v>4051084.05</v>
      </c>
      <c r="G94" s="418">
        <f>+F95</f>
        <v>5529433.3799999999</v>
      </c>
      <c r="H94" s="418">
        <f>+G95</f>
        <v>7937663.7300000004</v>
      </c>
      <c r="I94" s="50"/>
      <c r="K94" s="442"/>
      <c r="L94" s="443"/>
      <c r="M94" s="443"/>
      <c r="N94" s="443"/>
      <c r="O94" s="443"/>
      <c r="P94" s="443"/>
      <c r="Q94" s="443"/>
      <c r="R94" s="443"/>
      <c r="S94" s="443"/>
      <c r="T94" s="443"/>
      <c r="U94" s="443"/>
      <c r="V94" s="443"/>
      <c r="W94" s="443"/>
      <c r="X94" s="444"/>
    </row>
    <row r="95" spans="2:24" ht="22.9" customHeight="1" thickBot="1">
      <c r="B95" s="48"/>
      <c r="C95" s="405" t="s">
        <v>378</v>
      </c>
      <c r="D95" s="85"/>
      <c r="E95" s="85"/>
      <c r="F95" s="414">
        <f>'FC-4_ACTIVO'!E90</f>
        <v>5529433.3799999999</v>
      </c>
      <c r="G95" s="414">
        <f>+'FC-4_ACTIVO'!F90</f>
        <v>7937663.7300000004</v>
      </c>
      <c r="H95" s="414">
        <f>+'FC-4_ACTIVO'!G90</f>
        <v>3520296.7218299704</v>
      </c>
      <c r="I95" s="50"/>
      <c r="K95" s="442"/>
      <c r="L95" s="1095"/>
      <c r="M95" s="1095"/>
      <c r="N95" s="443"/>
      <c r="O95" s="443"/>
      <c r="P95" s="443"/>
      <c r="Q95" s="443"/>
      <c r="R95" s="443"/>
      <c r="S95" s="443"/>
      <c r="T95" s="443"/>
      <c r="U95" s="443"/>
      <c r="V95" s="443"/>
      <c r="W95" s="443"/>
      <c r="X95" s="444"/>
    </row>
    <row r="96" spans="2:24" ht="22.9" customHeight="1">
      <c r="B96" s="48"/>
      <c r="C96" s="928"/>
      <c r="D96" s="929"/>
      <c r="E96" s="929"/>
      <c r="F96" s="930"/>
      <c r="G96" s="930"/>
      <c r="H96" s="930"/>
      <c r="I96" s="50"/>
      <c r="K96" s="442"/>
      <c r="L96" s="1095"/>
      <c r="M96" s="1095"/>
      <c r="N96" s="443"/>
      <c r="O96" s="443"/>
      <c r="P96" s="443"/>
      <c r="Q96" s="443"/>
      <c r="R96" s="443"/>
      <c r="S96" s="443"/>
      <c r="T96" s="443"/>
      <c r="U96" s="443"/>
      <c r="V96" s="443"/>
      <c r="W96" s="443"/>
      <c r="X96" s="444"/>
    </row>
    <row r="97" spans="2:24" ht="22.9" customHeight="1">
      <c r="B97" s="48"/>
      <c r="C97" s="109" t="s">
        <v>790</v>
      </c>
      <c r="D97" s="929"/>
      <c r="E97" s="929"/>
      <c r="F97" s="930"/>
      <c r="G97" s="930"/>
      <c r="H97" s="930"/>
      <c r="I97" s="50"/>
      <c r="K97" s="442"/>
      <c r="L97" s="443"/>
      <c r="M97" s="443"/>
      <c r="N97" s="443"/>
      <c r="O97" s="443"/>
      <c r="P97" s="443"/>
      <c r="Q97" s="443"/>
      <c r="R97" s="443"/>
      <c r="S97" s="443"/>
      <c r="T97" s="443"/>
      <c r="U97" s="443"/>
      <c r="V97" s="443"/>
      <c r="W97" s="443"/>
      <c r="X97" s="444"/>
    </row>
    <row r="98" spans="2:24" ht="22.9" customHeight="1">
      <c r="B98" s="48"/>
      <c r="C98" s="931" t="s">
        <v>841</v>
      </c>
      <c r="D98" s="929"/>
      <c r="E98" s="929"/>
      <c r="F98" s="930"/>
      <c r="G98" s="930"/>
      <c r="H98" s="930"/>
      <c r="I98" s="50"/>
      <c r="K98" s="442"/>
      <c r="L98" s="443"/>
      <c r="M98" s="443"/>
      <c r="N98" s="443"/>
      <c r="O98" s="443"/>
      <c r="P98" s="443"/>
      <c r="Q98" s="443"/>
      <c r="R98" s="443"/>
      <c r="S98" s="443"/>
      <c r="T98" s="443"/>
      <c r="U98" s="443"/>
      <c r="V98" s="443"/>
      <c r="W98" s="443"/>
      <c r="X98" s="444"/>
    </row>
    <row r="99" spans="2:24" ht="22.9" customHeight="1">
      <c r="B99" s="48"/>
      <c r="C99" s="928"/>
      <c r="D99" s="929"/>
      <c r="E99" s="929"/>
      <c r="F99" s="930"/>
      <c r="G99" s="930"/>
      <c r="H99" s="930"/>
      <c r="I99" s="50"/>
      <c r="K99" s="442"/>
      <c r="L99" s="443"/>
      <c r="M99" s="443"/>
      <c r="N99" s="443"/>
      <c r="O99" s="443"/>
      <c r="P99" s="443"/>
      <c r="Q99" s="443"/>
      <c r="R99" s="443"/>
      <c r="S99" s="443"/>
      <c r="T99" s="443"/>
      <c r="U99" s="443"/>
      <c r="V99" s="443"/>
      <c r="W99" s="443"/>
      <c r="X99" s="444"/>
    </row>
    <row r="100" spans="2:24" ht="22.9" customHeight="1" thickBot="1">
      <c r="B100" s="52"/>
      <c r="C100" s="1128"/>
      <c r="D100" s="1128"/>
      <c r="E100" s="1128"/>
      <c r="F100" s="1128"/>
      <c r="G100" s="1128"/>
      <c r="H100" s="96"/>
      <c r="I100" s="55"/>
      <c r="K100" s="445"/>
      <c r="L100" s="446"/>
      <c r="M100" s="446"/>
      <c r="N100" s="446"/>
      <c r="O100" s="446"/>
      <c r="P100" s="446"/>
      <c r="Q100" s="446"/>
      <c r="R100" s="446"/>
      <c r="S100" s="446"/>
      <c r="T100" s="446"/>
      <c r="U100" s="446"/>
      <c r="V100" s="446"/>
      <c r="W100" s="446"/>
      <c r="X100" s="447"/>
    </row>
    <row r="101" spans="2:24" ht="22.9" customHeight="1">
      <c r="C101" s="44"/>
      <c r="D101" s="44"/>
      <c r="E101" s="44"/>
      <c r="F101" s="92"/>
      <c r="G101" s="92"/>
      <c r="H101" s="92"/>
    </row>
    <row r="102" spans="2:24" ht="12.75">
      <c r="C102" s="37" t="s">
        <v>77</v>
      </c>
      <c r="D102" s="44"/>
      <c r="E102" s="44"/>
      <c r="F102" s="92"/>
      <c r="G102" s="92"/>
      <c r="H102" s="97" t="s">
        <v>44</v>
      </c>
    </row>
    <row r="103" spans="2:24" ht="12.75">
      <c r="C103" s="38" t="s">
        <v>78</v>
      </c>
      <c r="D103" s="44"/>
      <c r="E103" s="44"/>
      <c r="F103" s="92"/>
      <c r="G103" s="92"/>
      <c r="H103" s="92"/>
    </row>
    <row r="104" spans="2:24" ht="12.75">
      <c r="C104" s="38" t="s">
        <v>79</v>
      </c>
      <c r="D104" s="44"/>
      <c r="E104" s="44"/>
      <c r="F104" s="92"/>
      <c r="G104" s="92"/>
      <c r="H104" s="92"/>
    </row>
    <row r="105" spans="2:24" ht="12.75">
      <c r="C105" s="38" t="s">
        <v>80</v>
      </c>
      <c r="D105" s="44"/>
      <c r="E105" s="44"/>
      <c r="F105" s="92"/>
      <c r="G105" s="92"/>
      <c r="H105" s="92"/>
    </row>
    <row r="106" spans="2:24" ht="12.75">
      <c r="C106" s="38" t="s">
        <v>81</v>
      </c>
      <c r="D106" s="44"/>
      <c r="E106" s="44"/>
      <c r="F106" s="92"/>
      <c r="G106" s="92"/>
      <c r="H106" s="92"/>
    </row>
    <row r="107" spans="2:24" ht="22.9" customHeight="1">
      <c r="C107" s="44"/>
      <c r="D107" s="44"/>
      <c r="E107" s="44"/>
      <c r="F107" s="92"/>
      <c r="G107" s="92"/>
      <c r="H107" s="92"/>
    </row>
    <row r="108" spans="2:24" ht="22.9" customHeight="1">
      <c r="C108" s="44"/>
      <c r="D108" s="44"/>
      <c r="E108" s="44"/>
      <c r="F108" s="92"/>
      <c r="G108" s="92"/>
      <c r="H108" s="92"/>
    </row>
    <row r="109" spans="2:24" ht="22.9" customHeight="1">
      <c r="C109" s="44"/>
      <c r="D109" s="44"/>
      <c r="E109" s="44"/>
      <c r="F109" s="92"/>
      <c r="G109" s="92"/>
      <c r="H109" s="92"/>
    </row>
    <row r="110" spans="2:24" ht="22.9" customHeight="1">
      <c r="C110" s="44"/>
      <c r="D110" s="44"/>
      <c r="E110" s="44"/>
      <c r="F110" s="92"/>
      <c r="G110" s="92"/>
      <c r="H110" s="92"/>
    </row>
    <row r="111" spans="2:24" ht="22.9" customHeight="1">
      <c r="G111" s="92"/>
      <c r="H111" s="92"/>
    </row>
  </sheetData>
  <sheetProtection password="E059" sheet="1" objects="1" scenarios="1"/>
  <mergeCells count="3">
    <mergeCell ref="H6:H7"/>
    <mergeCell ref="D9:H9"/>
    <mergeCell ref="C100:G100"/>
  </mergeCells>
  <phoneticPr fontId="22" type="noConversion"/>
  <printOptions horizontalCentered="1" verticalCentered="1"/>
  <pageMargins left="0.35629921259842523" right="0.35629921259842523" top="0.60629921259842523" bottom="0.60629921259842523" header="0.5" footer="0.5"/>
  <pageSetup paperSize="9" scale="32" orientation="portrait" horizontalDpi="4294967292" verticalDpi="4294967292" r:id="rId1"/>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AH66"/>
  <sheetViews>
    <sheetView topLeftCell="G1" zoomScale="70" zoomScaleNormal="70" zoomScalePageLayoutView="70" workbookViewId="0">
      <selection activeCell="D65" sqref="D65"/>
    </sheetView>
  </sheetViews>
  <sheetFormatPr baseColWidth="10" defaultColWidth="10.77734375" defaultRowHeight="22.9" customHeight="1"/>
  <cols>
    <col min="1" max="2" width="3.21875" style="99" customWidth="1"/>
    <col min="3" max="3" width="13.5546875" style="99" customWidth="1"/>
    <col min="4" max="4" width="62.109375" style="99" customWidth="1"/>
    <col min="5" max="6" width="12.77734375" style="100" customWidth="1"/>
    <col min="7" max="8" width="15.77734375" style="100" customWidth="1"/>
    <col min="9" max="18" width="12.77734375" style="100" customWidth="1"/>
    <col min="19" max="19" width="3.21875" style="99" customWidth="1"/>
    <col min="20" max="16384" width="10.77734375" style="99"/>
  </cols>
  <sheetData>
    <row r="2" spans="2:34" ht="22.9" customHeight="1">
      <c r="D2" s="65" t="s">
        <v>379</v>
      </c>
    </row>
    <row r="3" spans="2:34" ht="22.9" customHeight="1">
      <c r="D3" s="65" t="s">
        <v>380</v>
      </c>
    </row>
    <row r="4" spans="2:34" ht="22.9" customHeight="1" thickBot="1"/>
    <row r="5" spans="2:34" ht="9" customHeight="1">
      <c r="B5" s="101"/>
      <c r="C5" s="102"/>
      <c r="D5" s="102"/>
      <c r="E5" s="103"/>
      <c r="F5" s="103"/>
      <c r="G5" s="103"/>
      <c r="H5" s="103"/>
      <c r="I5" s="103"/>
      <c r="J5" s="103"/>
      <c r="K5" s="103"/>
      <c r="L5" s="103"/>
      <c r="M5" s="103"/>
      <c r="N5" s="103"/>
      <c r="O5" s="103"/>
      <c r="P5" s="103"/>
      <c r="Q5" s="103"/>
      <c r="R5" s="103"/>
      <c r="S5" s="104"/>
      <c r="U5" s="426"/>
      <c r="V5" s="427"/>
      <c r="W5" s="427"/>
      <c r="X5" s="427"/>
      <c r="Y5" s="427"/>
      <c r="Z5" s="427"/>
      <c r="AA5" s="427"/>
      <c r="AB5" s="427"/>
      <c r="AC5" s="427"/>
      <c r="AD5" s="427"/>
      <c r="AE5" s="427"/>
      <c r="AF5" s="427"/>
      <c r="AG5" s="427"/>
      <c r="AH5" s="428"/>
    </row>
    <row r="6" spans="2:34" ht="30" customHeight="1">
      <c r="B6" s="105"/>
      <c r="C6" s="69" t="s">
        <v>0</v>
      </c>
      <c r="D6" s="106"/>
      <c r="E6" s="107"/>
      <c r="F6" s="107"/>
      <c r="G6" s="107"/>
      <c r="H6" s="107"/>
      <c r="I6" s="107"/>
      <c r="J6" s="107"/>
      <c r="K6" s="107"/>
      <c r="L6" s="107"/>
      <c r="M6" s="107"/>
      <c r="N6" s="107"/>
      <c r="O6" s="107"/>
      <c r="P6" s="107"/>
      <c r="Q6" s="107"/>
      <c r="R6" s="1105">
        <f>ejercicio</f>
        <v>2018</v>
      </c>
      <c r="S6" s="108"/>
      <c r="U6" s="429"/>
      <c r="V6" s="430" t="s">
        <v>707</v>
      </c>
      <c r="W6" s="431"/>
      <c r="X6" s="431"/>
      <c r="Y6" s="431"/>
      <c r="Z6" s="431"/>
      <c r="AA6" s="431"/>
      <c r="AB6" s="431"/>
      <c r="AC6" s="431"/>
      <c r="AD6" s="431"/>
      <c r="AE6" s="431"/>
      <c r="AF6" s="431"/>
      <c r="AG6" s="431"/>
      <c r="AH6" s="432"/>
    </row>
    <row r="7" spans="2:34" ht="30" customHeight="1">
      <c r="B7" s="105"/>
      <c r="C7" s="69" t="s">
        <v>1</v>
      </c>
      <c r="D7" s="106"/>
      <c r="E7" s="107"/>
      <c r="F7" s="107"/>
      <c r="G7" s="107"/>
      <c r="H7" s="107"/>
      <c r="I7" s="107"/>
      <c r="J7" s="107"/>
      <c r="K7" s="107"/>
      <c r="L7" s="107"/>
      <c r="M7" s="107"/>
      <c r="N7" s="107"/>
      <c r="O7" s="107"/>
      <c r="P7" s="107"/>
      <c r="Q7" s="107"/>
      <c r="R7" s="1105"/>
      <c r="S7" s="108"/>
      <c r="U7" s="429"/>
      <c r="V7" s="431"/>
      <c r="W7" s="431"/>
      <c r="X7" s="431"/>
      <c r="Y7" s="431"/>
      <c r="Z7" s="431"/>
      <c r="AA7" s="431"/>
      <c r="AB7" s="431"/>
      <c r="AC7" s="431"/>
      <c r="AD7" s="431"/>
      <c r="AE7" s="431"/>
      <c r="AF7" s="431"/>
      <c r="AG7" s="431"/>
      <c r="AH7" s="432"/>
    </row>
    <row r="8" spans="2:34" ht="30" customHeight="1">
      <c r="B8" s="105"/>
      <c r="C8" s="109"/>
      <c r="D8" s="106"/>
      <c r="E8" s="107"/>
      <c r="F8" s="107"/>
      <c r="G8" s="107"/>
      <c r="H8" s="107"/>
      <c r="I8" s="107"/>
      <c r="J8" s="107"/>
      <c r="K8" s="107"/>
      <c r="L8" s="107"/>
      <c r="M8" s="107"/>
      <c r="N8" s="107"/>
      <c r="O8" s="107"/>
      <c r="P8" s="107"/>
      <c r="Q8" s="107"/>
      <c r="R8" s="110"/>
      <c r="S8" s="108"/>
      <c r="U8" s="429"/>
      <c r="V8" s="431"/>
      <c r="W8" s="431"/>
      <c r="X8" s="431"/>
      <c r="Y8" s="431"/>
      <c r="Z8" s="431"/>
      <c r="AA8" s="431"/>
      <c r="AB8" s="431"/>
      <c r="AC8" s="431"/>
      <c r="AD8" s="431"/>
      <c r="AE8" s="431"/>
      <c r="AF8" s="431"/>
      <c r="AG8" s="431"/>
      <c r="AH8" s="432"/>
    </row>
    <row r="9" spans="2:34" s="67" customFormat="1" ht="30" customHeight="1">
      <c r="B9" s="111"/>
      <c r="C9" s="40" t="s">
        <v>2</v>
      </c>
      <c r="D9" s="1129" t="str">
        <f>Entidad</f>
        <v>METROPOLITANO DE TENERIFE, S.A.</v>
      </c>
      <c r="E9" s="1129"/>
      <c r="F9" s="1129"/>
      <c r="G9" s="1129"/>
      <c r="H9" s="1129"/>
      <c r="I9" s="1129"/>
      <c r="J9" s="1129"/>
      <c r="K9" s="1129"/>
      <c r="L9" s="1129"/>
      <c r="M9" s="1129"/>
      <c r="N9" s="1129"/>
      <c r="O9" s="1129"/>
      <c r="P9" s="1129"/>
      <c r="Q9" s="1129"/>
      <c r="R9" s="1129"/>
      <c r="S9" s="112"/>
      <c r="U9" s="433"/>
      <c r="V9" s="434"/>
      <c r="W9" s="434"/>
      <c r="X9" s="434"/>
      <c r="Y9" s="434"/>
      <c r="Z9" s="434"/>
      <c r="AA9" s="434"/>
      <c r="AB9" s="434"/>
      <c r="AC9" s="434"/>
      <c r="AD9" s="434"/>
      <c r="AE9" s="434"/>
      <c r="AF9" s="434"/>
      <c r="AG9" s="434"/>
      <c r="AH9" s="435"/>
    </row>
    <row r="10" spans="2:34" ht="7.15" customHeight="1">
      <c r="B10" s="105"/>
      <c r="C10" s="106"/>
      <c r="D10" s="106"/>
      <c r="E10" s="107"/>
      <c r="F10" s="107"/>
      <c r="G10" s="107"/>
      <c r="H10" s="107"/>
      <c r="I10" s="107"/>
      <c r="J10" s="107"/>
      <c r="K10" s="107"/>
      <c r="L10" s="107"/>
      <c r="M10" s="107"/>
      <c r="N10" s="107"/>
      <c r="O10" s="107"/>
      <c r="P10" s="107"/>
      <c r="Q10" s="107"/>
      <c r="R10" s="107"/>
      <c r="S10" s="108"/>
      <c r="U10" s="429"/>
      <c r="V10" s="431"/>
      <c r="W10" s="431"/>
      <c r="X10" s="431"/>
      <c r="Y10" s="431"/>
      <c r="Z10" s="431"/>
      <c r="AA10" s="431"/>
      <c r="AB10" s="431"/>
      <c r="AC10" s="431"/>
      <c r="AD10" s="431"/>
      <c r="AE10" s="431"/>
      <c r="AF10" s="431"/>
      <c r="AG10" s="431"/>
      <c r="AH10" s="432"/>
    </row>
    <row r="11" spans="2:34" s="117" customFormat="1" ht="30" customHeight="1">
      <c r="B11" s="113"/>
      <c r="C11" s="114" t="s">
        <v>794</v>
      </c>
      <c r="D11" s="114"/>
      <c r="E11" s="115"/>
      <c r="F11" s="115"/>
      <c r="G11" s="115"/>
      <c r="H11" s="115"/>
      <c r="I11" s="115"/>
      <c r="J11" s="115"/>
      <c r="K11" s="115"/>
      <c r="L11" s="115"/>
      <c r="M11" s="115"/>
      <c r="N11" s="115"/>
      <c r="O11" s="115"/>
      <c r="P11" s="115"/>
      <c r="Q11" s="115"/>
      <c r="R11" s="115"/>
      <c r="S11" s="116"/>
      <c r="U11" s="436"/>
      <c r="V11" s="437"/>
      <c r="W11" s="437"/>
      <c r="X11" s="437"/>
      <c r="Y11" s="437"/>
      <c r="Z11" s="437"/>
      <c r="AA11" s="437"/>
      <c r="AB11" s="437"/>
      <c r="AC11" s="437"/>
      <c r="AD11" s="437"/>
      <c r="AE11" s="437"/>
      <c r="AF11" s="437"/>
      <c r="AG11" s="437"/>
      <c r="AH11" s="438"/>
    </row>
    <row r="12" spans="2:34" s="117" customFormat="1" ht="30" customHeight="1">
      <c r="B12" s="113"/>
      <c r="C12" s="118"/>
      <c r="D12" s="118"/>
      <c r="E12" s="98"/>
      <c r="F12" s="98"/>
      <c r="G12" s="98"/>
      <c r="H12" s="98"/>
      <c r="I12" s="98"/>
      <c r="J12" s="98"/>
      <c r="K12" s="98"/>
      <c r="L12" s="98"/>
      <c r="M12" s="98"/>
      <c r="N12" s="98"/>
      <c r="O12" s="98"/>
      <c r="P12" s="98"/>
      <c r="Q12" s="98"/>
      <c r="R12" s="98"/>
      <c r="S12" s="116"/>
      <c r="U12" s="436"/>
      <c r="V12" s="437"/>
      <c r="W12" s="437"/>
      <c r="X12" s="437"/>
      <c r="Y12" s="437"/>
      <c r="Z12" s="437"/>
      <c r="AA12" s="437"/>
      <c r="AB12" s="437"/>
      <c r="AC12" s="437"/>
      <c r="AD12" s="437"/>
      <c r="AE12" s="437"/>
      <c r="AF12" s="437"/>
      <c r="AG12" s="437"/>
      <c r="AH12" s="438"/>
    </row>
    <row r="13" spans="2:34" s="121" customFormat="1" ht="19.149999999999999" customHeight="1">
      <c r="B13" s="119"/>
      <c r="C13" s="388"/>
      <c r="D13" s="388"/>
      <c r="E13" s="388"/>
      <c r="F13" s="388"/>
      <c r="G13" s="388"/>
      <c r="H13" s="389" t="s">
        <v>389</v>
      </c>
      <c r="I13" s="1151" t="s">
        <v>799</v>
      </c>
      <c r="J13" s="1152"/>
      <c r="K13" s="1152"/>
      <c r="L13" s="1152"/>
      <c r="M13" s="1153"/>
      <c r="N13" s="390"/>
      <c r="O13" s="391"/>
      <c r="P13" s="392" t="s">
        <v>392</v>
      </c>
      <c r="Q13" s="393">
        <f>ejercicio-1</f>
        <v>2017</v>
      </c>
      <c r="R13" s="886" t="s">
        <v>800</v>
      </c>
      <c r="S13" s="120"/>
      <c r="U13" s="429"/>
      <c r="V13" s="431"/>
      <c r="W13" s="431"/>
      <c r="X13" s="431"/>
      <c r="Y13" s="431"/>
      <c r="Z13" s="431"/>
      <c r="AA13" s="431"/>
      <c r="AB13" s="431"/>
      <c r="AC13" s="431"/>
      <c r="AD13" s="431"/>
      <c r="AE13" s="431"/>
      <c r="AF13" s="431"/>
      <c r="AG13" s="431"/>
      <c r="AH13" s="432"/>
    </row>
    <row r="14" spans="2:34" s="122" customFormat="1" ht="19.149999999999999" customHeight="1">
      <c r="B14" s="119"/>
      <c r="C14" s="394"/>
      <c r="D14" s="394"/>
      <c r="E14" s="394"/>
      <c r="F14" s="394"/>
      <c r="G14" s="394"/>
      <c r="H14" s="395" t="s">
        <v>390</v>
      </c>
      <c r="I14" s="396"/>
      <c r="J14" s="397"/>
      <c r="K14" s="397"/>
      <c r="L14" s="397"/>
      <c r="M14" s="398"/>
      <c r="N14" s="396"/>
      <c r="O14" s="397"/>
      <c r="P14" s="397"/>
      <c r="Q14" s="397"/>
      <c r="R14" s="398"/>
      <c r="S14" s="120"/>
      <c r="U14" s="429"/>
      <c r="V14" s="431"/>
      <c r="W14" s="431"/>
      <c r="X14" s="431"/>
      <c r="Y14" s="431"/>
      <c r="Z14" s="431"/>
      <c r="AA14" s="431"/>
      <c r="AB14" s="431"/>
      <c r="AC14" s="431"/>
      <c r="AD14" s="431"/>
      <c r="AE14" s="431"/>
      <c r="AF14" s="431"/>
      <c r="AG14" s="431"/>
      <c r="AH14" s="432"/>
    </row>
    <row r="15" spans="2:34" s="122" customFormat="1" ht="19.149999999999999" customHeight="1">
      <c r="B15" s="119"/>
      <c r="C15" s="399" t="s">
        <v>385</v>
      </c>
      <c r="D15" s="399" t="s">
        <v>386</v>
      </c>
      <c r="E15" s="399" t="s">
        <v>387</v>
      </c>
      <c r="F15" s="399" t="s">
        <v>388</v>
      </c>
      <c r="G15" s="399" t="s">
        <v>795</v>
      </c>
      <c r="H15" s="399">
        <f>ejercicio-1</f>
        <v>2017</v>
      </c>
      <c r="I15" s="399">
        <f>+ejercicio</f>
        <v>2018</v>
      </c>
      <c r="J15" s="399">
        <f>ejercicio+1</f>
        <v>2019</v>
      </c>
      <c r="K15" s="399">
        <f>ejercicio+2</f>
        <v>2020</v>
      </c>
      <c r="L15" s="399">
        <f>ejercicio+3</f>
        <v>2021</v>
      </c>
      <c r="M15" s="399" t="s">
        <v>391</v>
      </c>
      <c r="N15" s="399">
        <f>+ejercicio</f>
        <v>2018</v>
      </c>
      <c r="O15" s="399">
        <f>ejercicio+1</f>
        <v>2019</v>
      </c>
      <c r="P15" s="399">
        <f>ejercicio+2</f>
        <v>2020</v>
      </c>
      <c r="Q15" s="399">
        <f>ejercicio+3</f>
        <v>2021</v>
      </c>
      <c r="R15" s="399" t="s">
        <v>391</v>
      </c>
      <c r="S15" s="120"/>
      <c r="U15" s="429"/>
      <c r="V15" s="431"/>
      <c r="W15" s="431"/>
      <c r="X15" s="431"/>
      <c r="Y15" s="431"/>
      <c r="Z15" s="431"/>
      <c r="AA15" s="431"/>
      <c r="AB15" s="431"/>
      <c r="AC15" s="431"/>
      <c r="AD15" s="431"/>
      <c r="AE15" s="431"/>
      <c r="AF15" s="431"/>
      <c r="AG15" s="431"/>
      <c r="AH15" s="432"/>
    </row>
    <row r="16" spans="2:34" ht="22.9" customHeight="1">
      <c r="B16" s="119"/>
      <c r="C16" s="494"/>
      <c r="D16" s="1077" t="s">
        <v>953</v>
      </c>
      <c r="E16" s="495">
        <v>2017</v>
      </c>
      <c r="F16" s="495">
        <v>2017</v>
      </c>
      <c r="G16" s="500">
        <f>+SUM(H16:M16)</f>
        <v>74370.44</v>
      </c>
      <c r="H16" s="496">
        <v>74370.44</v>
      </c>
      <c r="I16" s="496"/>
      <c r="J16" s="496"/>
      <c r="K16" s="496"/>
      <c r="L16" s="496"/>
      <c r="M16" s="496"/>
      <c r="N16" s="496"/>
      <c r="O16" s="496"/>
      <c r="P16" s="496"/>
      <c r="Q16" s="496"/>
      <c r="R16" s="496"/>
      <c r="S16" s="108"/>
      <c r="U16" s="429"/>
      <c r="V16" s="431"/>
      <c r="W16" s="431"/>
      <c r="X16" s="431"/>
      <c r="Y16" s="431"/>
      <c r="Z16" s="431"/>
      <c r="AA16" s="431"/>
      <c r="AB16" s="431"/>
      <c r="AC16" s="431"/>
      <c r="AD16" s="431"/>
      <c r="AE16" s="431"/>
      <c r="AF16" s="431"/>
      <c r="AG16" s="431"/>
      <c r="AH16" s="432"/>
    </row>
    <row r="17" spans="2:34" ht="22.9" customHeight="1">
      <c r="B17" s="119"/>
      <c r="C17" s="497"/>
      <c r="D17" s="1078" t="s">
        <v>954</v>
      </c>
      <c r="E17" s="495">
        <v>2017</v>
      </c>
      <c r="F17" s="495">
        <v>2017</v>
      </c>
      <c r="G17" s="500">
        <f t="shared" ref="G17:G31" si="0">+SUM(H17:M17)</f>
        <v>50000</v>
      </c>
      <c r="H17" s="500">
        <v>50000</v>
      </c>
      <c r="I17" s="500"/>
      <c r="J17" s="500"/>
      <c r="K17" s="500"/>
      <c r="L17" s="500"/>
      <c r="M17" s="500"/>
      <c r="N17" s="500"/>
      <c r="O17" s="500"/>
      <c r="P17" s="500"/>
      <c r="Q17" s="500"/>
      <c r="R17" s="500"/>
      <c r="S17" s="108"/>
      <c r="U17" s="429"/>
      <c r="V17" s="431"/>
      <c r="W17" s="431"/>
      <c r="X17" s="431"/>
      <c r="Y17" s="431"/>
      <c r="Z17" s="431"/>
      <c r="AA17" s="431"/>
      <c r="AB17" s="431"/>
      <c r="AC17" s="431"/>
      <c r="AD17" s="431"/>
      <c r="AE17" s="431"/>
      <c r="AF17" s="431"/>
      <c r="AG17" s="431"/>
      <c r="AH17" s="432"/>
    </row>
    <row r="18" spans="2:34" ht="22.9" customHeight="1">
      <c r="B18" s="119"/>
      <c r="C18" s="497"/>
      <c r="D18" s="498" t="s">
        <v>955</v>
      </c>
      <c r="E18" s="495">
        <v>2017</v>
      </c>
      <c r="F18" s="495">
        <v>2017</v>
      </c>
      <c r="G18" s="500">
        <f t="shared" si="0"/>
        <v>49903.199999999997</v>
      </c>
      <c r="H18" s="500">
        <v>49903.199999999997</v>
      </c>
      <c r="I18" s="500"/>
      <c r="J18" s="500"/>
      <c r="K18" s="500"/>
      <c r="L18" s="500"/>
      <c r="M18" s="500"/>
      <c r="N18" s="500"/>
      <c r="O18" s="500"/>
      <c r="P18" s="500"/>
      <c r="Q18" s="500"/>
      <c r="R18" s="500"/>
      <c r="S18" s="108"/>
      <c r="U18" s="429"/>
      <c r="V18" s="431"/>
      <c r="W18" s="431"/>
      <c r="X18" s="431"/>
      <c r="Y18" s="431"/>
      <c r="Z18" s="431"/>
      <c r="AA18" s="431"/>
      <c r="AB18" s="431"/>
      <c r="AC18" s="431"/>
      <c r="AD18" s="431"/>
      <c r="AE18" s="431"/>
      <c r="AF18" s="431"/>
      <c r="AG18" s="431"/>
      <c r="AH18" s="432"/>
    </row>
    <row r="19" spans="2:34" ht="22.9" customHeight="1">
      <c r="B19" s="119"/>
      <c r="C19" s="497"/>
      <c r="D19" s="1078" t="s">
        <v>956</v>
      </c>
      <c r="E19" s="495">
        <v>2017</v>
      </c>
      <c r="F19" s="495">
        <v>2017</v>
      </c>
      <c r="G19" s="500">
        <f t="shared" si="0"/>
        <v>11894.22</v>
      </c>
      <c r="H19" s="500">
        <v>11894.22</v>
      </c>
      <c r="I19" s="500"/>
      <c r="J19" s="500"/>
      <c r="K19" s="500"/>
      <c r="L19" s="500"/>
      <c r="M19" s="500"/>
      <c r="N19" s="500"/>
      <c r="O19" s="500"/>
      <c r="P19" s="500"/>
      <c r="Q19" s="500"/>
      <c r="R19" s="500"/>
      <c r="S19" s="108"/>
      <c r="U19" s="429"/>
      <c r="V19" s="431"/>
      <c r="W19" s="431"/>
      <c r="X19" s="431"/>
      <c r="Y19" s="431"/>
      <c r="Z19" s="431"/>
      <c r="AA19" s="431"/>
      <c r="AB19" s="431"/>
      <c r="AC19" s="431"/>
      <c r="AD19" s="431"/>
      <c r="AE19" s="431"/>
      <c r="AF19" s="431"/>
      <c r="AG19" s="431"/>
      <c r="AH19" s="432"/>
    </row>
    <row r="20" spans="2:34" ht="22.9" customHeight="1">
      <c r="B20" s="119"/>
      <c r="C20" s="497"/>
      <c r="D20" s="498" t="s">
        <v>957</v>
      </c>
      <c r="E20" s="495">
        <v>2017</v>
      </c>
      <c r="F20" s="495">
        <v>2017</v>
      </c>
      <c r="G20" s="500">
        <f t="shared" si="0"/>
        <v>27144.55</v>
      </c>
      <c r="H20" s="500">
        <v>27144.55</v>
      </c>
      <c r="I20" s="500"/>
      <c r="J20" s="500"/>
      <c r="K20" s="500"/>
      <c r="L20" s="500"/>
      <c r="M20" s="500"/>
      <c r="N20" s="500"/>
      <c r="O20" s="500"/>
      <c r="P20" s="500"/>
      <c r="Q20" s="500"/>
      <c r="R20" s="500"/>
      <c r="S20" s="108"/>
      <c r="U20" s="429"/>
      <c r="V20" s="431"/>
      <c r="W20" s="431"/>
      <c r="X20" s="431"/>
      <c r="Y20" s="431"/>
      <c r="Z20" s="431"/>
      <c r="AA20" s="431"/>
      <c r="AB20" s="431"/>
      <c r="AC20" s="431"/>
      <c r="AD20" s="431"/>
      <c r="AE20" s="431"/>
      <c r="AF20" s="431"/>
      <c r="AG20" s="431"/>
      <c r="AH20" s="432"/>
    </row>
    <row r="21" spans="2:34" ht="22.9" customHeight="1">
      <c r="B21" s="119"/>
      <c r="C21" s="497"/>
      <c r="D21" s="1078" t="s">
        <v>958</v>
      </c>
      <c r="E21" s="495">
        <v>2017</v>
      </c>
      <c r="F21" s="495">
        <v>2017</v>
      </c>
      <c r="G21" s="500">
        <f t="shared" si="0"/>
        <v>72191.72</v>
      </c>
      <c r="H21" s="500">
        <v>72191.72</v>
      </c>
      <c r="I21" s="500"/>
      <c r="J21" s="500"/>
      <c r="K21" s="500"/>
      <c r="L21" s="500"/>
      <c r="M21" s="500"/>
      <c r="N21" s="500"/>
      <c r="O21" s="500"/>
      <c r="P21" s="500"/>
      <c r="Q21" s="500"/>
      <c r="R21" s="500"/>
      <c r="S21" s="108"/>
      <c r="U21" s="429"/>
      <c r="V21" s="431"/>
      <c r="W21" s="431"/>
      <c r="X21" s="431"/>
      <c r="Y21" s="431"/>
      <c r="Z21" s="431"/>
      <c r="AA21" s="431"/>
      <c r="AB21" s="431"/>
      <c r="AC21" s="431"/>
      <c r="AD21" s="431"/>
      <c r="AE21" s="431"/>
      <c r="AF21" s="431"/>
      <c r="AG21" s="431"/>
      <c r="AH21" s="432"/>
    </row>
    <row r="22" spans="2:34" ht="22.9" customHeight="1">
      <c r="B22" s="119"/>
      <c r="C22" s="497"/>
      <c r="D22" s="1078" t="s">
        <v>959</v>
      </c>
      <c r="E22" s="495">
        <v>2017</v>
      </c>
      <c r="F22" s="495">
        <v>2018</v>
      </c>
      <c r="G22" s="500">
        <f t="shared" si="0"/>
        <v>91132.72</v>
      </c>
      <c r="H22" s="500">
        <v>39570.720000000001</v>
      </c>
      <c r="I22" s="500">
        <v>51562</v>
      </c>
      <c r="J22" s="500"/>
      <c r="K22" s="500"/>
      <c r="L22" s="500"/>
      <c r="M22" s="500"/>
      <c r="N22" s="500"/>
      <c r="O22" s="500"/>
      <c r="P22" s="500"/>
      <c r="Q22" s="500"/>
      <c r="R22" s="500"/>
      <c r="S22" s="108"/>
      <c r="U22" s="429"/>
      <c r="V22" s="431"/>
      <c r="W22" s="431"/>
      <c r="X22" s="431"/>
      <c r="Y22" s="431"/>
      <c r="Z22" s="431"/>
      <c r="AA22" s="431"/>
      <c r="AB22" s="431"/>
      <c r="AC22" s="431"/>
      <c r="AD22" s="431"/>
      <c r="AE22" s="431"/>
      <c r="AF22" s="431"/>
      <c r="AG22" s="431"/>
      <c r="AH22" s="432"/>
    </row>
    <row r="23" spans="2:34" ht="22.9" customHeight="1">
      <c r="B23" s="119"/>
      <c r="C23" s="497"/>
      <c r="D23" s="1078" t="s">
        <v>966</v>
      </c>
      <c r="E23" s="495">
        <v>2017</v>
      </c>
      <c r="F23" s="495">
        <v>2018</v>
      </c>
      <c r="G23" s="500">
        <f t="shared" si="0"/>
        <v>15800</v>
      </c>
      <c r="H23" s="500">
        <v>3800</v>
      </c>
      <c r="I23" s="500">
        <v>12000</v>
      </c>
      <c r="J23" s="500"/>
      <c r="K23" s="500"/>
      <c r="L23" s="500"/>
      <c r="M23" s="500"/>
      <c r="N23" s="500"/>
      <c r="O23" s="500"/>
      <c r="P23" s="500"/>
      <c r="Q23" s="500"/>
      <c r="R23" s="500"/>
      <c r="S23" s="108"/>
      <c r="U23" s="429"/>
      <c r="V23" s="431"/>
      <c r="W23" s="431"/>
      <c r="X23" s="431"/>
      <c r="Y23" s="431"/>
      <c r="Z23" s="431"/>
      <c r="AA23" s="431"/>
      <c r="AB23" s="431"/>
      <c r="AC23" s="431"/>
      <c r="AD23" s="431"/>
      <c r="AE23" s="431"/>
      <c r="AF23" s="431"/>
      <c r="AG23" s="431"/>
      <c r="AH23" s="432"/>
    </row>
    <row r="24" spans="2:34" ht="22.9" customHeight="1">
      <c r="B24" s="119"/>
      <c r="C24" s="497"/>
      <c r="D24" s="1078" t="s">
        <v>960</v>
      </c>
      <c r="E24" s="495">
        <v>2017</v>
      </c>
      <c r="F24" s="499">
        <v>2018</v>
      </c>
      <c r="G24" s="500">
        <f t="shared" si="0"/>
        <v>18790.739999999998</v>
      </c>
      <c r="H24" s="500">
        <v>15355.74</v>
      </c>
      <c r="I24" s="500">
        <v>3435</v>
      </c>
      <c r="J24" s="500"/>
      <c r="K24" s="500"/>
      <c r="L24" s="500"/>
      <c r="M24" s="500"/>
      <c r="N24" s="500"/>
      <c r="O24" s="500"/>
      <c r="P24" s="500"/>
      <c r="Q24" s="500"/>
      <c r="R24" s="500"/>
      <c r="S24" s="108"/>
      <c r="U24" s="429"/>
      <c r="V24" s="431"/>
      <c r="W24" s="431"/>
      <c r="X24" s="431"/>
      <c r="Y24" s="431"/>
      <c r="Z24" s="431"/>
      <c r="AA24" s="431"/>
      <c r="AB24" s="431"/>
      <c r="AC24" s="431"/>
      <c r="AD24" s="431"/>
      <c r="AE24" s="431"/>
      <c r="AF24" s="431"/>
      <c r="AG24" s="431"/>
      <c r="AH24" s="432"/>
    </row>
    <row r="25" spans="2:34" ht="22.9" customHeight="1">
      <c r="B25" s="119"/>
      <c r="C25" s="497"/>
      <c r="D25" s="1078" t="s">
        <v>961</v>
      </c>
      <c r="E25" s="499">
        <v>2017</v>
      </c>
      <c r="F25" s="499">
        <v>2018</v>
      </c>
      <c r="G25" s="500">
        <f t="shared" si="0"/>
        <v>5604</v>
      </c>
      <c r="H25" s="500">
        <v>5604</v>
      </c>
      <c r="I25" s="500"/>
      <c r="J25" s="500"/>
      <c r="K25" s="500"/>
      <c r="L25" s="500"/>
      <c r="M25" s="500"/>
      <c r="N25" s="500"/>
      <c r="O25" s="500"/>
      <c r="P25" s="500"/>
      <c r="Q25" s="500"/>
      <c r="R25" s="500"/>
      <c r="S25" s="108"/>
      <c r="U25" s="429"/>
      <c r="V25" s="431"/>
      <c r="W25" s="431"/>
      <c r="X25" s="431"/>
      <c r="Y25" s="431"/>
      <c r="Z25" s="431"/>
      <c r="AA25" s="431"/>
      <c r="AB25" s="431"/>
      <c r="AC25" s="431"/>
      <c r="AD25" s="431"/>
      <c r="AE25" s="431"/>
      <c r="AF25" s="431"/>
      <c r="AG25" s="431"/>
      <c r="AH25" s="432"/>
    </row>
    <row r="26" spans="2:34" ht="22.9" customHeight="1">
      <c r="B26" s="119"/>
      <c r="C26" s="497"/>
      <c r="D26" s="1078" t="s">
        <v>962</v>
      </c>
      <c r="E26" s="499">
        <v>2016</v>
      </c>
      <c r="F26" s="499">
        <v>2018</v>
      </c>
      <c r="G26" s="500">
        <f t="shared" si="0"/>
        <v>166417.64485981307</v>
      </c>
      <c r="H26" s="500">
        <v>110342.87850467289</v>
      </c>
      <c r="I26" s="500">
        <v>56074.766355140186</v>
      </c>
      <c r="J26" s="500"/>
      <c r="K26" s="500"/>
      <c r="L26" s="500"/>
      <c r="M26" s="500"/>
      <c r="N26" s="500"/>
      <c r="O26" s="500"/>
      <c r="P26" s="500"/>
      <c r="Q26" s="500"/>
      <c r="R26" s="500"/>
      <c r="S26" s="108"/>
      <c r="U26" s="429"/>
      <c r="V26" s="431"/>
      <c r="W26" s="431"/>
      <c r="X26" s="431"/>
      <c r="Y26" s="431"/>
      <c r="Z26" s="431"/>
      <c r="AA26" s="431"/>
      <c r="AB26" s="431"/>
      <c r="AC26" s="431"/>
      <c r="AD26" s="431"/>
      <c r="AE26" s="431"/>
      <c r="AF26" s="431"/>
      <c r="AG26" s="431"/>
      <c r="AH26" s="432"/>
    </row>
    <row r="27" spans="2:34" ht="22.9" customHeight="1">
      <c r="B27" s="119"/>
      <c r="C27" s="497"/>
      <c r="D27" s="1078" t="s">
        <v>963</v>
      </c>
      <c r="E27" s="499">
        <v>2009</v>
      </c>
      <c r="F27" s="499">
        <v>2018</v>
      </c>
      <c r="G27" s="500">
        <f t="shared" si="0"/>
        <v>5436040.2727289721</v>
      </c>
      <c r="H27" s="500">
        <v>1049872.3745919005</v>
      </c>
      <c r="I27" s="500">
        <v>4386167.8981370721</v>
      </c>
      <c r="J27" s="500"/>
      <c r="K27" s="500"/>
      <c r="L27" s="500"/>
      <c r="M27" s="500"/>
      <c r="N27" s="500"/>
      <c r="O27" s="500"/>
      <c r="P27" s="500"/>
      <c r="Q27" s="500"/>
      <c r="R27" s="500"/>
      <c r="S27" s="108"/>
      <c r="U27" s="429"/>
      <c r="V27" s="431"/>
      <c r="W27" s="431"/>
      <c r="X27" s="431"/>
      <c r="Y27" s="431"/>
      <c r="Z27" s="431"/>
      <c r="AA27" s="431"/>
      <c r="AB27" s="431"/>
      <c r="AC27" s="431"/>
      <c r="AD27" s="431"/>
      <c r="AE27" s="431"/>
      <c r="AF27" s="431"/>
      <c r="AG27" s="431"/>
      <c r="AH27" s="432"/>
    </row>
    <row r="28" spans="2:34" ht="22.9" customHeight="1">
      <c r="B28" s="119"/>
      <c r="C28" s="497"/>
      <c r="D28" s="1078" t="s">
        <v>964</v>
      </c>
      <c r="E28" s="499">
        <v>2015</v>
      </c>
      <c r="F28" s="499">
        <v>2018</v>
      </c>
      <c r="G28" s="500">
        <f t="shared" si="0"/>
        <v>1018960.5499999999</v>
      </c>
      <c r="H28" s="500">
        <v>176402.59</v>
      </c>
      <c r="I28" s="500">
        <v>842557.96</v>
      </c>
      <c r="J28" s="500"/>
      <c r="K28" s="500"/>
      <c r="L28" s="500"/>
      <c r="M28" s="500"/>
      <c r="N28" s="500">
        <v>782557.96</v>
      </c>
      <c r="O28" s="500"/>
      <c r="P28" s="500"/>
      <c r="Q28" s="500"/>
      <c r="R28" s="500"/>
      <c r="S28" s="108"/>
      <c r="U28" s="429"/>
      <c r="V28" s="431"/>
      <c r="W28" s="431"/>
      <c r="X28" s="431"/>
      <c r="Y28" s="431"/>
      <c r="Z28" s="431"/>
      <c r="AA28" s="431"/>
      <c r="AB28" s="431"/>
      <c r="AC28" s="431"/>
      <c r="AD28" s="431"/>
      <c r="AE28" s="431"/>
      <c r="AF28" s="431"/>
      <c r="AG28" s="431"/>
      <c r="AH28" s="432"/>
    </row>
    <row r="29" spans="2:34" ht="22.9" customHeight="1">
      <c r="B29" s="119"/>
      <c r="C29" s="497"/>
      <c r="D29" s="1078" t="s">
        <v>965</v>
      </c>
      <c r="E29" s="499">
        <v>2018</v>
      </c>
      <c r="F29" s="499">
        <v>2019</v>
      </c>
      <c r="G29" s="500">
        <f t="shared" si="0"/>
        <v>969397.08399999992</v>
      </c>
      <c r="H29" s="500">
        <v>18514.71</v>
      </c>
      <c r="I29" s="500">
        <v>706400</v>
      </c>
      <c r="J29" s="500">
        <f>758095.22-513612.846</f>
        <v>244482.37399999995</v>
      </c>
      <c r="K29" s="500"/>
      <c r="L29" s="500"/>
      <c r="M29" s="500"/>
      <c r="N29" s="500">
        <f>+I29</f>
        <v>706400</v>
      </c>
      <c r="O29" s="500">
        <f>+J29</f>
        <v>244482.37399999995</v>
      </c>
      <c r="P29" s="500"/>
      <c r="Q29" s="500"/>
      <c r="R29" s="500"/>
      <c r="S29" s="108"/>
      <c r="U29" s="429"/>
      <c r="V29" s="431"/>
      <c r="W29" s="431"/>
      <c r="X29" s="431"/>
      <c r="Y29" s="431"/>
      <c r="Z29" s="431"/>
      <c r="AA29" s="431"/>
      <c r="AB29" s="431"/>
      <c r="AC29" s="431"/>
      <c r="AD29" s="431"/>
      <c r="AE29" s="431"/>
      <c r="AF29" s="431"/>
      <c r="AG29" s="431"/>
      <c r="AH29" s="432"/>
    </row>
    <row r="30" spans="2:34" ht="22.9" customHeight="1">
      <c r="B30" s="119"/>
      <c r="C30" s="497"/>
      <c r="D30" s="1078" t="s">
        <v>967</v>
      </c>
      <c r="E30" s="499">
        <v>2018</v>
      </c>
      <c r="F30" s="499">
        <v>2018</v>
      </c>
      <c r="G30" s="500">
        <f t="shared" si="0"/>
        <v>22500</v>
      </c>
      <c r="H30" s="500">
        <v>0</v>
      </c>
      <c r="I30" s="500">
        <f>6000+16500</f>
        <v>22500</v>
      </c>
      <c r="J30" s="500"/>
      <c r="K30" s="500"/>
      <c r="L30" s="500"/>
      <c r="M30" s="500"/>
      <c r="N30" s="500"/>
      <c r="O30" s="500"/>
      <c r="P30" s="500"/>
      <c r="Q30" s="500"/>
      <c r="R30" s="500"/>
      <c r="S30" s="108"/>
      <c r="U30" s="439"/>
      <c r="V30" s="440"/>
      <c r="W30" s="440"/>
      <c r="X30" s="440"/>
      <c r="Y30" s="440"/>
      <c r="Z30" s="440"/>
      <c r="AA30" s="440"/>
      <c r="AB30" s="440"/>
      <c r="AC30" s="440"/>
      <c r="AD30" s="440"/>
      <c r="AE30" s="440"/>
      <c r="AF30" s="440"/>
      <c r="AG30" s="440"/>
      <c r="AH30" s="441"/>
    </row>
    <row r="31" spans="2:34" ht="22.9" customHeight="1">
      <c r="B31" s="119"/>
      <c r="C31" s="497"/>
      <c r="D31" s="1078" t="s">
        <v>968</v>
      </c>
      <c r="E31" s="499">
        <v>2014</v>
      </c>
      <c r="F31" s="499">
        <v>2018</v>
      </c>
      <c r="G31" s="500">
        <f t="shared" si="0"/>
        <v>92800</v>
      </c>
      <c r="H31" s="500"/>
      <c r="I31" s="500">
        <v>92800</v>
      </c>
      <c r="J31" s="500"/>
      <c r="K31" s="500"/>
      <c r="L31" s="500"/>
      <c r="M31" s="500"/>
      <c r="N31" s="500"/>
      <c r="O31" s="500"/>
      <c r="P31" s="500"/>
      <c r="Q31" s="500"/>
      <c r="R31" s="500"/>
      <c r="S31" s="108"/>
      <c r="U31" s="439"/>
      <c r="V31" s="440"/>
      <c r="W31" s="440"/>
      <c r="X31" s="440"/>
      <c r="Y31" s="440"/>
      <c r="Z31" s="440"/>
      <c r="AA31" s="440"/>
      <c r="AB31" s="440"/>
      <c r="AC31" s="440"/>
      <c r="AD31" s="440"/>
      <c r="AE31" s="440"/>
      <c r="AF31" s="440"/>
      <c r="AG31" s="440"/>
      <c r="AH31" s="441"/>
    </row>
    <row r="32" spans="2:34" ht="22.9" customHeight="1">
      <c r="B32" s="119"/>
      <c r="C32" s="497"/>
      <c r="D32" s="1078" t="s">
        <v>1040</v>
      </c>
      <c r="E32" s="499">
        <v>2017</v>
      </c>
      <c r="F32" s="499">
        <v>2018</v>
      </c>
      <c r="G32" s="500">
        <v>-442455.45</v>
      </c>
      <c r="H32" s="500"/>
      <c r="I32" s="500">
        <f>+G32</f>
        <v>-442455.45</v>
      </c>
      <c r="J32" s="500"/>
      <c r="K32" s="500"/>
      <c r="L32" s="500"/>
      <c r="M32" s="500"/>
      <c r="N32" s="500"/>
      <c r="O32" s="500"/>
      <c r="P32" s="500"/>
      <c r="Q32" s="500"/>
      <c r="R32" s="500"/>
      <c r="S32" s="108"/>
      <c r="U32" s="429"/>
      <c r="V32" s="431"/>
      <c r="W32" s="431"/>
      <c r="X32" s="431"/>
      <c r="Y32" s="431"/>
      <c r="Z32" s="431"/>
      <c r="AA32" s="431"/>
      <c r="AB32" s="431"/>
      <c r="AC32" s="431"/>
      <c r="AD32" s="431"/>
      <c r="AE32" s="431"/>
      <c r="AF32" s="431"/>
      <c r="AG32" s="431"/>
      <c r="AH32" s="432"/>
    </row>
    <row r="33" spans="2:34" ht="22.9" customHeight="1">
      <c r="B33" s="119"/>
      <c r="C33" s="497"/>
      <c r="D33" s="498"/>
      <c r="E33" s="499"/>
      <c r="F33" s="499"/>
      <c r="G33" s="500"/>
      <c r="H33" s="500"/>
      <c r="I33" s="500"/>
      <c r="J33" s="500"/>
      <c r="K33" s="500"/>
      <c r="L33" s="500"/>
      <c r="M33" s="500"/>
      <c r="N33" s="500"/>
      <c r="O33" s="500"/>
      <c r="P33" s="500"/>
      <c r="Q33" s="500"/>
      <c r="R33" s="500"/>
      <c r="S33" s="108"/>
      <c r="U33" s="429"/>
      <c r="V33" s="431"/>
      <c r="W33" s="431"/>
      <c r="X33" s="431"/>
      <c r="Y33" s="431"/>
      <c r="Z33" s="431"/>
      <c r="AA33" s="431"/>
      <c r="AB33" s="431"/>
      <c r="AC33" s="431"/>
      <c r="AD33" s="431"/>
      <c r="AE33" s="431"/>
      <c r="AF33" s="431"/>
      <c r="AG33" s="431"/>
      <c r="AH33" s="432"/>
    </row>
    <row r="34" spans="2:34" ht="22.9" customHeight="1">
      <c r="B34" s="119"/>
      <c r="C34" s="497"/>
      <c r="D34" s="498"/>
      <c r="E34" s="499"/>
      <c r="F34" s="499"/>
      <c r="G34" s="500"/>
      <c r="H34" s="500"/>
      <c r="I34" s="500"/>
      <c r="J34" s="500"/>
      <c r="K34" s="500"/>
      <c r="L34" s="500"/>
      <c r="M34" s="500"/>
      <c r="N34" s="500"/>
      <c r="O34" s="500"/>
      <c r="P34" s="500"/>
      <c r="Q34" s="500"/>
      <c r="R34" s="500"/>
      <c r="S34" s="108"/>
      <c r="U34" s="429"/>
      <c r="V34" s="431"/>
      <c r="W34" s="431"/>
      <c r="X34" s="431"/>
      <c r="Y34" s="431"/>
      <c r="Z34" s="431"/>
      <c r="AA34" s="431"/>
      <c r="AB34" s="431"/>
      <c r="AC34" s="431"/>
      <c r="AD34" s="431"/>
      <c r="AE34" s="431"/>
      <c r="AF34" s="431"/>
      <c r="AG34" s="431"/>
      <c r="AH34" s="432"/>
    </row>
    <row r="35" spans="2:34" ht="22.9" customHeight="1">
      <c r="B35" s="119"/>
      <c r="C35" s="497"/>
      <c r="D35" s="498"/>
      <c r="E35" s="499"/>
      <c r="F35" s="499"/>
      <c r="G35" s="500"/>
      <c r="H35" s="500"/>
      <c r="I35" s="500"/>
      <c r="J35" s="500"/>
      <c r="K35" s="500"/>
      <c r="L35" s="500"/>
      <c r="M35" s="500"/>
      <c r="N35" s="500"/>
      <c r="O35" s="500"/>
      <c r="P35" s="500"/>
      <c r="Q35" s="500"/>
      <c r="R35" s="500"/>
      <c r="S35" s="108"/>
      <c r="U35" s="429"/>
      <c r="V35" s="431"/>
      <c r="W35" s="431"/>
      <c r="X35" s="431"/>
      <c r="Y35" s="431"/>
      <c r="Z35" s="431"/>
      <c r="AA35" s="431"/>
      <c r="AB35" s="431"/>
      <c r="AC35" s="431"/>
      <c r="AD35" s="431"/>
      <c r="AE35" s="431"/>
      <c r="AF35" s="431"/>
      <c r="AG35" s="431"/>
      <c r="AH35" s="432"/>
    </row>
    <row r="36" spans="2:34" ht="22.9" customHeight="1">
      <c r="B36" s="119"/>
      <c r="C36" s="497"/>
      <c r="D36" s="498"/>
      <c r="E36" s="499"/>
      <c r="F36" s="499"/>
      <c r="G36" s="500"/>
      <c r="H36" s="500"/>
      <c r="I36" s="500"/>
      <c r="J36" s="500"/>
      <c r="K36" s="500"/>
      <c r="L36" s="500"/>
      <c r="M36" s="500"/>
      <c r="N36" s="500"/>
      <c r="O36" s="500"/>
      <c r="P36" s="500"/>
      <c r="Q36" s="500"/>
      <c r="R36" s="500"/>
      <c r="S36" s="108"/>
      <c r="U36" s="442"/>
      <c r="V36" s="443"/>
      <c r="W36" s="443"/>
      <c r="X36" s="443"/>
      <c r="Y36" s="443"/>
      <c r="Z36" s="443"/>
      <c r="AA36" s="443"/>
      <c r="AB36" s="443"/>
      <c r="AC36" s="443"/>
      <c r="AD36" s="443"/>
      <c r="AE36" s="443"/>
      <c r="AF36" s="443"/>
      <c r="AG36" s="443"/>
      <c r="AH36" s="444"/>
    </row>
    <row r="37" spans="2:34" ht="22.9" customHeight="1">
      <c r="B37" s="119"/>
      <c r="C37" s="497"/>
      <c r="D37" s="498"/>
      <c r="E37" s="499"/>
      <c r="F37" s="499"/>
      <c r="G37" s="500"/>
      <c r="H37" s="500"/>
      <c r="I37" s="500"/>
      <c r="J37" s="500"/>
      <c r="K37" s="500"/>
      <c r="L37" s="500"/>
      <c r="M37" s="500"/>
      <c r="N37" s="500"/>
      <c r="O37" s="500"/>
      <c r="P37" s="500"/>
      <c r="Q37" s="500"/>
      <c r="R37" s="500"/>
      <c r="S37" s="108"/>
      <c r="U37" s="442"/>
      <c r="V37" s="443"/>
      <c r="W37" s="443"/>
      <c r="X37" s="443"/>
      <c r="Y37" s="443"/>
      <c r="Z37" s="443"/>
      <c r="AA37" s="443"/>
      <c r="AB37" s="443"/>
      <c r="AC37" s="443"/>
      <c r="AD37" s="443"/>
      <c r="AE37" s="443"/>
      <c r="AF37" s="443"/>
      <c r="AG37" s="443"/>
      <c r="AH37" s="444"/>
    </row>
    <row r="38" spans="2:34" ht="22.9" customHeight="1">
      <c r="B38" s="119"/>
      <c r="C38" s="497"/>
      <c r="D38" s="498"/>
      <c r="E38" s="499"/>
      <c r="F38" s="499"/>
      <c r="G38" s="500"/>
      <c r="H38" s="500"/>
      <c r="I38" s="500"/>
      <c r="J38" s="500"/>
      <c r="K38" s="500"/>
      <c r="L38" s="500"/>
      <c r="M38" s="500"/>
      <c r="N38" s="500"/>
      <c r="O38" s="500"/>
      <c r="P38" s="500"/>
      <c r="Q38" s="500"/>
      <c r="R38" s="500"/>
      <c r="S38" s="108"/>
      <c r="U38" s="442"/>
      <c r="V38" s="443"/>
      <c r="W38" s="443"/>
      <c r="X38" s="443"/>
      <c r="Y38" s="443"/>
      <c r="Z38" s="443"/>
      <c r="AA38" s="443"/>
      <c r="AB38" s="443"/>
      <c r="AC38" s="443"/>
      <c r="AD38" s="443"/>
      <c r="AE38" s="443"/>
      <c r="AF38" s="443"/>
      <c r="AG38" s="443"/>
      <c r="AH38" s="444"/>
    </row>
    <row r="39" spans="2:34" ht="22.9" customHeight="1">
      <c r="B39" s="119"/>
      <c r="C39" s="497"/>
      <c r="D39" s="498"/>
      <c r="E39" s="499"/>
      <c r="F39" s="499"/>
      <c r="G39" s="500"/>
      <c r="H39" s="500"/>
      <c r="I39" s="500"/>
      <c r="J39" s="500"/>
      <c r="K39" s="500"/>
      <c r="L39" s="500"/>
      <c r="M39" s="500"/>
      <c r="N39" s="500"/>
      <c r="O39" s="500"/>
      <c r="P39" s="500"/>
      <c r="Q39" s="500"/>
      <c r="R39" s="500"/>
      <c r="S39" s="108"/>
      <c r="U39" s="442"/>
      <c r="V39" s="443"/>
      <c r="W39" s="443"/>
      <c r="X39" s="443"/>
      <c r="Y39" s="443"/>
      <c r="Z39" s="443"/>
      <c r="AA39" s="443"/>
      <c r="AB39" s="443"/>
      <c r="AC39" s="443"/>
      <c r="AD39" s="443"/>
      <c r="AE39" s="443"/>
      <c r="AF39" s="443"/>
      <c r="AG39" s="443"/>
      <c r="AH39" s="444"/>
    </row>
    <row r="40" spans="2:34" ht="22.9" customHeight="1">
      <c r="B40" s="119"/>
      <c r="C40" s="497"/>
      <c r="D40" s="498"/>
      <c r="E40" s="499"/>
      <c r="F40" s="499"/>
      <c r="G40" s="500"/>
      <c r="H40" s="500"/>
      <c r="I40" s="500"/>
      <c r="J40" s="500"/>
      <c r="K40" s="500"/>
      <c r="L40" s="500"/>
      <c r="M40" s="500"/>
      <c r="N40" s="500"/>
      <c r="O40" s="500"/>
      <c r="P40" s="500"/>
      <c r="Q40" s="500"/>
      <c r="R40" s="500"/>
      <c r="S40" s="108"/>
      <c r="U40" s="442"/>
      <c r="V40" s="443"/>
      <c r="W40" s="443"/>
      <c r="X40" s="443"/>
      <c r="Y40" s="443"/>
      <c r="Z40" s="443"/>
      <c r="AA40" s="443"/>
      <c r="AB40" s="443"/>
      <c r="AC40" s="443"/>
      <c r="AD40" s="443"/>
      <c r="AE40" s="443"/>
      <c r="AF40" s="443"/>
      <c r="AG40" s="443"/>
      <c r="AH40" s="444"/>
    </row>
    <row r="41" spans="2:34" ht="22.9" customHeight="1">
      <c r="B41" s="119"/>
      <c r="C41" s="497"/>
      <c r="D41" s="498"/>
      <c r="E41" s="499"/>
      <c r="F41" s="499"/>
      <c r="G41" s="500"/>
      <c r="H41" s="500"/>
      <c r="I41" s="500"/>
      <c r="J41" s="500"/>
      <c r="K41" s="500"/>
      <c r="L41" s="500"/>
      <c r="M41" s="500"/>
      <c r="N41" s="500"/>
      <c r="O41" s="500"/>
      <c r="P41" s="500"/>
      <c r="Q41" s="500"/>
      <c r="R41" s="500"/>
      <c r="S41" s="108"/>
      <c r="U41" s="442"/>
      <c r="V41" s="443"/>
      <c r="W41" s="443"/>
      <c r="X41" s="443"/>
      <c r="Y41" s="443"/>
      <c r="Z41" s="443"/>
      <c r="AA41" s="443"/>
      <c r="AB41" s="443"/>
      <c r="AC41" s="443"/>
      <c r="AD41" s="443"/>
      <c r="AE41" s="443"/>
      <c r="AF41" s="443"/>
      <c r="AG41" s="443"/>
      <c r="AH41" s="444"/>
    </row>
    <row r="42" spans="2:34" ht="22.9" customHeight="1">
      <c r="B42" s="119"/>
      <c r="C42" s="497"/>
      <c r="D42" s="498"/>
      <c r="E42" s="499"/>
      <c r="F42" s="499"/>
      <c r="G42" s="500"/>
      <c r="H42" s="500"/>
      <c r="I42" s="500"/>
      <c r="J42" s="500"/>
      <c r="K42" s="500"/>
      <c r="L42" s="500"/>
      <c r="M42" s="500"/>
      <c r="N42" s="500"/>
      <c r="O42" s="500"/>
      <c r="P42" s="500"/>
      <c r="Q42" s="500"/>
      <c r="R42" s="500"/>
      <c r="S42" s="108"/>
      <c r="U42" s="442"/>
      <c r="V42" s="443"/>
      <c r="W42" s="443"/>
      <c r="X42" s="443"/>
      <c r="Y42" s="443"/>
      <c r="Z42" s="443"/>
      <c r="AA42" s="443"/>
      <c r="AB42" s="443"/>
      <c r="AC42" s="443"/>
      <c r="AD42" s="443"/>
      <c r="AE42" s="443"/>
      <c r="AF42" s="443"/>
      <c r="AG42" s="443"/>
      <c r="AH42" s="444"/>
    </row>
    <row r="43" spans="2:34" ht="22.9" customHeight="1">
      <c r="B43" s="119"/>
      <c r="C43" s="497"/>
      <c r="D43" s="498"/>
      <c r="E43" s="499"/>
      <c r="F43" s="499"/>
      <c r="G43" s="500"/>
      <c r="H43" s="500"/>
      <c r="I43" s="500"/>
      <c r="J43" s="500"/>
      <c r="K43" s="500"/>
      <c r="L43" s="500"/>
      <c r="M43" s="500"/>
      <c r="N43" s="500"/>
      <c r="O43" s="500"/>
      <c r="P43" s="500"/>
      <c r="Q43" s="500"/>
      <c r="R43" s="500"/>
      <c r="S43" s="108"/>
      <c r="U43" s="442"/>
      <c r="V43" s="443"/>
      <c r="W43" s="443"/>
      <c r="X43" s="443"/>
      <c r="Y43" s="443"/>
      <c r="Z43" s="443"/>
      <c r="AA43" s="443"/>
      <c r="AB43" s="443"/>
      <c r="AC43" s="443"/>
      <c r="AD43" s="443"/>
      <c r="AE43" s="443"/>
      <c r="AF43" s="443"/>
      <c r="AG43" s="443"/>
      <c r="AH43" s="444"/>
    </row>
    <row r="44" spans="2:34" ht="22.9" customHeight="1">
      <c r="B44" s="119"/>
      <c r="C44" s="497"/>
      <c r="D44" s="498"/>
      <c r="E44" s="499"/>
      <c r="F44" s="499"/>
      <c r="G44" s="500"/>
      <c r="H44" s="500"/>
      <c r="I44" s="500"/>
      <c r="J44" s="500"/>
      <c r="K44" s="500"/>
      <c r="L44" s="500"/>
      <c r="M44" s="500"/>
      <c r="N44" s="500"/>
      <c r="O44" s="500"/>
      <c r="P44" s="500"/>
      <c r="Q44" s="500"/>
      <c r="R44" s="500"/>
      <c r="S44" s="108"/>
      <c r="U44" s="442"/>
      <c r="V44" s="443"/>
      <c r="W44" s="443"/>
      <c r="X44" s="443"/>
      <c r="Y44" s="443"/>
      <c r="Z44" s="443"/>
      <c r="AA44" s="443"/>
      <c r="AB44" s="443"/>
      <c r="AC44" s="443"/>
      <c r="AD44" s="443"/>
      <c r="AE44" s="443"/>
      <c r="AF44" s="443"/>
      <c r="AG44" s="443"/>
      <c r="AH44" s="444"/>
    </row>
    <row r="45" spans="2:34" ht="22.9" customHeight="1">
      <c r="B45" s="119"/>
      <c r="C45" s="497"/>
      <c r="D45" s="498"/>
      <c r="E45" s="499"/>
      <c r="F45" s="499"/>
      <c r="G45" s="500"/>
      <c r="H45" s="500"/>
      <c r="I45" s="500"/>
      <c r="J45" s="500"/>
      <c r="K45" s="500"/>
      <c r="L45" s="500"/>
      <c r="M45" s="500"/>
      <c r="N45" s="500"/>
      <c r="O45" s="500"/>
      <c r="P45" s="500"/>
      <c r="Q45" s="500"/>
      <c r="R45" s="500"/>
      <c r="S45" s="108"/>
      <c r="U45" s="442"/>
      <c r="V45" s="443"/>
      <c r="W45" s="443"/>
      <c r="X45" s="443"/>
      <c r="Y45" s="443"/>
      <c r="Z45" s="443"/>
      <c r="AA45" s="443"/>
      <c r="AB45" s="443"/>
      <c r="AC45" s="443"/>
      <c r="AD45" s="443"/>
      <c r="AE45" s="443"/>
      <c r="AF45" s="443"/>
      <c r="AG45" s="443"/>
      <c r="AH45" s="444"/>
    </row>
    <row r="46" spans="2:34" s="131" customFormat="1" ht="22.9" customHeight="1" thickBot="1">
      <c r="B46" s="119"/>
      <c r="C46" s="1154" t="s">
        <v>393</v>
      </c>
      <c r="D46" s="1155"/>
      <c r="E46" s="128">
        <f>MIN(E16:E45)</f>
        <v>2009</v>
      </c>
      <c r="F46" s="128">
        <f>MAX(F16:F45)</f>
        <v>2019</v>
      </c>
      <c r="G46" s="129">
        <f t="shared" ref="G46:R46" si="1">SUM(G16:G45)</f>
        <v>7680491.6915887846</v>
      </c>
      <c r="H46" s="129">
        <f t="shared" si="1"/>
        <v>1704967.1430965734</v>
      </c>
      <c r="I46" s="129">
        <f t="shared" si="1"/>
        <v>5731042.174492212</v>
      </c>
      <c r="J46" s="129">
        <f t="shared" si="1"/>
        <v>244482.37399999995</v>
      </c>
      <c r="K46" s="129">
        <f t="shared" si="1"/>
        <v>0</v>
      </c>
      <c r="L46" s="129">
        <f t="shared" si="1"/>
        <v>0</v>
      </c>
      <c r="M46" s="129">
        <f t="shared" si="1"/>
        <v>0</v>
      </c>
      <c r="N46" s="129">
        <f t="shared" si="1"/>
        <v>1488957.96</v>
      </c>
      <c r="O46" s="129">
        <f t="shared" si="1"/>
        <v>244482.37399999995</v>
      </c>
      <c r="P46" s="129">
        <f t="shared" si="1"/>
        <v>0</v>
      </c>
      <c r="Q46" s="129">
        <f t="shared" si="1"/>
        <v>0</v>
      </c>
      <c r="R46" s="129">
        <f t="shared" si="1"/>
        <v>0</v>
      </c>
      <c r="S46" s="130"/>
      <c r="U46" s="442"/>
      <c r="V46" s="443"/>
      <c r="W46" s="443"/>
      <c r="X46" s="443"/>
      <c r="Y46" s="443"/>
      <c r="Z46" s="443"/>
      <c r="AA46" s="443"/>
      <c r="AB46" s="443"/>
      <c r="AC46" s="443"/>
      <c r="AD46" s="443"/>
      <c r="AE46" s="443"/>
      <c r="AF46" s="443"/>
      <c r="AG46" s="443"/>
      <c r="AH46" s="444"/>
    </row>
    <row r="47" spans="2:34" s="131" customFormat="1" ht="22.9" customHeight="1">
      <c r="B47" s="119"/>
      <c r="C47" s="879"/>
      <c r="D47" s="879"/>
      <c r="E47" s="880"/>
      <c r="F47" s="880"/>
      <c r="G47" s="222"/>
      <c r="H47" s="222"/>
      <c r="I47" s="222"/>
      <c r="J47" s="222"/>
      <c r="K47" s="222"/>
      <c r="L47" s="222"/>
      <c r="M47" s="222"/>
      <c r="N47" s="222"/>
      <c r="O47" s="222"/>
      <c r="P47" s="222"/>
      <c r="Q47" s="222"/>
      <c r="R47" s="222"/>
      <c r="S47" s="130"/>
      <c r="U47" s="442"/>
      <c r="V47" s="443"/>
      <c r="W47" s="443"/>
      <c r="X47" s="443"/>
      <c r="Y47" s="443"/>
      <c r="Z47" s="443"/>
      <c r="AA47" s="443"/>
      <c r="AB47" s="443"/>
      <c r="AC47" s="443"/>
      <c r="AD47" s="443"/>
      <c r="AE47" s="443"/>
      <c r="AF47" s="443"/>
      <c r="AG47" s="443"/>
      <c r="AH47" s="444"/>
    </row>
    <row r="48" spans="2:34" s="131" customFormat="1" ht="22.9" customHeight="1">
      <c r="B48" s="119"/>
      <c r="C48" s="881" t="s">
        <v>790</v>
      </c>
      <c r="D48" s="879"/>
      <c r="E48" s="880"/>
      <c r="F48" s="880"/>
      <c r="G48" s="222"/>
      <c r="H48" s="222"/>
      <c r="I48" s="222"/>
      <c r="J48" s="222"/>
      <c r="K48" s="222"/>
      <c r="L48" s="222"/>
      <c r="M48" s="222"/>
      <c r="N48" s="222"/>
      <c r="O48" s="222"/>
      <c r="P48" s="222"/>
      <c r="Q48" s="222"/>
      <c r="R48" s="222"/>
      <c r="S48" s="130"/>
      <c r="U48" s="442"/>
      <c r="V48" s="443"/>
      <c r="W48" s="443"/>
      <c r="X48" s="443"/>
      <c r="Y48" s="443"/>
      <c r="Z48" s="443"/>
      <c r="AA48" s="443"/>
      <c r="AB48" s="443"/>
      <c r="AC48" s="443"/>
      <c r="AD48" s="443"/>
      <c r="AE48" s="443"/>
      <c r="AF48" s="443"/>
      <c r="AG48" s="443"/>
      <c r="AH48" s="444"/>
    </row>
    <row r="49" spans="2:34" s="131" customFormat="1" ht="22.9" customHeight="1">
      <c r="B49" s="119"/>
      <c r="C49" s="882" t="s">
        <v>791</v>
      </c>
      <c r="D49" s="879"/>
      <c r="E49" s="880"/>
      <c r="F49" s="883">
        <f>ejercicio-1</f>
        <v>2017</v>
      </c>
      <c r="G49" s="884" t="s">
        <v>792</v>
      </c>
      <c r="H49" s="222"/>
      <c r="I49" s="222"/>
      <c r="J49" s="222"/>
      <c r="K49" s="222"/>
      <c r="L49" s="222"/>
      <c r="M49" s="222"/>
      <c r="N49" s="222"/>
      <c r="O49" s="222"/>
      <c r="P49" s="222"/>
      <c r="Q49" s="222"/>
      <c r="R49" s="222"/>
      <c r="S49" s="130"/>
      <c r="U49" s="442"/>
      <c r="V49" s="443"/>
      <c r="W49" s="443"/>
      <c r="X49" s="443"/>
      <c r="Y49" s="443"/>
      <c r="Z49" s="443"/>
      <c r="AA49" s="443"/>
      <c r="AB49" s="443"/>
      <c r="AC49" s="443"/>
      <c r="AD49" s="443"/>
      <c r="AE49" s="443"/>
      <c r="AF49" s="443"/>
      <c r="AG49" s="443"/>
      <c r="AH49" s="444"/>
    </row>
    <row r="50" spans="2:34" s="131" customFormat="1" ht="22.9" customHeight="1">
      <c r="B50" s="119"/>
      <c r="C50" s="885" t="s">
        <v>793</v>
      </c>
      <c r="D50" s="879"/>
      <c r="E50" s="880"/>
      <c r="F50" s="880"/>
      <c r="G50" s="222"/>
      <c r="H50" s="222"/>
      <c r="I50" s="222"/>
      <c r="J50" s="222"/>
      <c r="K50" s="222"/>
      <c r="L50" s="222"/>
      <c r="M50" s="222"/>
      <c r="N50" s="222"/>
      <c r="O50" s="222"/>
      <c r="P50" s="222"/>
      <c r="Q50" s="222"/>
      <c r="R50" s="222"/>
      <c r="S50" s="130"/>
      <c r="U50" s="442"/>
      <c r="V50" s="443"/>
      <c r="W50" s="443"/>
      <c r="X50" s="443"/>
      <c r="Y50" s="443"/>
      <c r="Z50" s="443"/>
      <c r="AA50" s="443"/>
      <c r="AB50" s="443"/>
      <c r="AC50" s="443"/>
      <c r="AD50" s="443"/>
      <c r="AE50" s="443"/>
      <c r="AF50" s="443"/>
      <c r="AG50" s="443"/>
      <c r="AH50" s="444"/>
    </row>
    <row r="51" spans="2:34" s="131" customFormat="1" ht="22.9" customHeight="1">
      <c r="B51" s="119"/>
      <c r="C51" s="882" t="s">
        <v>796</v>
      </c>
      <c r="D51" s="879"/>
      <c r="E51" s="880"/>
      <c r="F51" s="880"/>
      <c r="G51" s="883">
        <f>ejercicio-1</f>
        <v>2017</v>
      </c>
      <c r="H51" s="884" t="s">
        <v>797</v>
      </c>
      <c r="I51" s="222"/>
      <c r="J51" s="222"/>
      <c r="K51" s="222"/>
      <c r="L51" s="222"/>
      <c r="M51" s="222"/>
      <c r="N51" s="222"/>
      <c r="O51" s="222"/>
      <c r="P51" s="222"/>
      <c r="Q51" s="222"/>
      <c r="R51" s="222"/>
      <c r="S51" s="130"/>
      <c r="U51" s="442"/>
      <c r="V51" s="443"/>
      <c r="W51" s="443"/>
      <c r="X51" s="443"/>
      <c r="Y51" s="443"/>
      <c r="Z51" s="443"/>
      <c r="AA51" s="443"/>
      <c r="AB51" s="443"/>
      <c r="AC51" s="443"/>
      <c r="AD51" s="443"/>
      <c r="AE51" s="443"/>
      <c r="AF51" s="443"/>
      <c r="AG51" s="443"/>
      <c r="AH51" s="444"/>
    </row>
    <row r="52" spans="2:34" s="131" customFormat="1" ht="22.9" customHeight="1">
      <c r="B52" s="119"/>
      <c r="C52" s="882" t="s">
        <v>798</v>
      </c>
      <c r="D52" s="879"/>
      <c r="E52" s="880"/>
      <c r="F52" s="880"/>
      <c r="G52" s="222"/>
      <c r="H52" s="222"/>
      <c r="I52" s="222"/>
      <c r="J52" s="222"/>
      <c r="K52" s="222"/>
      <c r="L52" s="222"/>
      <c r="M52" s="222"/>
      <c r="N52" s="222"/>
      <c r="O52" s="222"/>
      <c r="P52" s="222"/>
      <c r="Q52" s="222"/>
      <c r="R52" s="222"/>
      <c r="S52" s="130"/>
      <c r="U52" s="442"/>
      <c r="V52" s="443"/>
      <c r="W52" s="443"/>
      <c r="X52" s="443"/>
      <c r="Y52" s="443"/>
      <c r="Z52" s="443"/>
      <c r="AA52" s="443"/>
      <c r="AB52" s="443"/>
      <c r="AC52" s="443"/>
      <c r="AD52" s="443"/>
      <c r="AE52" s="443"/>
      <c r="AF52" s="443"/>
      <c r="AG52" s="443"/>
      <c r="AH52" s="444"/>
    </row>
    <row r="53" spans="2:34" s="131" customFormat="1" ht="22.9" customHeight="1">
      <c r="B53" s="119"/>
      <c r="C53" s="882" t="s">
        <v>802</v>
      </c>
      <c r="D53" s="879"/>
      <c r="E53" s="880"/>
      <c r="F53" s="880"/>
      <c r="G53" s="883">
        <f>ejercicio-1</f>
        <v>2017</v>
      </c>
      <c r="H53" s="884" t="s">
        <v>801</v>
      </c>
      <c r="I53" s="222"/>
      <c r="J53" s="222"/>
      <c r="K53" s="222"/>
      <c r="L53" s="222"/>
      <c r="M53" s="222"/>
      <c r="N53" s="222"/>
      <c r="O53" s="222"/>
      <c r="P53" s="222"/>
      <c r="Q53" s="222"/>
      <c r="R53" s="222"/>
      <c r="S53" s="130"/>
      <c r="U53" s="442"/>
      <c r="V53" s="443"/>
      <c r="W53" s="443"/>
      <c r="X53" s="443"/>
      <c r="Y53" s="443"/>
      <c r="Z53" s="443"/>
      <c r="AA53" s="443"/>
      <c r="AB53" s="443"/>
      <c r="AC53" s="443"/>
      <c r="AD53" s="443"/>
      <c r="AE53" s="443"/>
      <c r="AF53" s="443"/>
      <c r="AG53" s="443"/>
      <c r="AH53" s="444"/>
    </row>
    <row r="54" spans="2:34" s="131" customFormat="1" ht="22.9" customHeight="1">
      <c r="B54" s="119"/>
      <c r="C54" s="879"/>
      <c r="D54" s="879"/>
      <c r="E54" s="880"/>
      <c r="F54" s="880"/>
      <c r="G54" s="222"/>
      <c r="H54" s="222"/>
      <c r="I54" s="222"/>
      <c r="J54" s="222"/>
      <c r="K54" s="222"/>
      <c r="L54" s="222"/>
      <c r="M54" s="222"/>
      <c r="N54" s="222"/>
      <c r="O54" s="222"/>
      <c r="P54" s="222"/>
      <c r="Q54" s="222"/>
      <c r="R54" s="222"/>
      <c r="S54" s="130"/>
      <c r="U54" s="442"/>
      <c r="V54" s="443"/>
      <c r="W54" s="443"/>
      <c r="X54" s="443"/>
      <c r="Y54" s="443"/>
      <c r="Z54" s="443"/>
      <c r="AA54" s="443"/>
      <c r="AB54" s="443"/>
      <c r="AC54" s="443"/>
      <c r="AD54" s="443"/>
      <c r="AE54" s="443"/>
      <c r="AF54" s="443"/>
      <c r="AG54" s="443"/>
      <c r="AH54" s="444"/>
    </row>
    <row r="55" spans="2:34" ht="22.9" customHeight="1" thickBot="1">
      <c r="B55" s="123"/>
      <c r="C55" s="1128"/>
      <c r="D55" s="1128"/>
      <c r="E55" s="1128"/>
      <c r="F55" s="1128"/>
      <c r="G55" s="53"/>
      <c r="H55" s="53"/>
      <c r="I55" s="53"/>
      <c r="J55" s="53"/>
      <c r="K55" s="53"/>
      <c r="L55" s="53"/>
      <c r="M55" s="53"/>
      <c r="N55" s="53"/>
      <c r="O55" s="53"/>
      <c r="P55" s="53"/>
      <c r="Q55" s="53"/>
      <c r="R55" s="124"/>
      <c r="S55" s="125"/>
      <c r="U55" s="445"/>
      <c r="V55" s="446"/>
      <c r="W55" s="446"/>
      <c r="X55" s="446"/>
      <c r="Y55" s="446"/>
      <c r="Z55" s="446"/>
      <c r="AA55" s="446"/>
      <c r="AB55" s="446"/>
      <c r="AC55" s="446"/>
      <c r="AD55" s="446"/>
      <c r="AE55" s="446"/>
      <c r="AF55" s="446"/>
      <c r="AG55" s="446"/>
      <c r="AH55" s="447"/>
    </row>
    <row r="56" spans="2:34" ht="22.9" customHeight="1">
      <c r="C56" s="106"/>
      <c r="D56" s="106"/>
      <c r="E56" s="107"/>
      <c r="F56" s="107"/>
      <c r="G56" s="107"/>
      <c r="H56" s="107"/>
      <c r="I56" s="107"/>
      <c r="J56" s="107"/>
      <c r="K56" s="107"/>
      <c r="L56" s="107"/>
      <c r="M56" s="107"/>
      <c r="N56" s="107"/>
      <c r="O56" s="107"/>
      <c r="P56" s="107"/>
      <c r="Q56" s="107"/>
      <c r="R56" s="107"/>
    </row>
    <row r="57" spans="2:34" ht="12.75">
      <c r="C57" s="126" t="s">
        <v>77</v>
      </c>
      <c r="D57" s="106"/>
      <c r="E57" s="107"/>
      <c r="F57" s="107"/>
      <c r="G57" s="107"/>
      <c r="H57" s="107"/>
      <c r="I57" s="107"/>
      <c r="J57" s="107"/>
      <c r="K57" s="107"/>
      <c r="L57" s="107"/>
      <c r="M57" s="107"/>
      <c r="N57" s="107"/>
      <c r="O57" s="107"/>
      <c r="P57" s="107"/>
      <c r="Q57" s="107"/>
      <c r="R57" s="97" t="s">
        <v>46</v>
      </c>
    </row>
    <row r="58" spans="2:34" ht="12.75">
      <c r="C58" s="127" t="s">
        <v>78</v>
      </c>
      <c r="D58" s="106"/>
      <c r="E58" s="107"/>
      <c r="F58" s="107"/>
      <c r="G58" s="107"/>
      <c r="H58" s="107"/>
      <c r="I58" s="107"/>
      <c r="J58" s="107"/>
      <c r="K58" s="107"/>
      <c r="L58" s="107"/>
      <c r="M58" s="107"/>
      <c r="N58" s="107"/>
      <c r="O58" s="107"/>
      <c r="P58" s="107"/>
      <c r="Q58" s="107"/>
      <c r="R58" s="107"/>
    </row>
    <row r="59" spans="2:34" ht="12.75">
      <c r="C59" s="127" t="s">
        <v>79</v>
      </c>
      <c r="D59" s="106"/>
      <c r="E59" s="107"/>
      <c r="F59" s="107"/>
      <c r="G59" s="107"/>
      <c r="H59" s="107"/>
      <c r="I59" s="107"/>
      <c r="J59" s="107"/>
      <c r="K59" s="107"/>
      <c r="L59" s="107"/>
      <c r="M59" s="107"/>
      <c r="N59" s="107"/>
      <c r="O59" s="107"/>
      <c r="P59" s="107"/>
      <c r="Q59" s="107"/>
      <c r="R59" s="107"/>
    </row>
    <row r="60" spans="2:34" ht="12.75">
      <c r="C60" s="127" t="s">
        <v>80</v>
      </c>
      <c r="D60" s="106"/>
      <c r="E60" s="107"/>
      <c r="F60" s="107"/>
      <c r="G60" s="107"/>
      <c r="H60" s="107"/>
      <c r="I60" s="107"/>
      <c r="J60" s="107"/>
      <c r="K60" s="107"/>
      <c r="L60" s="107"/>
      <c r="M60" s="107"/>
      <c r="N60" s="107"/>
      <c r="O60" s="107"/>
      <c r="P60" s="107"/>
      <c r="Q60" s="107"/>
      <c r="R60" s="107"/>
    </row>
    <row r="61" spans="2:34" ht="12.75">
      <c r="C61" s="127" t="s">
        <v>81</v>
      </c>
      <c r="D61" s="106"/>
      <c r="E61" s="107"/>
      <c r="F61" s="107"/>
      <c r="G61" s="107"/>
      <c r="H61" s="107"/>
      <c r="I61" s="107"/>
      <c r="J61" s="107"/>
      <c r="K61" s="107"/>
      <c r="L61" s="107"/>
      <c r="M61" s="107"/>
      <c r="N61" s="107"/>
      <c r="O61" s="107"/>
      <c r="P61" s="107"/>
      <c r="Q61" s="107"/>
      <c r="R61" s="107"/>
    </row>
    <row r="62" spans="2:34" ht="22.9" customHeight="1">
      <c r="C62" s="106"/>
      <c r="D62" s="106"/>
      <c r="E62" s="107"/>
      <c r="F62" s="107"/>
      <c r="G62" s="107"/>
      <c r="H62" s="107"/>
      <c r="I62" s="107"/>
      <c r="J62" s="107"/>
      <c r="K62" s="107"/>
      <c r="L62" s="107"/>
      <c r="M62" s="107"/>
      <c r="N62" s="107"/>
      <c r="O62" s="107"/>
      <c r="P62" s="107"/>
      <c r="Q62" s="107"/>
      <c r="R62" s="107"/>
    </row>
    <row r="63" spans="2:34" ht="22.9" customHeight="1">
      <c r="C63" s="106"/>
      <c r="D63" s="106"/>
      <c r="E63" s="107"/>
      <c r="F63" s="107"/>
      <c r="G63" s="107"/>
      <c r="H63" s="107"/>
      <c r="I63" s="107"/>
      <c r="J63" s="107"/>
      <c r="K63" s="107"/>
      <c r="L63" s="107"/>
      <c r="M63" s="107"/>
      <c r="N63" s="107"/>
      <c r="O63" s="107"/>
      <c r="P63" s="107"/>
      <c r="Q63" s="107"/>
      <c r="R63" s="107"/>
    </row>
    <row r="64" spans="2:34" ht="22.9" customHeight="1">
      <c r="C64" s="106"/>
      <c r="D64" s="106"/>
      <c r="E64" s="107"/>
      <c r="F64" s="107"/>
      <c r="G64" s="107"/>
      <c r="H64" s="107"/>
      <c r="I64" s="107"/>
      <c r="J64" s="107"/>
      <c r="K64" s="107"/>
      <c r="L64" s="107"/>
      <c r="M64" s="107"/>
      <c r="N64" s="107"/>
      <c r="O64" s="107"/>
      <c r="P64" s="107"/>
      <c r="Q64" s="107"/>
      <c r="R64" s="107"/>
    </row>
    <row r="65" spans="3:18" ht="22.9" customHeight="1">
      <c r="C65" s="106"/>
      <c r="D65" s="106"/>
      <c r="E65" s="107"/>
      <c r="F65" s="107"/>
      <c r="G65" s="107"/>
      <c r="H65" s="107"/>
      <c r="I65" s="107"/>
      <c r="J65" s="107"/>
      <c r="K65" s="107"/>
      <c r="L65" s="107"/>
      <c r="M65" s="107"/>
      <c r="N65" s="107"/>
      <c r="O65" s="107"/>
      <c r="P65" s="107"/>
      <c r="Q65" s="107"/>
      <c r="R65" s="107"/>
    </row>
    <row r="66" spans="3:18" ht="22.9" customHeight="1">
      <c r="F66" s="107"/>
      <c r="G66" s="107"/>
      <c r="H66" s="107"/>
      <c r="I66" s="107"/>
      <c r="J66" s="107"/>
      <c r="K66" s="107"/>
      <c r="L66" s="107"/>
      <c r="M66" s="107"/>
      <c r="N66" s="107"/>
      <c r="O66" s="107"/>
      <c r="P66" s="107"/>
      <c r="Q66" s="107"/>
      <c r="R66" s="107"/>
    </row>
  </sheetData>
  <sheetProtection password="E059" sheet="1" objects="1" scenarios="1" insertRows="0"/>
  <mergeCells count="5">
    <mergeCell ref="R6:R7"/>
    <mergeCell ref="D9:R9"/>
    <mergeCell ref="C55:F55"/>
    <mergeCell ref="I13:M13"/>
    <mergeCell ref="C46:D46"/>
  </mergeCells>
  <phoneticPr fontId="22" type="noConversion"/>
  <printOptions horizontalCentered="1" verticalCentered="1"/>
  <pageMargins left="0.36000000000000004" right="0.36000000000000004" top="0.6100000000000001" bottom="0.6100000000000001" header="0.5" footer="0.5"/>
  <pageSetup paperSize="9" scale="30" orientation="portrait" horizontalDpi="4294967292" verticalDpi="4294967292" r:id="rId1"/>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AD57"/>
  <sheetViews>
    <sheetView topLeftCell="L22" zoomScale="85" zoomScaleNormal="85" zoomScalePageLayoutView="85" workbookViewId="0">
      <selection activeCell="F54" sqref="F54"/>
    </sheetView>
  </sheetViews>
  <sheetFormatPr baseColWidth="10" defaultColWidth="10.77734375" defaultRowHeight="22.9" customHeight="1"/>
  <cols>
    <col min="1" max="2" width="3.21875" style="99" customWidth="1"/>
    <col min="3" max="3" width="13.5546875" style="99" customWidth="1"/>
    <col min="4" max="4" width="23.21875" style="99" customWidth="1"/>
    <col min="5" max="13" width="13.44140625" style="100" customWidth="1"/>
    <col min="14" max="14" width="52.44140625" style="100" customWidth="1"/>
    <col min="15" max="15" width="3.21875" style="99" customWidth="1"/>
    <col min="16" max="16384" width="10.77734375" style="99"/>
  </cols>
  <sheetData>
    <row r="2" spans="2:30" ht="22.9" customHeight="1">
      <c r="D2" s="65" t="s">
        <v>379</v>
      </c>
    </row>
    <row r="3" spans="2:30" ht="22.9" customHeight="1">
      <c r="D3" s="65" t="s">
        <v>380</v>
      </c>
    </row>
    <row r="4" spans="2:30" ht="22.9" customHeight="1" thickBot="1"/>
    <row r="5" spans="2:30" ht="9" customHeight="1">
      <c r="B5" s="101"/>
      <c r="C5" s="102"/>
      <c r="D5" s="102"/>
      <c r="E5" s="103"/>
      <c r="F5" s="103"/>
      <c r="G5" s="103"/>
      <c r="H5" s="103"/>
      <c r="I5" s="103"/>
      <c r="J5" s="103"/>
      <c r="K5" s="103"/>
      <c r="L5" s="103"/>
      <c r="M5" s="103"/>
      <c r="N5" s="103"/>
      <c r="O5" s="104"/>
      <c r="Q5" s="426"/>
      <c r="R5" s="427"/>
      <c r="S5" s="427"/>
      <c r="T5" s="427"/>
      <c r="U5" s="427"/>
      <c r="V5" s="427"/>
      <c r="W5" s="427"/>
      <c r="X5" s="427"/>
      <c r="Y5" s="427"/>
      <c r="Z5" s="427"/>
      <c r="AA5" s="427"/>
      <c r="AB5" s="427"/>
      <c r="AC5" s="427"/>
      <c r="AD5" s="428"/>
    </row>
    <row r="6" spans="2:30" ht="30" customHeight="1">
      <c r="B6" s="105"/>
      <c r="C6" s="69" t="s">
        <v>0</v>
      </c>
      <c r="D6" s="106"/>
      <c r="E6" s="107"/>
      <c r="F6" s="107"/>
      <c r="G6" s="107"/>
      <c r="H6" s="107"/>
      <c r="I6" s="107"/>
      <c r="J6" s="107"/>
      <c r="K6" s="107"/>
      <c r="L6" s="107"/>
      <c r="M6" s="107"/>
      <c r="N6" s="1105">
        <f>ejercicio</f>
        <v>2018</v>
      </c>
      <c r="O6" s="108"/>
      <c r="Q6" s="429"/>
      <c r="R6" s="430" t="s">
        <v>707</v>
      </c>
      <c r="S6" s="431"/>
      <c r="T6" s="431"/>
      <c r="U6" s="431"/>
      <c r="V6" s="431"/>
      <c r="W6" s="431"/>
      <c r="X6" s="431"/>
      <c r="Y6" s="431"/>
      <c r="Z6" s="431"/>
      <c r="AA6" s="431"/>
      <c r="AB6" s="431"/>
      <c r="AC6" s="431"/>
      <c r="AD6" s="432"/>
    </row>
    <row r="7" spans="2:30" ht="30" customHeight="1">
      <c r="B7" s="105"/>
      <c r="C7" s="69" t="s">
        <v>1</v>
      </c>
      <c r="D7" s="106"/>
      <c r="E7" s="107"/>
      <c r="F7" s="107"/>
      <c r="G7" s="107"/>
      <c r="H7" s="107"/>
      <c r="I7" s="107"/>
      <c r="J7" s="107"/>
      <c r="K7" s="107"/>
      <c r="L7" s="107"/>
      <c r="M7" s="107"/>
      <c r="N7" s="1105"/>
      <c r="O7" s="108"/>
      <c r="Q7" s="429"/>
      <c r="R7" s="431"/>
      <c r="S7" s="431"/>
      <c r="T7" s="431"/>
      <c r="U7" s="431"/>
      <c r="V7" s="431"/>
      <c r="W7" s="431"/>
      <c r="X7" s="431"/>
      <c r="Y7" s="431"/>
      <c r="Z7" s="431"/>
      <c r="AA7" s="431"/>
      <c r="AB7" s="431"/>
      <c r="AC7" s="431"/>
      <c r="AD7" s="432"/>
    </row>
    <row r="8" spans="2:30" ht="30" customHeight="1">
      <c r="B8" s="105"/>
      <c r="C8" s="109"/>
      <c r="D8" s="106"/>
      <c r="E8" s="107"/>
      <c r="F8" s="107"/>
      <c r="G8" s="107"/>
      <c r="H8" s="107"/>
      <c r="I8" s="107"/>
      <c r="J8" s="107"/>
      <c r="K8" s="107"/>
      <c r="L8" s="107"/>
      <c r="M8" s="107"/>
      <c r="N8" s="110"/>
      <c r="O8" s="108"/>
      <c r="Q8" s="429"/>
      <c r="R8" s="431"/>
      <c r="S8" s="431"/>
      <c r="T8" s="431"/>
      <c r="U8" s="431"/>
      <c r="V8" s="431"/>
      <c r="W8" s="431"/>
      <c r="X8" s="431"/>
      <c r="Y8" s="431"/>
      <c r="Z8" s="431"/>
      <c r="AA8" s="431"/>
      <c r="AB8" s="431"/>
      <c r="AC8" s="431"/>
      <c r="AD8" s="432"/>
    </row>
    <row r="9" spans="2:30" s="67" customFormat="1" ht="30" customHeight="1">
      <c r="B9" s="111"/>
      <c r="C9" s="56" t="s">
        <v>2</v>
      </c>
      <c r="D9" s="1129" t="str">
        <f>Entidad</f>
        <v>METROPOLITANO DE TENERIFE, S.A.</v>
      </c>
      <c r="E9" s="1129"/>
      <c r="F9" s="1129"/>
      <c r="G9" s="1129"/>
      <c r="H9" s="1129"/>
      <c r="I9" s="1129"/>
      <c r="J9" s="1129"/>
      <c r="K9" s="1129"/>
      <c r="L9" s="1129"/>
      <c r="M9" s="1129"/>
      <c r="N9" s="1129"/>
      <c r="O9" s="112"/>
      <c r="Q9" s="433"/>
      <c r="R9" s="434"/>
      <c r="S9" s="434"/>
      <c r="T9" s="434"/>
      <c r="U9" s="434"/>
      <c r="V9" s="434"/>
      <c r="W9" s="434"/>
      <c r="X9" s="434"/>
      <c r="Y9" s="434"/>
      <c r="Z9" s="434"/>
      <c r="AA9" s="434"/>
      <c r="AB9" s="434"/>
      <c r="AC9" s="434"/>
      <c r="AD9" s="435"/>
    </row>
    <row r="10" spans="2:30" ht="7.15" customHeight="1">
      <c r="B10" s="105"/>
      <c r="C10" s="106"/>
      <c r="D10" s="106"/>
      <c r="E10" s="107"/>
      <c r="F10" s="107"/>
      <c r="G10" s="107"/>
      <c r="H10" s="107"/>
      <c r="I10" s="107"/>
      <c r="J10" s="107"/>
      <c r="K10" s="107"/>
      <c r="L10" s="107"/>
      <c r="M10" s="107"/>
      <c r="N10" s="107"/>
      <c r="O10" s="108"/>
      <c r="Q10" s="429"/>
      <c r="R10" s="431"/>
      <c r="S10" s="431"/>
      <c r="T10" s="431"/>
      <c r="U10" s="431"/>
      <c r="V10" s="431"/>
      <c r="W10" s="431"/>
      <c r="X10" s="431"/>
      <c r="Y10" s="431"/>
      <c r="Z10" s="431"/>
      <c r="AA10" s="431"/>
      <c r="AB10" s="431"/>
      <c r="AC10" s="431"/>
      <c r="AD10" s="432"/>
    </row>
    <row r="11" spans="2:30" s="117" customFormat="1" ht="30" customHeight="1">
      <c r="B11" s="113"/>
      <c r="C11" s="114" t="s">
        <v>420</v>
      </c>
      <c r="D11" s="114"/>
      <c r="E11" s="115"/>
      <c r="F11" s="115"/>
      <c r="G11" s="115"/>
      <c r="H11" s="115"/>
      <c r="I11" s="115"/>
      <c r="J11" s="115"/>
      <c r="K11" s="115"/>
      <c r="L11" s="115"/>
      <c r="M11" s="115"/>
      <c r="N11" s="115"/>
      <c r="O11" s="116"/>
      <c r="Q11" s="436"/>
      <c r="R11" s="437"/>
      <c r="S11" s="437"/>
      <c r="T11" s="437"/>
      <c r="U11" s="437"/>
      <c r="V11" s="437"/>
      <c r="W11" s="437"/>
      <c r="X11" s="437"/>
      <c r="Y11" s="437"/>
      <c r="Z11" s="437"/>
      <c r="AA11" s="437"/>
      <c r="AB11" s="437"/>
      <c r="AC11" s="437"/>
      <c r="AD11" s="438"/>
    </row>
    <row r="12" spans="2:30" s="117" customFormat="1" ht="30" customHeight="1">
      <c r="B12" s="113"/>
      <c r="C12" s="118"/>
      <c r="D12" s="118"/>
      <c r="E12" s="98"/>
      <c r="F12" s="98"/>
      <c r="G12" s="98"/>
      <c r="H12" s="98"/>
      <c r="I12" s="98"/>
      <c r="J12" s="98"/>
      <c r="K12" s="98"/>
      <c r="L12" s="98"/>
      <c r="M12" s="98"/>
      <c r="N12" s="98"/>
      <c r="O12" s="116"/>
      <c r="Q12" s="436"/>
      <c r="R12" s="437"/>
      <c r="S12" s="437"/>
      <c r="T12" s="437"/>
      <c r="U12" s="437"/>
      <c r="V12" s="437"/>
      <c r="W12" s="437"/>
      <c r="X12" s="437"/>
      <c r="Y12" s="437"/>
      <c r="Z12" s="437"/>
      <c r="AA12" s="437"/>
      <c r="AB12" s="437"/>
      <c r="AC12" s="437"/>
      <c r="AD12" s="438"/>
    </row>
    <row r="13" spans="2:30" s="121" customFormat="1" ht="22.9" customHeight="1">
      <c r="B13" s="119"/>
      <c r="C13" s="1156"/>
      <c r="D13" s="1157"/>
      <c r="E13" s="202" t="s">
        <v>417</v>
      </c>
      <c r="F13" s="1160" t="s">
        <v>407</v>
      </c>
      <c r="G13" s="1161"/>
      <c r="H13" s="1161"/>
      <c r="I13" s="1161"/>
      <c r="J13" s="1161"/>
      <c r="K13" s="1161"/>
      <c r="L13" s="1162"/>
      <c r="M13" s="202" t="s">
        <v>418</v>
      </c>
      <c r="N13" s="1158" t="s">
        <v>419</v>
      </c>
      <c r="O13" s="120"/>
      <c r="Q13" s="429"/>
      <c r="R13" s="431"/>
      <c r="S13" s="431"/>
      <c r="T13" s="431"/>
      <c r="U13" s="431"/>
      <c r="V13" s="431"/>
      <c r="W13" s="431"/>
      <c r="X13" s="431"/>
      <c r="Y13" s="431"/>
      <c r="Z13" s="431"/>
      <c r="AA13" s="431"/>
      <c r="AB13" s="431"/>
      <c r="AC13" s="431"/>
      <c r="AD13" s="432"/>
    </row>
    <row r="14" spans="2:30" ht="49.15" customHeight="1">
      <c r="B14" s="105"/>
      <c r="C14" s="211" t="s">
        <v>414</v>
      </c>
      <c r="D14" s="209">
        <f>ejercicio-1</f>
        <v>2017</v>
      </c>
      <c r="E14" s="210">
        <f>ejercicio-1</f>
        <v>2017</v>
      </c>
      <c r="F14" s="206" t="s">
        <v>409</v>
      </c>
      <c r="G14" s="207" t="s">
        <v>408</v>
      </c>
      <c r="H14" s="207" t="s">
        <v>410</v>
      </c>
      <c r="I14" s="207" t="s">
        <v>411</v>
      </c>
      <c r="J14" s="207" t="s">
        <v>412</v>
      </c>
      <c r="K14" s="207" t="s">
        <v>413</v>
      </c>
      <c r="L14" s="208" t="s">
        <v>398</v>
      </c>
      <c r="M14" s="210">
        <f>ejercicio-1</f>
        <v>2017</v>
      </c>
      <c r="N14" s="1159"/>
      <c r="O14" s="108"/>
      <c r="Q14" s="429"/>
      <c r="R14" s="431"/>
      <c r="S14" s="431"/>
      <c r="T14" s="431"/>
      <c r="U14" s="431"/>
      <c r="V14" s="431"/>
      <c r="W14" s="431"/>
      <c r="X14" s="431"/>
      <c r="Y14" s="431"/>
      <c r="Z14" s="431"/>
      <c r="AA14" s="431"/>
      <c r="AB14" s="431"/>
      <c r="AC14" s="431"/>
      <c r="AD14" s="432"/>
    </row>
    <row r="15" spans="2:30" s="122" customFormat="1" ht="22.9" customHeight="1">
      <c r="B15" s="119"/>
      <c r="C15" s="160" t="s">
        <v>400</v>
      </c>
      <c r="D15" s="161"/>
      <c r="E15" s="501">
        <f>+'FC-4_ACTIVO'!E17</f>
        <v>144655678.28999999</v>
      </c>
      <c r="F15" s="502">
        <v>344230.58999999997</v>
      </c>
      <c r="G15" s="503"/>
      <c r="H15" s="503">
        <v>1300689.70968845</v>
      </c>
      <c r="I15" s="503">
        <v>-4193662.36</v>
      </c>
      <c r="J15" s="504">
        <f>-57329</f>
        <v>-57329</v>
      </c>
      <c r="K15" s="503"/>
      <c r="L15" s="504">
        <v>4439.21</v>
      </c>
      <c r="M15" s="176">
        <f>SUM(E15:L15)</f>
        <v>142054046.43968844</v>
      </c>
      <c r="N15" s="1080" t="s">
        <v>969</v>
      </c>
      <c r="O15" s="120"/>
      <c r="Q15" s="429"/>
      <c r="R15" s="431"/>
      <c r="S15" s="431"/>
      <c r="T15" s="431"/>
      <c r="U15" s="431"/>
      <c r="V15" s="431"/>
      <c r="W15" s="431"/>
      <c r="X15" s="431"/>
      <c r="Y15" s="431"/>
      <c r="Z15" s="431"/>
      <c r="AA15" s="431"/>
      <c r="AB15" s="431"/>
      <c r="AC15" s="431"/>
      <c r="AD15" s="432"/>
    </row>
    <row r="16" spans="2:30" ht="22.9" customHeight="1">
      <c r="B16" s="119"/>
      <c r="C16" s="162" t="s">
        <v>403</v>
      </c>
      <c r="D16" s="163"/>
      <c r="E16" s="505"/>
      <c r="F16" s="506"/>
      <c r="G16" s="507"/>
      <c r="H16" s="507"/>
      <c r="I16" s="507"/>
      <c r="J16" s="507"/>
      <c r="K16" s="507"/>
      <c r="L16" s="508"/>
      <c r="M16" s="180">
        <f t="shared" ref="M16:M19" si="0">SUM(E16:L16)</f>
        <v>0</v>
      </c>
      <c r="N16" s="1098"/>
      <c r="O16" s="108"/>
      <c r="Q16" s="429"/>
      <c r="R16" s="431"/>
      <c r="S16" s="431"/>
      <c r="T16" s="431"/>
      <c r="U16" s="431"/>
      <c r="V16" s="431"/>
      <c r="W16" s="431"/>
      <c r="X16" s="431"/>
      <c r="Y16" s="431"/>
      <c r="Z16" s="431"/>
      <c r="AA16" s="431"/>
      <c r="AB16" s="431"/>
      <c r="AC16" s="431"/>
      <c r="AD16" s="432"/>
    </row>
    <row r="17" spans="2:30" ht="22.9" customHeight="1">
      <c r="B17" s="119"/>
      <c r="C17" s="162" t="s">
        <v>401</v>
      </c>
      <c r="D17" s="163"/>
      <c r="E17" s="505">
        <f>+'FC-4_ACTIVO'!E26</f>
        <v>26859314.379999999</v>
      </c>
      <c r="F17" s="506">
        <v>1360736.5530965731</v>
      </c>
      <c r="G17" s="507"/>
      <c r="H17" s="507"/>
      <c r="I17" s="507">
        <v>-199112</v>
      </c>
      <c r="J17" s="507"/>
      <c r="K17" s="507"/>
      <c r="L17" s="504">
        <f>277092.3+16964.56</f>
        <v>294056.86</v>
      </c>
      <c r="M17" s="180">
        <f t="shared" si="0"/>
        <v>28314995.793096572</v>
      </c>
      <c r="N17" s="1079" t="s">
        <v>970</v>
      </c>
      <c r="O17" s="108"/>
      <c r="Q17" s="429"/>
      <c r="R17" s="431"/>
      <c r="S17" s="431"/>
      <c r="T17" s="431"/>
      <c r="U17" s="431"/>
      <c r="V17" s="431"/>
      <c r="W17" s="431"/>
      <c r="X17" s="431"/>
      <c r="Y17" s="431"/>
      <c r="Z17" s="431"/>
      <c r="AA17" s="431"/>
      <c r="AB17" s="431"/>
      <c r="AC17" s="431"/>
      <c r="AD17" s="432"/>
    </row>
    <row r="18" spans="2:30" ht="22.9" customHeight="1">
      <c r="B18" s="119"/>
      <c r="C18" s="162" t="s">
        <v>404</v>
      </c>
      <c r="D18" s="163"/>
      <c r="E18" s="505"/>
      <c r="F18" s="506"/>
      <c r="G18" s="507"/>
      <c r="H18" s="507"/>
      <c r="I18" s="507"/>
      <c r="J18" s="507"/>
      <c r="K18" s="507"/>
      <c r="L18" s="508"/>
      <c r="M18" s="180">
        <f t="shared" si="0"/>
        <v>0</v>
      </c>
      <c r="N18" s="1045"/>
      <c r="O18" s="108"/>
      <c r="Q18" s="429"/>
      <c r="R18" s="431"/>
      <c r="S18" s="431"/>
      <c r="T18" s="431"/>
      <c r="U18" s="431"/>
      <c r="V18" s="431"/>
      <c r="W18" s="431"/>
      <c r="X18" s="431"/>
      <c r="Y18" s="431"/>
      <c r="Z18" s="431"/>
      <c r="AA18" s="431"/>
      <c r="AB18" s="431"/>
      <c r="AC18" s="431"/>
      <c r="AD18" s="432"/>
    </row>
    <row r="19" spans="2:30" ht="22.9" customHeight="1">
      <c r="B19" s="119"/>
      <c r="C19" s="164" t="s">
        <v>402</v>
      </c>
      <c r="D19" s="165"/>
      <c r="E19" s="509"/>
      <c r="F19" s="510"/>
      <c r="G19" s="511"/>
      <c r="H19" s="511"/>
      <c r="I19" s="511"/>
      <c r="J19" s="511"/>
      <c r="K19" s="511"/>
      <c r="L19" s="512"/>
      <c r="M19" s="181">
        <f t="shared" si="0"/>
        <v>0</v>
      </c>
      <c r="N19" s="899"/>
      <c r="O19" s="108"/>
      <c r="Q19" s="429"/>
      <c r="R19" s="431"/>
      <c r="S19" s="431"/>
      <c r="T19" s="431"/>
      <c r="U19" s="431"/>
      <c r="V19" s="431"/>
      <c r="W19" s="431"/>
      <c r="X19" s="431"/>
      <c r="Y19" s="431"/>
      <c r="Z19" s="431"/>
      <c r="AA19" s="431"/>
      <c r="AB19" s="431"/>
      <c r="AC19" s="431"/>
      <c r="AD19" s="432"/>
    </row>
    <row r="20" spans="2:30" ht="22.9" customHeight="1" thickBot="1">
      <c r="B20" s="119"/>
      <c r="C20" s="166" t="s">
        <v>405</v>
      </c>
      <c r="D20" s="167"/>
      <c r="E20" s="179">
        <f>SUM(E15:E19)</f>
        <v>171514992.66999999</v>
      </c>
      <c r="F20" s="179">
        <f t="shared" ref="F20:M20" si="1">SUM(F15:F19)</f>
        <v>1704967.1430965732</v>
      </c>
      <c r="G20" s="179">
        <f t="shared" si="1"/>
        <v>0</v>
      </c>
      <c r="H20" s="179">
        <f t="shared" si="1"/>
        <v>1300689.70968845</v>
      </c>
      <c r="I20" s="179">
        <f t="shared" si="1"/>
        <v>-4392774.3599999994</v>
      </c>
      <c r="J20" s="179">
        <f t="shared" si="1"/>
        <v>-57329</v>
      </c>
      <c r="K20" s="179">
        <f t="shared" si="1"/>
        <v>0</v>
      </c>
      <c r="L20" s="179">
        <f t="shared" si="1"/>
        <v>298496.07</v>
      </c>
      <c r="M20" s="179">
        <f t="shared" si="1"/>
        <v>170369042.23278502</v>
      </c>
      <c r="N20" s="168"/>
      <c r="O20" s="108"/>
      <c r="Q20" s="429"/>
      <c r="R20" s="431"/>
      <c r="S20" s="431"/>
      <c r="T20" s="431"/>
      <c r="U20" s="431"/>
      <c r="V20" s="431"/>
      <c r="W20" s="431"/>
      <c r="X20" s="431"/>
      <c r="Y20" s="431"/>
      <c r="Z20" s="431"/>
      <c r="AA20" s="431"/>
      <c r="AB20" s="431"/>
      <c r="AC20" s="431"/>
      <c r="AD20" s="432"/>
    </row>
    <row r="21" spans="2:30" ht="7.9" customHeight="1">
      <c r="B21" s="119"/>
      <c r="C21" s="156"/>
      <c r="D21" s="156"/>
      <c r="E21" s="157"/>
      <c r="F21" s="157"/>
      <c r="G21" s="157"/>
      <c r="H21" s="157"/>
      <c r="I21" s="157"/>
      <c r="J21" s="157"/>
      <c r="K21" s="157"/>
      <c r="L21" s="157"/>
      <c r="M21" s="157"/>
      <c r="N21" s="157"/>
      <c r="O21" s="108"/>
      <c r="Q21" s="429"/>
      <c r="R21" s="431"/>
      <c r="S21" s="431"/>
      <c r="T21" s="431"/>
      <c r="U21" s="431"/>
      <c r="V21" s="431"/>
      <c r="W21" s="431"/>
      <c r="X21" s="431"/>
      <c r="Y21" s="431"/>
      <c r="Z21" s="431"/>
      <c r="AA21" s="431"/>
      <c r="AB21" s="431"/>
      <c r="AC21" s="431"/>
      <c r="AD21" s="432"/>
    </row>
    <row r="22" spans="2:30" ht="22.9" customHeight="1" thickBot="1">
      <c r="B22" s="119"/>
      <c r="C22" s="170" t="s">
        <v>406</v>
      </c>
      <c r="D22" s="171"/>
      <c r="E22" s="582">
        <v>2500596.89</v>
      </c>
      <c r="F22" s="583"/>
      <c r="G22" s="584"/>
      <c r="H22" s="584"/>
      <c r="I22" s="584"/>
      <c r="J22" s="584"/>
      <c r="K22" s="584"/>
      <c r="L22" s="585">
        <v>-37787.280000000203</v>
      </c>
      <c r="M22" s="179">
        <f>SUM(E22:L22)</f>
        <v>2462809.61</v>
      </c>
      <c r="N22" s="1081" t="s">
        <v>971</v>
      </c>
      <c r="O22" s="108"/>
      <c r="Q22" s="429"/>
      <c r="R22" s="431"/>
      <c r="S22" s="431"/>
      <c r="T22" s="431"/>
      <c r="U22" s="431"/>
      <c r="V22" s="431"/>
      <c r="W22" s="431"/>
      <c r="X22" s="431"/>
      <c r="Y22" s="431"/>
      <c r="Z22" s="431"/>
      <c r="AA22" s="431"/>
      <c r="AB22" s="431"/>
      <c r="AC22" s="431"/>
      <c r="AD22" s="432"/>
    </row>
    <row r="23" spans="2:30" ht="22.9" customHeight="1">
      <c r="B23" s="119"/>
      <c r="C23" s="118"/>
      <c r="D23" s="118"/>
      <c r="E23" s="98"/>
      <c r="F23" s="98"/>
      <c r="G23" s="98"/>
      <c r="H23" s="98"/>
      <c r="I23" s="98"/>
      <c r="J23" s="98"/>
      <c r="K23" s="98"/>
      <c r="L23" s="98"/>
      <c r="M23" s="98"/>
      <c r="N23" s="98"/>
      <c r="O23" s="108"/>
      <c r="Q23" s="429"/>
      <c r="R23" s="431"/>
      <c r="S23" s="431"/>
      <c r="T23" s="431"/>
      <c r="U23" s="431"/>
      <c r="V23" s="431"/>
      <c r="W23" s="431"/>
      <c r="X23" s="431"/>
      <c r="Y23" s="431"/>
      <c r="Z23" s="431"/>
      <c r="AA23" s="431"/>
      <c r="AB23" s="431"/>
      <c r="AC23" s="431"/>
      <c r="AD23" s="432"/>
    </row>
    <row r="24" spans="2:30" ht="22.9" customHeight="1">
      <c r="B24" s="119"/>
      <c r="C24" s="1156"/>
      <c r="D24" s="1157"/>
      <c r="E24" s="202" t="s">
        <v>417</v>
      </c>
      <c r="F24" s="1160" t="s">
        <v>407</v>
      </c>
      <c r="G24" s="1161"/>
      <c r="H24" s="1161"/>
      <c r="I24" s="1161"/>
      <c r="J24" s="1161"/>
      <c r="K24" s="1161"/>
      <c r="L24" s="1162"/>
      <c r="M24" s="202" t="s">
        <v>418</v>
      </c>
      <c r="N24" s="1158" t="s">
        <v>419</v>
      </c>
      <c r="O24" s="108"/>
      <c r="Q24" s="429"/>
      <c r="R24" s="431"/>
      <c r="S24" s="431"/>
      <c r="T24" s="431"/>
      <c r="U24" s="431"/>
      <c r="V24" s="431"/>
      <c r="W24" s="431"/>
      <c r="X24" s="431"/>
      <c r="Y24" s="431"/>
      <c r="Z24" s="431"/>
      <c r="AA24" s="431"/>
      <c r="AB24" s="431"/>
      <c r="AC24" s="431"/>
      <c r="AD24" s="432"/>
    </row>
    <row r="25" spans="2:30" ht="49.15" customHeight="1">
      <c r="B25" s="119"/>
      <c r="C25" s="211" t="s">
        <v>415</v>
      </c>
      <c r="D25" s="209">
        <f>ejercicio</f>
        <v>2018</v>
      </c>
      <c r="E25" s="210">
        <f>ejercicio</f>
        <v>2018</v>
      </c>
      <c r="F25" s="206" t="s">
        <v>409</v>
      </c>
      <c r="G25" s="207" t="s">
        <v>408</v>
      </c>
      <c r="H25" s="207" t="s">
        <v>410</v>
      </c>
      <c r="I25" s="207" t="s">
        <v>411</v>
      </c>
      <c r="J25" s="207" t="s">
        <v>412</v>
      </c>
      <c r="K25" s="207" t="s">
        <v>413</v>
      </c>
      <c r="L25" s="208" t="s">
        <v>398</v>
      </c>
      <c r="M25" s="210">
        <f>ejercicio</f>
        <v>2018</v>
      </c>
      <c r="N25" s="1159"/>
      <c r="O25" s="108"/>
      <c r="Q25" s="429"/>
      <c r="R25" s="431"/>
      <c r="S25" s="431"/>
      <c r="T25" s="431"/>
      <c r="U25" s="431"/>
      <c r="V25" s="431"/>
      <c r="W25" s="431"/>
      <c r="X25" s="431"/>
      <c r="Y25" s="431"/>
      <c r="Z25" s="431"/>
      <c r="AA25" s="431"/>
      <c r="AB25" s="431"/>
      <c r="AC25" s="431"/>
      <c r="AD25" s="432"/>
    </row>
    <row r="26" spans="2:30" ht="22.9" customHeight="1">
      <c r="B26" s="119"/>
      <c r="C26" s="160" t="s">
        <v>400</v>
      </c>
      <c r="D26" s="161"/>
      <c r="E26" s="176">
        <f>+M15</f>
        <v>142054046.43968844</v>
      </c>
      <c r="F26" s="502">
        <f>1024854.96-L26</f>
        <v>582399.51</v>
      </c>
      <c r="G26" s="503"/>
      <c r="H26" s="503">
        <v>1095845.1151157611</v>
      </c>
      <c r="I26" s="503">
        <v>-4155883.2606666666</v>
      </c>
      <c r="J26" s="503">
        <v>-20583.349272441039</v>
      </c>
      <c r="K26" s="503"/>
      <c r="L26" s="504">
        <f>-L28</f>
        <v>442455.45</v>
      </c>
      <c r="M26" s="176">
        <f>SUM(E26:L26)</f>
        <v>139998279.90486509</v>
      </c>
      <c r="N26" s="1080" t="s">
        <v>972</v>
      </c>
      <c r="O26" s="108"/>
      <c r="Q26" s="429"/>
      <c r="R26" s="431"/>
      <c r="S26" s="431"/>
      <c r="T26" s="431"/>
      <c r="U26" s="431"/>
      <c r="V26" s="431"/>
      <c r="W26" s="431"/>
      <c r="X26" s="431"/>
      <c r="Y26" s="431"/>
      <c r="Z26" s="431"/>
      <c r="AA26" s="431"/>
      <c r="AB26" s="431"/>
      <c r="AC26" s="431"/>
      <c r="AD26" s="432"/>
    </row>
    <row r="27" spans="2:30" ht="22.9" customHeight="1">
      <c r="B27" s="119"/>
      <c r="C27" s="162" t="s">
        <v>403</v>
      </c>
      <c r="D27" s="163"/>
      <c r="E27" s="180">
        <f>+M16</f>
        <v>0</v>
      </c>
      <c r="F27" s="506"/>
      <c r="G27" s="507"/>
      <c r="H27" s="507"/>
      <c r="I27" s="507"/>
      <c r="J27" s="507"/>
      <c r="K27" s="507"/>
      <c r="L27" s="508"/>
      <c r="M27" s="180">
        <f t="shared" ref="M27:M30" si="2">SUM(E27:L27)</f>
        <v>0</v>
      </c>
      <c r="N27" s="898"/>
      <c r="O27" s="108"/>
      <c r="Q27" s="429"/>
      <c r="R27" s="431"/>
      <c r="S27" s="431"/>
      <c r="T27" s="431"/>
      <c r="U27" s="431"/>
      <c r="V27" s="431"/>
      <c r="W27" s="431"/>
      <c r="X27" s="431"/>
      <c r="Y27" s="431"/>
      <c r="Z27" s="431"/>
      <c r="AA27" s="431"/>
      <c r="AB27" s="431"/>
      <c r="AC27" s="431"/>
      <c r="AD27" s="432"/>
    </row>
    <row r="28" spans="2:30" ht="22.9" customHeight="1">
      <c r="B28" s="119"/>
      <c r="C28" s="162" t="s">
        <v>401</v>
      </c>
      <c r="D28" s="163"/>
      <c r="E28" s="180">
        <f>+M17</f>
        <v>28314995.793096572</v>
      </c>
      <c r="F28" s="510">
        <v>5148642.6644922122</v>
      </c>
      <c r="G28" s="507"/>
      <c r="H28" s="507"/>
      <c r="I28" s="507">
        <v>-199112.36</v>
      </c>
      <c r="J28" s="507"/>
      <c r="K28" s="507"/>
      <c r="L28" s="508">
        <v>-442455.45</v>
      </c>
      <c r="M28" s="180">
        <f t="shared" si="2"/>
        <v>32822070.647588786</v>
      </c>
      <c r="N28" s="1082" t="s">
        <v>973</v>
      </c>
      <c r="O28" s="108"/>
      <c r="Q28" s="429"/>
      <c r="R28" s="431"/>
      <c r="S28" s="431"/>
      <c r="T28" s="431"/>
      <c r="U28" s="431"/>
      <c r="V28" s="431"/>
      <c r="W28" s="431"/>
      <c r="X28" s="431"/>
      <c r="Y28" s="431"/>
      <c r="Z28" s="431"/>
      <c r="AA28" s="431"/>
      <c r="AB28" s="431"/>
      <c r="AC28" s="431"/>
      <c r="AD28" s="432"/>
    </row>
    <row r="29" spans="2:30" ht="22.9" customHeight="1">
      <c r="B29" s="119"/>
      <c r="C29" s="162" t="s">
        <v>404</v>
      </c>
      <c r="D29" s="163"/>
      <c r="E29" s="180">
        <f>+M18</f>
        <v>0</v>
      </c>
      <c r="F29" s="510"/>
      <c r="G29" s="507"/>
      <c r="H29" s="507"/>
      <c r="I29" s="507"/>
      <c r="J29" s="507"/>
      <c r="K29" s="507"/>
      <c r="L29" s="508"/>
      <c r="M29" s="180">
        <f t="shared" si="2"/>
        <v>0</v>
      </c>
      <c r="N29" s="898"/>
      <c r="O29" s="108"/>
      <c r="Q29" s="429"/>
      <c r="R29" s="431"/>
      <c r="S29" s="431"/>
      <c r="T29" s="431"/>
      <c r="U29" s="431"/>
      <c r="V29" s="431"/>
      <c r="W29" s="431"/>
      <c r="X29" s="431"/>
      <c r="Y29" s="431"/>
      <c r="Z29" s="431"/>
      <c r="AA29" s="431"/>
      <c r="AB29" s="431"/>
      <c r="AC29" s="431"/>
      <c r="AD29" s="432"/>
    </row>
    <row r="30" spans="2:30" ht="22.9" customHeight="1">
      <c r="B30" s="119"/>
      <c r="C30" s="164" t="s">
        <v>402</v>
      </c>
      <c r="D30" s="165"/>
      <c r="E30" s="181">
        <f>+M19</f>
        <v>0</v>
      </c>
      <c r="F30" s="510"/>
      <c r="G30" s="511"/>
      <c r="H30" s="511"/>
      <c r="I30" s="511"/>
      <c r="J30" s="511"/>
      <c r="K30" s="511"/>
      <c r="L30" s="512"/>
      <c r="M30" s="181">
        <f t="shared" si="2"/>
        <v>0</v>
      </c>
      <c r="N30" s="899"/>
      <c r="O30" s="108"/>
      <c r="Q30" s="439"/>
      <c r="R30" s="440"/>
      <c r="S30" s="440"/>
      <c r="T30" s="440"/>
      <c r="U30" s="440"/>
      <c r="V30" s="440"/>
      <c r="W30" s="440"/>
      <c r="X30" s="440"/>
      <c r="Y30" s="440"/>
      <c r="Z30" s="440"/>
      <c r="AA30" s="440"/>
      <c r="AB30" s="440"/>
      <c r="AC30" s="440"/>
      <c r="AD30" s="441"/>
    </row>
    <row r="31" spans="2:30" ht="22.9" customHeight="1" thickBot="1">
      <c r="B31" s="119"/>
      <c r="C31" s="166" t="s">
        <v>405</v>
      </c>
      <c r="D31" s="167"/>
      <c r="E31" s="179">
        <f>SUM(E26:E30)</f>
        <v>170369042.23278502</v>
      </c>
      <c r="F31" s="179">
        <f t="shared" ref="F31" si="3">SUM(F26:F30)</f>
        <v>5731042.174492212</v>
      </c>
      <c r="G31" s="179">
        <f t="shared" ref="G31" si="4">SUM(G26:G30)</f>
        <v>0</v>
      </c>
      <c r="H31" s="179">
        <f t="shared" ref="H31" si="5">SUM(H26:H30)</f>
        <v>1095845.1151157611</v>
      </c>
      <c r="I31" s="179">
        <f t="shared" ref="I31" si="6">SUM(I26:I30)</f>
        <v>-4354995.6206666669</v>
      </c>
      <c r="J31" s="179">
        <f t="shared" ref="J31" si="7">SUM(J26:J30)</f>
        <v>-20583.349272441039</v>
      </c>
      <c r="K31" s="179">
        <f t="shared" ref="K31" si="8">SUM(K26:K30)</f>
        <v>0</v>
      </c>
      <c r="L31" s="179">
        <f t="shared" ref="L31" si="9">SUM(L26:L30)</f>
        <v>0</v>
      </c>
      <c r="M31" s="179">
        <f>SUM(M26:M30)</f>
        <v>172820350.55245388</v>
      </c>
      <c r="N31" s="168"/>
      <c r="O31" s="108"/>
      <c r="Q31" s="439"/>
      <c r="R31" s="440"/>
      <c r="S31" s="440"/>
      <c r="T31" s="440"/>
      <c r="U31" s="440"/>
      <c r="V31" s="440"/>
      <c r="W31" s="440"/>
      <c r="X31" s="440"/>
      <c r="Y31" s="440"/>
      <c r="Z31" s="440"/>
      <c r="AA31" s="440"/>
      <c r="AB31" s="440"/>
      <c r="AC31" s="440"/>
      <c r="AD31" s="441"/>
    </row>
    <row r="32" spans="2:30" ht="9" customHeight="1">
      <c r="B32" s="119"/>
      <c r="C32" s="156"/>
      <c r="D32" s="156"/>
      <c r="E32" s="157"/>
      <c r="F32" s="157"/>
      <c r="G32" s="157"/>
      <c r="H32" s="157"/>
      <c r="I32" s="157"/>
      <c r="J32" s="157"/>
      <c r="K32" s="157"/>
      <c r="L32" s="157"/>
      <c r="M32" s="157"/>
      <c r="N32" s="157"/>
      <c r="O32" s="108"/>
      <c r="Q32" s="429"/>
      <c r="R32" s="431"/>
      <c r="S32" s="431"/>
      <c r="T32" s="431"/>
      <c r="U32" s="431"/>
      <c r="V32" s="431"/>
      <c r="W32" s="431"/>
      <c r="X32" s="431"/>
      <c r="Y32" s="431"/>
      <c r="Z32" s="431"/>
      <c r="AA32" s="431"/>
      <c r="AB32" s="431"/>
      <c r="AC32" s="431"/>
      <c r="AD32" s="432"/>
    </row>
    <row r="33" spans="2:30" ht="22.9" customHeight="1" thickBot="1">
      <c r="B33" s="119"/>
      <c r="C33" s="170" t="s">
        <v>406</v>
      </c>
      <c r="D33" s="171"/>
      <c r="E33" s="179">
        <f>+M22</f>
        <v>2462809.61</v>
      </c>
      <c r="F33" s="583"/>
      <c r="G33" s="584"/>
      <c r="H33" s="584"/>
      <c r="I33" s="584"/>
      <c r="J33" s="584"/>
      <c r="K33" s="584"/>
      <c r="L33" s="585"/>
      <c r="M33" s="179">
        <f>SUM(E33:L33)</f>
        <v>2462809.61</v>
      </c>
      <c r="N33" s="932"/>
      <c r="O33" s="108"/>
      <c r="Q33" s="429"/>
      <c r="R33" s="431"/>
      <c r="S33" s="431"/>
      <c r="T33" s="431"/>
      <c r="U33" s="431"/>
      <c r="V33" s="431"/>
      <c r="W33" s="431"/>
      <c r="X33" s="431"/>
      <c r="Y33" s="431"/>
      <c r="Z33" s="431"/>
      <c r="AA33" s="431"/>
      <c r="AB33" s="431"/>
      <c r="AC33" s="431"/>
      <c r="AD33" s="432"/>
    </row>
    <row r="34" spans="2:30" ht="22.9" customHeight="1">
      <c r="B34" s="119"/>
      <c r="C34" s="118"/>
      <c r="D34" s="118"/>
      <c r="E34" s="98"/>
      <c r="F34" s="98"/>
      <c r="G34" s="98"/>
      <c r="H34" s="98"/>
      <c r="I34" s="98"/>
      <c r="J34" s="98"/>
      <c r="K34" s="98"/>
      <c r="L34" s="98"/>
      <c r="M34" s="98"/>
      <c r="N34" s="98"/>
      <c r="O34" s="108"/>
      <c r="Q34" s="429"/>
      <c r="R34" s="431"/>
      <c r="S34" s="431"/>
      <c r="T34" s="431"/>
      <c r="U34" s="431"/>
      <c r="V34" s="431"/>
      <c r="W34" s="431"/>
      <c r="X34" s="431"/>
      <c r="Y34" s="431"/>
      <c r="Z34" s="431"/>
      <c r="AA34" s="431"/>
      <c r="AB34" s="431"/>
      <c r="AC34" s="431"/>
      <c r="AD34" s="432"/>
    </row>
    <row r="35" spans="2:30" ht="22.9" customHeight="1">
      <c r="B35" s="119"/>
      <c r="C35" s="175" t="s">
        <v>416</v>
      </c>
      <c r="D35" s="173"/>
      <c r="E35" s="174"/>
      <c r="F35" s="174"/>
      <c r="G35" s="174"/>
      <c r="H35" s="174"/>
      <c r="I35" s="174"/>
      <c r="J35" s="174"/>
      <c r="K35" s="174"/>
      <c r="L35" s="174"/>
      <c r="M35" s="174"/>
      <c r="N35" s="98"/>
      <c r="O35" s="108"/>
      <c r="Q35" s="429"/>
      <c r="R35" s="431"/>
      <c r="S35" s="431"/>
      <c r="T35" s="431"/>
      <c r="U35" s="431"/>
      <c r="V35" s="431"/>
      <c r="W35" s="431"/>
      <c r="X35" s="431"/>
      <c r="Y35" s="431"/>
      <c r="Z35" s="431"/>
      <c r="AA35" s="431"/>
      <c r="AB35" s="431"/>
      <c r="AC35" s="431"/>
      <c r="AD35" s="432"/>
    </row>
    <row r="36" spans="2:30" ht="18">
      <c r="B36" s="119"/>
      <c r="C36" s="173" t="s">
        <v>814</v>
      </c>
      <c r="D36" s="173"/>
      <c r="E36" s="174"/>
      <c r="F36" s="174"/>
      <c r="G36" s="174"/>
      <c r="H36" s="174"/>
      <c r="I36" s="174"/>
      <c r="J36" s="174"/>
      <c r="K36" s="174"/>
      <c r="L36" s="174"/>
      <c r="M36" s="174"/>
      <c r="N36" s="98"/>
      <c r="O36" s="108"/>
      <c r="Q36" s="442"/>
      <c r="R36" s="443"/>
      <c r="S36" s="443"/>
      <c r="T36" s="443"/>
      <c r="U36" s="443"/>
      <c r="V36" s="443"/>
      <c r="W36" s="443"/>
      <c r="X36" s="443"/>
      <c r="Y36" s="443"/>
      <c r="Z36" s="443"/>
      <c r="AA36" s="443"/>
      <c r="AB36" s="443"/>
      <c r="AC36" s="443"/>
      <c r="AD36" s="444"/>
    </row>
    <row r="37" spans="2:30" ht="18">
      <c r="B37" s="119"/>
      <c r="C37" s="173" t="s">
        <v>815</v>
      </c>
      <c r="D37" s="173"/>
      <c r="E37" s="174"/>
      <c r="F37" s="174"/>
      <c r="G37" s="174"/>
      <c r="H37" s="174"/>
      <c r="I37" s="174"/>
      <c r="J37" s="174"/>
      <c r="K37" s="174"/>
      <c r="L37" s="174"/>
      <c r="M37" s="174"/>
      <c r="N37" s="98"/>
      <c r="O37" s="108"/>
      <c r="Q37" s="442"/>
      <c r="R37" s="443"/>
      <c r="S37" s="443"/>
      <c r="T37" s="443"/>
      <c r="U37" s="443"/>
      <c r="V37" s="443"/>
      <c r="W37" s="443"/>
      <c r="X37" s="443"/>
      <c r="Y37" s="443"/>
      <c r="Z37" s="443"/>
      <c r="AA37" s="443"/>
      <c r="AB37" s="443"/>
      <c r="AC37" s="443"/>
      <c r="AD37" s="444"/>
    </row>
    <row r="38" spans="2:30" ht="18">
      <c r="B38" s="119"/>
      <c r="C38" s="173" t="s">
        <v>816</v>
      </c>
      <c r="D38" s="173"/>
      <c r="E38" s="174"/>
      <c r="F38" s="174"/>
      <c r="G38" s="174"/>
      <c r="H38" s="174"/>
      <c r="I38" s="174"/>
      <c r="J38" s="174"/>
      <c r="K38" s="174"/>
      <c r="L38" s="174"/>
      <c r="M38" s="174"/>
      <c r="N38" s="98"/>
      <c r="O38" s="108"/>
      <c r="Q38" s="442"/>
      <c r="R38" s="443"/>
      <c r="S38" s="443"/>
      <c r="T38" s="443"/>
      <c r="U38" s="443"/>
      <c r="V38" s="443"/>
      <c r="W38" s="443"/>
      <c r="X38" s="443"/>
      <c r="Y38" s="443"/>
      <c r="Z38" s="443"/>
      <c r="AA38" s="443"/>
      <c r="AB38" s="443"/>
      <c r="AC38" s="443"/>
      <c r="AD38" s="444"/>
    </row>
    <row r="39" spans="2:30" ht="18">
      <c r="B39" s="119"/>
      <c r="C39" s="173" t="s">
        <v>817</v>
      </c>
      <c r="D39" s="173"/>
      <c r="E39" s="174"/>
      <c r="F39" s="174"/>
      <c r="G39" s="174"/>
      <c r="H39" s="174"/>
      <c r="I39" s="174"/>
      <c r="J39" s="174"/>
      <c r="K39" s="174"/>
      <c r="L39" s="174"/>
      <c r="M39" s="174"/>
      <c r="N39" s="98"/>
      <c r="O39" s="108"/>
      <c r="Q39" s="442"/>
      <c r="R39" s="443"/>
      <c r="S39" s="443"/>
      <c r="T39" s="443"/>
      <c r="U39" s="443"/>
      <c r="V39" s="443"/>
      <c r="W39" s="443"/>
      <c r="X39" s="443"/>
      <c r="Y39" s="443"/>
      <c r="Z39" s="443"/>
      <c r="AA39" s="443"/>
      <c r="AB39" s="443"/>
      <c r="AC39" s="443"/>
      <c r="AD39" s="444"/>
    </row>
    <row r="40" spans="2:30" ht="18">
      <c r="B40" s="119"/>
      <c r="C40" s="173" t="s">
        <v>823</v>
      </c>
      <c r="D40" s="173"/>
      <c r="E40" s="174"/>
      <c r="F40" s="174"/>
      <c r="G40" s="174"/>
      <c r="H40" s="174"/>
      <c r="I40" s="174"/>
      <c r="J40" s="174"/>
      <c r="K40" s="174"/>
      <c r="L40" s="174"/>
      <c r="M40" s="174"/>
      <c r="N40" s="98"/>
      <c r="O40" s="108"/>
      <c r="Q40" s="442"/>
      <c r="R40" s="443"/>
      <c r="S40" s="443"/>
      <c r="T40" s="443"/>
      <c r="U40" s="443"/>
      <c r="V40" s="443"/>
      <c r="W40" s="443"/>
      <c r="X40" s="443"/>
      <c r="Y40" s="443"/>
      <c r="Z40" s="443"/>
      <c r="AA40" s="443"/>
      <c r="AB40" s="443"/>
      <c r="AC40" s="443"/>
      <c r="AD40" s="444"/>
    </row>
    <row r="41" spans="2:30" ht="18">
      <c r="B41" s="119"/>
      <c r="C41" s="173" t="s">
        <v>818</v>
      </c>
      <c r="D41" s="173"/>
      <c r="E41" s="174"/>
      <c r="F41" s="174"/>
      <c r="G41" s="174"/>
      <c r="H41" s="174"/>
      <c r="I41" s="174"/>
      <c r="J41" s="174"/>
      <c r="K41" s="174"/>
      <c r="L41" s="174"/>
      <c r="M41" s="174"/>
      <c r="N41" s="98"/>
      <c r="O41" s="108"/>
      <c r="Q41" s="442"/>
      <c r="R41" s="443"/>
      <c r="S41" s="443"/>
      <c r="T41" s="443"/>
      <c r="U41" s="443"/>
      <c r="V41" s="443"/>
      <c r="W41" s="443"/>
      <c r="X41" s="443"/>
      <c r="Y41" s="443"/>
      <c r="Z41" s="443"/>
      <c r="AA41" s="443"/>
      <c r="AB41" s="443"/>
      <c r="AC41" s="443"/>
      <c r="AD41" s="444"/>
    </row>
    <row r="42" spans="2:30" ht="18">
      <c r="B42" s="119"/>
      <c r="C42" s="173" t="s">
        <v>819</v>
      </c>
      <c r="D42" s="173"/>
      <c r="E42" s="174"/>
      <c r="F42" s="174"/>
      <c r="G42" s="174"/>
      <c r="H42" s="174"/>
      <c r="I42" s="174"/>
      <c r="J42" s="174"/>
      <c r="K42" s="174"/>
      <c r="L42" s="174"/>
      <c r="M42" s="174"/>
      <c r="N42" s="98"/>
      <c r="O42" s="108"/>
      <c r="Q42" s="442"/>
      <c r="R42" s="443"/>
      <c r="S42" s="443"/>
      <c r="T42" s="443"/>
      <c r="U42" s="443"/>
      <c r="V42" s="443"/>
      <c r="W42" s="443"/>
      <c r="X42" s="443"/>
      <c r="Y42" s="443"/>
      <c r="Z42" s="443"/>
      <c r="AA42" s="443"/>
      <c r="AB42" s="443"/>
      <c r="AC42" s="443"/>
      <c r="AD42" s="444"/>
    </row>
    <row r="43" spans="2:30" ht="18">
      <c r="B43" s="119"/>
      <c r="C43" s="173" t="s">
        <v>820</v>
      </c>
      <c r="D43" s="173"/>
      <c r="E43" s="174"/>
      <c r="F43" s="174"/>
      <c r="G43" s="174"/>
      <c r="H43" s="174"/>
      <c r="I43" s="174"/>
      <c r="J43" s="174"/>
      <c r="K43" s="174"/>
      <c r="L43" s="174"/>
      <c r="M43" s="174"/>
      <c r="N43" s="98"/>
      <c r="O43" s="108"/>
      <c r="Q43" s="442"/>
      <c r="R43" s="443"/>
      <c r="S43" s="443"/>
      <c r="T43" s="443"/>
      <c r="U43" s="443"/>
      <c r="V43" s="443"/>
      <c r="W43" s="443"/>
      <c r="X43" s="443"/>
      <c r="Y43" s="443"/>
      <c r="Z43" s="443"/>
      <c r="AA43" s="443"/>
      <c r="AB43" s="443"/>
      <c r="AC43" s="443"/>
      <c r="AD43" s="444"/>
    </row>
    <row r="44" spans="2:30" ht="18">
      <c r="B44" s="119"/>
      <c r="C44" s="173" t="s">
        <v>821</v>
      </c>
      <c r="D44" s="173"/>
      <c r="E44" s="174"/>
      <c r="F44" s="174"/>
      <c r="G44" s="174"/>
      <c r="H44" s="174"/>
      <c r="I44" s="174"/>
      <c r="J44" s="174"/>
      <c r="K44" s="174"/>
      <c r="L44" s="174"/>
      <c r="M44" s="174"/>
      <c r="N44" s="98"/>
      <c r="O44" s="108"/>
      <c r="Q44" s="442"/>
      <c r="R44" s="443"/>
      <c r="S44" s="443"/>
      <c r="T44" s="443"/>
      <c r="U44" s="443"/>
      <c r="V44" s="443"/>
      <c r="W44" s="443"/>
      <c r="X44" s="443"/>
      <c r="Y44" s="443"/>
      <c r="Z44" s="443"/>
      <c r="AA44" s="443"/>
      <c r="AB44" s="443"/>
      <c r="AC44" s="443"/>
      <c r="AD44" s="444"/>
    </row>
    <row r="45" spans="2:30" ht="18">
      <c r="B45" s="119"/>
      <c r="C45" s="173" t="s">
        <v>822</v>
      </c>
      <c r="D45" s="173"/>
      <c r="E45" s="174"/>
      <c r="F45" s="174"/>
      <c r="G45" s="174"/>
      <c r="H45" s="174"/>
      <c r="I45" s="174"/>
      <c r="J45" s="174"/>
      <c r="K45" s="174"/>
      <c r="L45" s="174"/>
      <c r="M45" s="174"/>
      <c r="N45" s="98"/>
      <c r="O45" s="108"/>
      <c r="Q45" s="442"/>
      <c r="R45" s="443"/>
      <c r="S45" s="443"/>
      <c r="T45" s="443"/>
      <c r="U45" s="443"/>
      <c r="V45" s="443"/>
      <c r="W45" s="443"/>
      <c r="X45" s="443"/>
      <c r="Y45" s="443"/>
      <c r="Z45" s="443"/>
      <c r="AA45" s="443"/>
      <c r="AB45" s="443"/>
      <c r="AC45" s="443"/>
      <c r="AD45" s="444"/>
    </row>
    <row r="46" spans="2:30" ht="22.9" customHeight="1" thickBot="1">
      <c r="B46" s="123"/>
      <c r="C46" s="1128"/>
      <c r="D46" s="1128"/>
      <c r="E46" s="1128"/>
      <c r="F46" s="1128"/>
      <c r="G46" s="57"/>
      <c r="H46" s="57"/>
      <c r="I46" s="57"/>
      <c r="J46" s="57"/>
      <c r="K46" s="57"/>
      <c r="L46" s="57"/>
      <c r="M46" s="57"/>
      <c r="N46" s="124"/>
      <c r="O46" s="125"/>
      <c r="Q46" s="445"/>
      <c r="R46" s="446"/>
      <c r="S46" s="446"/>
      <c r="T46" s="446"/>
      <c r="U46" s="446"/>
      <c r="V46" s="446"/>
      <c r="W46" s="446"/>
      <c r="X46" s="446"/>
      <c r="Y46" s="446"/>
      <c r="Z46" s="446"/>
      <c r="AA46" s="446"/>
      <c r="AB46" s="446"/>
      <c r="AC46" s="446"/>
      <c r="AD46" s="447"/>
    </row>
    <row r="47" spans="2:30" ht="22.9" customHeight="1">
      <c r="C47" s="106"/>
      <c r="D47" s="106"/>
      <c r="E47" s="107"/>
      <c r="F47" s="107"/>
      <c r="G47" s="107"/>
      <c r="H47" s="107"/>
      <c r="I47" s="107"/>
      <c r="J47" s="107"/>
      <c r="K47" s="107"/>
      <c r="L47" s="107"/>
      <c r="M47" s="107"/>
      <c r="N47" s="107"/>
    </row>
    <row r="48" spans="2:30" ht="12.75">
      <c r="C48" s="126" t="s">
        <v>77</v>
      </c>
      <c r="D48" s="106"/>
      <c r="E48" s="107"/>
      <c r="F48" s="107"/>
      <c r="G48" s="107"/>
      <c r="H48" s="107"/>
      <c r="I48" s="107"/>
      <c r="J48" s="107"/>
      <c r="K48" s="107"/>
      <c r="L48" s="107"/>
      <c r="M48" s="107"/>
      <c r="N48" s="97" t="s">
        <v>50</v>
      </c>
    </row>
    <row r="49" spans="3:14" ht="12.75">
      <c r="C49" s="127" t="s">
        <v>78</v>
      </c>
      <c r="D49" s="106"/>
      <c r="E49" s="107"/>
      <c r="F49" s="107"/>
      <c r="G49" s="107"/>
      <c r="H49" s="107"/>
      <c r="I49" s="107"/>
      <c r="J49" s="107"/>
      <c r="K49" s="107"/>
      <c r="L49" s="107"/>
      <c r="M49" s="107"/>
      <c r="N49" s="107"/>
    </row>
    <row r="50" spans="3:14" ht="12.75">
      <c r="C50" s="127" t="s">
        <v>79</v>
      </c>
      <c r="D50" s="106"/>
      <c r="E50" s="107"/>
      <c r="F50" s="107"/>
      <c r="G50" s="107"/>
      <c r="H50" s="107"/>
      <c r="I50" s="107"/>
      <c r="J50" s="107"/>
      <c r="K50" s="107"/>
      <c r="L50" s="107"/>
      <c r="M50" s="107"/>
      <c r="N50" s="107"/>
    </row>
    <row r="51" spans="3:14" ht="12.75">
      <c r="C51" s="127" t="s">
        <v>80</v>
      </c>
      <c r="D51" s="106"/>
      <c r="E51" s="107"/>
      <c r="F51" s="107"/>
      <c r="G51" s="107"/>
      <c r="H51" s="107"/>
      <c r="I51" s="107"/>
      <c r="J51" s="107"/>
      <c r="K51" s="107"/>
      <c r="L51" s="107"/>
      <c r="M51" s="107"/>
      <c r="N51" s="107"/>
    </row>
    <row r="52" spans="3:14" ht="12.75">
      <c r="C52" s="127" t="s">
        <v>81</v>
      </c>
      <c r="D52" s="106"/>
      <c r="E52" s="107"/>
      <c r="F52" s="107"/>
      <c r="G52" s="107"/>
      <c r="H52" s="107"/>
      <c r="I52" s="107"/>
      <c r="J52" s="107"/>
      <c r="K52" s="107"/>
      <c r="L52" s="107"/>
      <c r="M52" s="107"/>
      <c r="N52" s="107"/>
    </row>
    <row r="53" spans="3:14" ht="22.9" customHeight="1">
      <c r="C53" s="106"/>
      <c r="D53" s="106"/>
      <c r="E53" s="107"/>
      <c r="F53" s="107"/>
      <c r="G53" s="107"/>
      <c r="H53" s="107"/>
      <c r="I53" s="107"/>
      <c r="J53" s="107"/>
      <c r="K53" s="107"/>
      <c r="L53" s="107"/>
      <c r="M53" s="107"/>
      <c r="N53" s="107"/>
    </row>
    <row r="54" spans="3:14" ht="22.9" customHeight="1">
      <c r="C54" s="106"/>
      <c r="D54" s="106"/>
      <c r="E54" s="107"/>
      <c r="F54" s="107"/>
      <c r="G54" s="107"/>
      <c r="H54" s="107"/>
      <c r="I54" s="107"/>
      <c r="J54" s="107"/>
      <c r="K54" s="107"/>
      <c r="L54" s="107"/>
      <c r="M54" s="107"/>
      <c r="N54" s="107"/>
    </row>
    <row r="55" spans="3:14" ht="22.9" customHeight="1">
      <c r="C55" s="106"/>
      <c r="D55" s="106"/>
      <c r="E55" s="107"/>
      <c r="F55" s="107"/>
      <c r="G55" s="107"/>
      <c r="H55" s="107"/>
      <c r="I55" s="107"/>
      <c r="J55" s="107"/>
      <c r="K55" s="107"/>
      <c r="L55" s="107"/>
      <c r="M55" s="107"/>
      <c r="N55" s="107"/>
    </row>
    <row r="56" spans="3:14" ht="22.9" customHeight="1">
      <c r="C56" s="106"/>
      <c r="D56" s="106"/>
      <c r="E56" s="107"/>
      <c r="F56" s="107"/>
      <c r="G56" s="107"/>
      <c r="H56" s="107"/>
      <c r="I56" s="107"/>
      <c r="J56" s="107"/>
      <c r="K56" s="107"/>
      <c r="L56" s="107"/>
      <c r="M56" s="107"/>
      <c r="N56" s="107"/>
    </row>
    <row r="57" spans="3:14" ht="22.9" customHeight="1">
      <c r="F57" s="107"/>
      <c r="G57" s="107"/>
      <c r="H57" s="107"/>
      <c r="I57" s="107"/>
      <c r="J57" s="107"/>
      <c r="K57" s="107"/>
      <c r="L57" s="107"/>
      <c r="M57" s="107"/>
      <c r="N57" s="107"/>
    </row>
  </sheetData>
  <sheetProtection password="E059" sheet="1" objects="1" scenarios="1"/>
  <mergeCells count="9">
    <mergeCell ref="N6:N7"/>
    <mergeCell ref="D9:N9"/>
    <mergeCell ref="C46:F46"/>
    <mergeCell ref="C13:D13"/>
    <mergeCell ref="N13:N14"/>
    <mergeCell ref="F13:L13"/>
    <mergeCell ref="C24:D24"/>
    <mergeCell ref="F24:L24"/>
    <mergeCell ref="N24:N25"/>
  </mergeCells>
  <phoneticPr fontId="22" type="noConversion"/>
  <printOptions horizontalCentered="1" verticalCentered="1"/>
  <pageMargins left="0.35629921259842523" right="0.35629921259842523" top="0.60629921259842523" bottom="0.60629921259842523" header="0.5" footer="0.5"/>
  <pageSetup paperSize="9" scale="37" orientation="portrait" horizontalDpi="4294967292" verticalDpi="4294967292" r:id="rId1"/>
  <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AC82"/>
  <sheetViews>
    <sheetView zoomScale="70" zoomScaleNormal="70" zoomScalePageLayoutView="70" workbookViewId="0">
      <selection activeCell="E82" sqref="E82"/>
    </sheetView>
  </sheetViews>
  <sheetFormatPr baseColWidth="10" defaultColWidth="10.77734375" defaultRowHeight="22.9" customHeight="1"/>
  <cols>
    <col min="1" max="2" width="3.21875" style="99" customWidth="1"/>
    <col min="3" max="3" width="13.5546875" style="99" customWidth="1"/>
    <col min="4" max="4" width="23.21875" style="99" customWidth="1"/>
    <col min="5" max="5" width="29.109375" style="100" customWidth="1"/>
    <col min="6" max="12" width="13.44140625" style="100" customWidth="1"/>
    <col min="13" max="13" width="33.77734375" style="100" customWidth="1"/>
    <col min="14" max="14" width="3.21875" style="99" customWidth="1"/>
    <col min="15" max="16384" width="10.77734375" style="99"/>
  </cols>
  <sheetData>
    <row r="2" spans="2:29" ht="22.9" customHeight="1">
      <c r="D2" s="65" t="s">
        <v>379</v>
      </c>
    </row>
    <row r="3" spans="2:29" ht="22.9" customHeight="1">
      <c r="D3" s="65" t="s">
        <v>380</v>
      </c>
    </row>
    <row r="4" spans="2:29" ht="22.9" customHeight="1" thickBot="1"/>
    <row r="5" spans="2:29" ht="9" customHeight="1">
      <c r="B5" s="101"/>
      <c r="C5" s="102"/>
      <c r="D5" s="102"/>
      <c r="E5" s="103"/>
      <c r="F5" s="103"/>
      <c r="G5" s="103"/>
      <c r="H5" s="103"/>
      <c r="I5" s="103"/>
      <c r="J5" s="103"/>
      <c r="K5" s="103"/>
      <c r="L5" s="103"/>
      <c r="M5" s="103"/>
      <c r="N5" s="104"/>
      <c r="P5" s="426"/>
      <c r="Q5" s="427"/>
      <c r="R5" s="427"/>
      <c r="S5" s="427"/>
      <c r="T5" s="427"/>
      <c r="U5" s="427"/>
      <c r="V5" s="427"/>
      <c r="W5" s="427"/>
      <c r="X5" s="427"/>
      <c r="Y5" s="427"/>
      <c r="Z5" s="427"/>
      <c r="AA5" s="427"/>
      <c r="AB5" s="427"/>
      <c r="AC5" s="428"/>
    </row>
    <row r="6" spans="2:29" ht="30" customHeight="1">
      <c r="B6" s="105"/>
      <c r="C6" s="69" t="s">
        <v>0</v>
      </c>
      <c r="D6" s="106"/>
      <c r="E6" s="107"/>
      <c r="F6" s="107"/>
      <c r="G6" s="107"/>
      <c r="H6" s="107"/>
      <c r="I6" s="107"/>
      <c r="J6" s="107"/>
      <c r="K6" s="107"/>
      <c r="L6" s="107"/>
      <c r="M6" s="1105">
        <f>ejercicio</f>
        <v>2018</v>
      </c>
      <c r="N6" s="108"/>
      <c r="P6" s="429"/>
      <c r="Q6" s="430" t="s">
        <v>707</v>
      </c>
      <c r="R6" s="431"/>
      <c r="S6" s="431"/>
      <c r="T6" s="431"/>
      <c r="U6" s="431"/>
      <c r="V6" s="431"/>
      <c r="W6" s="431"/>
      <c r="X6" s="431"/>
      <c r="Y6" s="431"/>
      <c r="Z6" s="431"/>
      <c r="AA6" s="431"/>
      <c r="AB6" s="431"/>
      <c r="AC6" s="432"/>
    </row>
    <row r="7" spans="2:29" ht="30" customHeight="1">
      <c r="B7" s="105"/>
      <c r="C7" s="69" t="s">
        <v>1</v>
      </c>
      <c r="D7" s="106"/>
      <c r="E7" s="107"/>
      <c r="F7" s="107"/>
      <c r="G7" s="107"/>
      <c r="H7" s="107"/>
      <c r="I7" s="107"/>
      <c r="J7" s="107"/>
      <c r="K7" s="107"/>
      <c r="L7" s="107"/>
      <c r="M7" s="1105"/>
      <c r="N7" s="108"/>
      <c r="P7" s="429"/>
      <c r="Q7" s="431"/>
      <c r="R7" s="431"/>
      <c r="S7" s="431"/>
      <c r="T7" s="431"/>
      <c r="U7" s="431"/>
      <c r="V7" s="431"/>
      <c r="W7" s="431"/>
      <c r="X7" s="431"/>
      <c r="Y7" s="431"/>
      <c r="Z7" s="431"/>
      <c r="AA7" s="431"/>
      <c r="AB7" s="431"/>
      <c r="AC7" s="432"/>
    </row>
    <row r="8" spans="2:29" ht="30" customHeight="1">
      <c r="B8" s="105"/>
      <c r="C8" s="109"/>
      <c r="D8" s="106"/>
      <c r="E8" s="107"/>
      <c r="F8" s="107"/>
      <c r="G8" s="107"/>
      <c r="H8" s="107"/>
      <c r="I8" s="107"/>
      <c r="J8" s="107"/>
      <c r="K8" s="107"/>
      <c r="L8" s="107"/>
      <c r="M8" s="110"/>
      <c r="N8" s="108"/>
      <c r="P8" s="429"/>
      <c r="Q8" s="431"/>
      <c r="R8" s="431"/>
      <c r="S8" s="431"/>
      <c r="T8" s="431"/>
      <c r="U8" s="431"/>
      <c r="V8" s="431"/>
      <c r="W8" s="431"/>
      <c r="X8" s="431"/>
      <c r="Y8" s="431"/>
      <c r="Z8" s="431"/>
      <c r="AA8" s="431"/>
      <c r="AB8" s="431"/>
      <c r="AC8" s="432"/>
    </row>
    <row r="9" spans="2:29" s="67" customFormat="1" ht="30" customHeight="1">
      <c r="B9" s="111"/>
      <c r="C9" s="56" t="s">
        <v>2</v>
      </c>
      <c r="D9" s="1129" t="str">
        <f>Entidad</f>
        <v>METROPOLITANO DE TENERIFE, S.A.</v>
      </c>
      <c r="E9" s="1129"/>
      <c r="F9" s="1129"/>
      <c r="G9" s="1129"/>
      <c r="H9" s="1129"/>
      <c r="I9" s="1129"/>
      <c r="J9" s="1129"/>
      <c r="K9" s="1129"/>
      <c r="L9" s="1129"/>
      <c r="M9" s="1129"/>
      <c r="N9" s="112"/>
      <c r="P9" s="433"/>
      <c r="Q9" s="434"/>
      <c r="R9" s="434"/>
      <c r="S9" s="434"/>
      <c r="T9" s="434"/>
      <c r="U9" s="434"/>
      <c r="V9" s="434"/>
      <c r="W9" s="434"/>
      <c r="X9" s="434"/>
      <c r="Y9" s="434"/>
      <c r="Z9" s="434"/>
      <c r="AA9" s="434"/>
      <c r="AB9" s="434"/>
      <c r="AC9" s="435"/>
    </row>
    <row r="10" spans="2:29" ht="7.15" customHeight="1">
      <c r="B10" s="105"/>
      <c r="C10" s="106"/>
      <c r="D10" s="106"/>
      <c r="E10" s="107"/>
      <c r="F10" s="107"/>
      <c r="G10" s="107"/>
      <c r="H10" s="107"/>
      <c r="I10" s="107"/>
      <c r="J10" s="107"/>
      <c r="K10" s="107"/>
      <c r="L10" s="107"/>
      <c r="M10" s="107"/>
      <c r="N10" s="108"/>
      <c r="P10" s="429"/>
      <c r="Q10" s="431"/>
      <c r="R10" s="431"/>
      <c r="S10" s="431"/>
      <c r="T10" s="431"/>
      <c r="U10" s="431"/>
      <c r="V10" s="431"/>
      <c r="W10" s="431"/>
      <c r="X10" s="431"/>
      <c r="Y10" s="431"/>
      <c r="Z10" s="431"/>
      <c r="AA10" s="431"/>
      <c r="AB10" s="431"/>
      <c r="AC10" s="432"/>
    </row>
    <row r="11" spans="2:29" s="117" customFormat="1" ht="30" customHeight="1">
      <c r="B11" s="113"/>
      <c r="C11" s="114" t="s">
        <v>421</v>
      </c>
      <c r="D11" s="114"/>
      <c r="E11" s="115"/>
      <c r="F11" s="115"/>
      <c r="G11" s="115"/>
      <c r="H11" s="115"/>
      <c r="I11" s="115"/>
      <c r="J11" s="115"/>
      <c r="K11" s="115"/>
      <c r="L11" s="115"/>
      <c r="M11" s="115"/>
      <c r="N11" s="116"/>
      <c r="P11" s="436"/>
      <c r="Q11" s="437"/>
      <c r="R11" s="437"/>
      <c r="S11" s="437"/>
      <c r="T11" s="437"/>
      <c r="U11" s="437"/>
      <c r="V11" s="437"/>
      <c r="W11" s="437"/>
      <c r="X11" s="437"/>
      <c r="Y11" s="437"/>
      <c r="Z11" s="437"/>
      <c r="AA11" s="437"/>
      <c r="AB11" s="437"/>
      <c r="AC11" s="438"/>
    </row>
    <row r="12" spans="2:29" s="117" customFormat="1" ht="30" customHeight="1">
      <c r="B12" s="113"/>
      <c r="C12" s="1170"/>
      <c r="D12" s="1170"/>
      <c r="E12" s="98"/>
      <c r="F12" s="98"/>
      <c r="G12" s="98"/>
      <c r="H12" s="98"/>
      <c r="I12" s="98"/>
      <c r="J12" s="98"/>
      <c r="K12" s="98"/>
      <c r="L12" s="98"/>
      <c r="M12" s="98"/>
      <c r="N12" s="116"/>
      <c r="P12" s="436"/>
      <c r="Q12" s="437"/>
      <c r="R12" s="437"/>
      <c r="S12" s="437"/>
      <c r="T12" s="437"/>
      <c r="U12" s="437"/>
      <c r="V12" s="437"/>
      <c r="W12" s="437"/>
      <c r="X12" s="437"/>
      <c r="Y12" s="437"/>
      <c r="Z12" s="437"/>
      <c r="AA12" s="437"/>
      <c r="AB12" s="437"/>
      <c r="AC12" s="438"/>
    </row>
    <row r="13" spans="2:29" s="117" customFormat="1" ht="30" customHeight="1">
      <c r="B13" s="113"/>
      <c r="C13" s="68" t="s">
        <v>432</v>
      </c>
      <c r="D13" s="22"/>
      <c r="E13" s="98"/>
      <c r="F13" s="98"/>
      <c r="G13" s="98"/>
      <c r="H13" s="98"/>
      <c r="I13" s="98"/>
      <c r="J13" s="98"/>
      <c r="K13" s="98"/>
      <c r="L13" s="98"/>
      <c r="M13" s="98"/>
      <c r="N13" s="116"/>
      <c r="P13" s="429"/>
      <c r="Q13" s="431"/>
      <c r="R13" s="431"/>
      <c r="S13" s="431"/>
      <c r="T13" s="431"/>
      <c r="U13" s="431"/>
      <c r="V13" s="431"/>
      <c r="W13" s="431"/>
      <c r="X13" s="431"/>
      <c r="Y13" s="431"/>
      <c r="Z13" s="431"/>
      <c r="AA13" s="431"/>
      <c r="AB13" s="431"/>
      <c r="AC13" s="432"/>
    </row>
    <row r="14" spans="2:29" s="117" customFormat="1" ht="30" customHeight="1">
      <c r="B14" s="113"/>
      <c r="C14" s="22"/>
      <c r="D14" s="22"/>
      <c r="E14" s="98"/>
      <c r="F14" s="98"/>
      <c r="G14" s="98"/>
      <c r="H14" s="98"/>
      <c r="I14" s="98"/>
      <c r="J14" s="98"/>
      <c r="K14" s="98"/>
      <c r="L14" s="98"/>
      <c r="M14" s="98"/>
      <c r="N14" s="116"/>
      <c r="P14" s="429"/>
      <c r="Q14" s="431"/>
      <c r="R14" s="431"/>
      <c r="S14" s="431"/>
      <c r="T14" s="431"/>
      <c r="U14" s="431"/>
      <c r="V14" s="431"/>
      <c r="W14" s="431"/>
      <c r="X14" s="431"/>
      <c r="Y14" s="431"/>
      <c r="Z14" s="431"/>
      <c r="AA14" s="431"/>
      <c r="AB14" s="431"/>
      <c r="AC14" s="432"/>
    </row>
    <row r="15" spans="2:29" s="121" customFormat="1" ht="22.9" customHeight="1">
      <c r="B15" s="119"/>
      <c r="C15" s="200"/>
      <c r="D15" s="201"/>
      <c r="E15" s="202" t="s">
        <v>423</v>
      </c>
      <c r="F15" s="202" t="s">
        <v>399</v>
      </c>
      <c r="G15" s="1160" t="s">
        <v>407</v>
      </c>
      <c r="H15" s="1161"/>
      <c r="I15" s="1161"/>
      <c r="J15" s="202" t="s">
        <v>418</v>
      </c>
      <c r="K15" s="202" t="s">
        <v>428</v>
      </c>
      <c r="L15" s="202" t="s">
        <v>429</v>
      </c>
      <c r="M15" s="1158" t="s">
        <v>825</v>
      </c>
      <c r="N15" s="120"/>
      <c r="P15" s="429"/>
      <c r="Q15" s="431"/>
      <c r="R15" s="431"/>
      <c r="S15" s="431"/>
      <c r="T15" s="431"/>
      <c r="U15" s="431"/>
      <c r="V15" s="431"/>
      <c r="W15" s="431"/>
      <c r="X15" s="431"/>
      <c r="Y15" s="431"/>
      <c r="Z15" s="431"/>
      <c r="AA15" s="431"/>
      <c r="AB15" s="431"/>
      <c r="AC15" s="432"/>
    </row>
    <row r="16" spans="2:29" ht="49.15" customHeight="1">
      <c r="B16" s="105"/>
      <c r="C16" s="203" t="s">
        <v>422</v>
      </c>
      <c r="D16" s="204"/>
      <c r="E16" s="205" t="s">
        <v>424</v>
      </c>
      <c r="F16" s="205">
        <f>ejercicio</f>
        <v>2018</v>
      </c>
      <c r="G16" s="206" t="s">
        <v>425</v>
      </c>
      <c r="H16" s="207" t="s">
        <v>426</v>
      </c>
      <c r="I16" s="208" t="s">
        <v>427</v>
      </c>
      <c r="J16" s="205">
        <f>ejercicio</f>
        <v>2018</v>
      </c>
      <c r="K16" s="205" t="s">
        <v>824</v>
      </c>
      <c r="L16" s="205">
        <f>ejercicio</f>
        <v>2018</v>
      </c>
      <c r="M16" s="1159"/>
      <c r="N16" s="108"/>
      <c r="P16" s="429"/>
      <c r="Q16" s="431"/>
      <c r="R16" s="431"/>
      <c r="S16" s="431"/>
      <c r="T16" s="431"/>
      <c r="U16" s="431"/>
      <c r="V16" s="431"/>
      <c r="W16" s="431"/>
      <c r="X16" s="431"/>
      <c r="Y16" s="431"/>
      <c r="Z16" s="431"/>
      <c r="AA16" s="431"/>
      <c r="AB16" s="431"/>
      <c r="AC16" s="432"/>
    </row>
    <row r="17" spans="2:29" ht="30" customHeight="1" thickBot="1">
      <c r="B17" s="105"/>
      <c r="C17" s="1171" t="s">
        <v>430</v>
      </c>
      <c r="D17" s="1171"/>
      <c r="E17" s="1171"/>
      <c r="F17" s="1171"/>
      <c r="G17" s="1171"/>
      <c r="H17" s="1171"/>
      <c r="I17" s="1171"/>
      <c r="J17" s="1171"/>
      <c r="K17" s="1171"/>
      <c r="L17" s="1171"/>
      <c r="M17" s="1171"/>
      <c r="N17" s="108"/>
      <c r="P17" s="429"/>
      <c r="Q17" s="431"/>
      <c r="R17" s="431"/>
      <c r="S17" s="431"/>
      <c r="T17" s="431"/>
      <c r="U17" s="431"/>
      <c r="V17" s="431"/>
      <c r="W17" s="431"/>
      <c r="X17" s="431"/>
      <c r="Y17" s="431"/>
      <c r="Z17" s="431"/>
      <c r="AA17" s="431"/>
      <c r="AB17" s="431"/>
      <c r="AC17" s="432"/>
    </row>
    <row r="18" spans="2:29" s="122" customFormat="1" ht="22.9" customHeight="1">
      <c r="B18" s="119"/>
      <c r="C18" s="1168"/>
      <c r="D18" s="1169"/>
      <c r="E18" s="941"/>
      <c r="F18" s="513"/>
      <c r="G18" s="514"/>
      <c r="H18" s="514"/>
      <c r="I18" s="514"/>
      <c r="J18" s="189">
        <f t="shared" ref="J18:J24" si="0">SUM(F18:I18)</f>
        <v>0</v>
      </c>
      <c r="K18" s="521"/>
      <c r="L18" s="522"/>
      <c r="M18" s="937"/>
      <c r="N18" s="120"/>
      <c r="P18" s="429"/>
      <c r="Q18" s="431"/>
      <c r="R18" s="431"/>
      <c r="S18" s="431"/>
      <c r="T18" s="431"/>
      <c r="U18" s="431"/>
      <c r="V18" s="431"/>
      <c r="W18" s="431"/>
      <c r="X18" s="431"/>
      <c r="Y18" s="431"/>
      <c r="Z18" s="431"/>
      <c r="AA18" s="431"/>
      <c r="AB18" s="431"/>
      <c r="AC18" s="432"/>
    </row>
    <row r="19" spans="2:29" ht="22.9" customHeight="1">
      <c r="B19" s="119"/>
      <c r="C19" s="1163"/>
      <c r="D19" s="1164"/>
      <c r="E19" s="942"/>
      <c r="F19" s="506"/>
      <c r="G19" s="507"/>
      <c r="H19" s="507"/>
      <c r="I19" s="507"/>
      <c r="J19" s="180">
        <f t="shared" si="0"/>
        <v>0</v>
      </c>
      <c r="K19" s="523"/>
      <c r="L19" s="524"/>
      <c r="M19" s="938"/>
      <c r="N19" s="108"/>
      <c r="P19" s="429"/>
      <c r="Q19" s="431"/>
      <c r="R19" s="431"/>
      <c r="S19" s="431"/>
      <c r="T19" s="431"/>
      <c r="U19" s="431"/>
      <c r="V19" s="431"/>
      <c r="W19" s="431"/>
      <c r="X19" s="431"/>
      <c r="Y19" s="431"/>
      <c r="Z19" s="431"/>
      <c r="AA19" s="431"/>
      <c r="AB19" s="431"/>
      <c r="AC19" s="432"/>
    </row>
    <row r="20" spans="2:29" ht="22.9" customHeight="1">
      <c r="B20" s="119"/>
      <c r="C20" s="1163"/>
      <c r="D20" s="1164"/>
      <c r="E20" s="942"/>
      <c r="F20" s="506"/>
      <c r="G20" s="507"/>
      <c r="H20" s="507"/>
      <c r="I20" s="507"/>
      <c r="J20" s="180">
        <f t="shared" si="0"/>
        <v>0</v>
      </c>
      <c r="K20" s="523"/>
      <c r="L20" s="524"/>
      <c r="M20" s="938"/>
      <c r="N20" s="108"/>
      <c r="P20" s="429"/>
      <c r="Q20" s="431"/>
      <c r="R20" s="431"/>
      <c r="S20" s="431"/>
      <c r="T20" s="431"/>
      <c r="U20" s="431"/>
      <c r="V20" s="431"/>
      <c r="W20" s="431"/>
      <c r="X20" s="431"/>
      <c r="Y20" s="431"/>
      <c r="Z20" s="431"/>
      <c r="AA20" s="431"/>
      <c r="AB20" s="431"/>
      <c r="AC20" s="432"/>
    </row>
    <row r="21" spans="2:29" ht="22.9" customHeight="1">
      <c r="B21" s="119"/>
      <c r="C21" s="1163"/>
      <c r="D21" s="1164"/>
      <c r="E21" s="942"/>
      <c r="F21" s="506"/>
      <c r="G21" s="507"/>
      <c r="H21" s="507"/>
      <c r="I21" s="507"/>
      <c r="J21" s="180">
        <f t="shared" si="0"/>
        <v>0</v>
      </c>
      <c r="K21" s="523"/>
      <c r="L21" s="524"/>
      <c r="M21" s="938"/>
      <c r="N21" s="108"/>
      <c r="P21" s="429"/>
      <c r="Q21" s="431"/>
      <c r="R21" s="431"/>
      <c r="S21" s="431"/>
      <c r="T21" s="431"/>
      <c r="U21" s="431"/>
      <c r="V21" s="431"/>
      <c r="W21" s="431"/>
      <c r="X21" s="431"/>
      <c r="Y21" s="431"/>
      <c r="Z21" s="431"/>
      <c r="AA21" s="431"/>
      <c r="AB21" s="431"/>
      <c r="AC21" s="432"/>
    </row>
    <row r="22" spans="2:29" ht="22.9" customHeight="1">
      <c r="B22" s="119"/>
      <c r="C22" s="1163"/>
      <c r="D22" s="1164"/>
      <c r="E22" s="943"/>
      <c r="F22" s="515"/>
      <c r="G22" s="516"/>
      <c r="H22" s="516"/>
      <c r="I22" s="516"/>
      <c r="J22" s="180">
        <f t="shared" si="0"/>
        <v>0</v>
      </c>
      <c r="K22" s="525"/>
      <c r="L22" s="526"/>
      <c r="M22" s="939"/>
      <c r="N22" s="108"/>
      <c r="P22" s="429"/>
      <c r="Q22" s="431"/>
      <c r="R22" s="431"/>
      <c r="S22" s="431"/>
      <c r="T22" s="431"/>
      <c r="U22" s="431"/>
      <c r="V22" s="431"/>
      <c r="W22" s="431"/>
      <c r="X22" s="431"/>
      <c r="Y22" s="431"/>
      <c r="Z22" s="431"/>
      <c r="AA22" s="431"/>
      <c r="AB22" s="431"/>
      <c r="AC22" s="432"/>
    </row>
    <row r="23" spans="2:29" ht="22.9" customHeight="1">
      <c r="B23" s="119"/>
      <c r="C23" s="1163"/>
      <c r="D23" s="1164"/>
      <c r="E23" s="943"/>
      <c r="F23" s="515"/>
      <c r="G23" s="516"/>
      <c r="H23" s="516"/>
      <c r="I23" s="516"/>
      <c r="J23" s="180">
        <f t="shared" si="0"/>
        <v>0</v>
      </c>
      <c r="K23" s="525"/>
      <c r="L23" s="526"/>
      <c r="M23" s="939"/>
      <c r="N23" s="108"/>
      <c r="P23" s="429"/>
      <c r="Q23" s="431"/>
      <c r="R23" s="431"/>
      <c r="S23" s="431"/>
      <c r="T23" s="431"/>
      <c r="U23" s="431"/>
      <c r="V23" s="431"/>
      <c r="W23" s="431"/>
      <c r="X23" s="431"/>
      <c r="Y23" s="431"/>
      <c r="Z23" s="431"/>
      <c r="AA23" s="431"/>
      <c r="AB23" s="431"/>
      <c r="AC23" s="432"/>
    </row>
    <row r="24" spans="2:29" ht="22.9" customHeight="1">
      <c r="B24" s="119"/>
      <c r="C24" s="517"/>
      <c r="D24" s="518"/>
      <c r="E24" s="944"/>
      <c r="F24" s="510"/>
      <c r="G24" s="511"/>
      <c r="H24" s="511"/>
      <c r="I24" s="511"/>
      <c r="J24" s="181">
        <f t="shared" si="0"/>
        <v>0</v>
      </c>
      <c r="K24" s="527"/>
      <c r="L24" s="528"/>
      <c r="M24" s="940"/>
      <c r="N24" s="108"/>
      <c r="P24" s="429"/>
      <c r="Q24" s="431"/>
      <c r="R24" s="431"/>
      <c r="S24" s="431"/>
      <c r="T24" s="431"/>
      <c r="U24" s="431"/>
      <c r="V24" s="431"/>
      <c r="W24" s="431"/>
      <c r="X24" s="431"/>
      <c r="Y24" s="431"/>
      <c r="Z24" s="431"/>
      <c r="AA24" s="431"/>
      <c r="AB24" s="431"/>
      <c r="AC24" s="432"/>
    </row>
    <row r="25" spans="2:29" ht="22.9" customHeight="1" thickBot="1">
      <c r="B25" s="119"/>
      <c r="C25" s="166" t="s">
        <v>405</v>
      </c>
      <c r="D25" s="167"/>
      <c r="E25" s="179"/>
      <c r="F25" s="179">
        <f>SUM(F18:F24)</f>
        <v>0</v>
      </c>
      <c r="G25" s="179">
        <f>SUM(G18:G24)</f>
        <v>0</v>
      </c>
      <c r="H25" s="179">
        <f>SUM(H18:H24)</f>
        <v>0</v>
      </c>
      <c r="I25" s="179">
        <f>SUM(I18:I24)</f>
        <v>0</v>
      </c>
      <c r="J25" s="179">
        <f>SUM(J18:J24)</f>
        <v>0</v>
      </c>
      <c r="K25" s="184"/>
      <c r="L25" s="179">
        <f>SUM(L18:L24)</f>
        <v>0</v>
      </c>
      <c r="M25" s="168"/>
      <c r="N25" s="108"/>
      <c r="P25" s="429"/>
      <c r="Q25" s="431"/>
      <c r="R25" s="431"/>
      <c r="S25" s="431"/>
      <c r="T25" s="431"/>
      <c r="U25" s="431"/>
      <c r="V25" s="431"/>
      <c r="W25" s="431"/>
      <c r="X25" s="431"/>
      <c r="Y25" s="431"/>
      <c r="Z25" s="431"/>
      <c r="AA25" s="431"/>
      <c r="AB25" s="431"/>
      <c r="AC25" s="432"/>
    </row>
    <row r="26" spans="2:29" ht="30" customHeight="1" thickBot="1">
      <c r="B26" s="105"/>
      <c r="C26" s="1172" t="s">
        <v>431</v>
      </c>
      <c r="D26" s="1172"/>
      <c r="E26" s="1172"/>
      <c r="F26" s="1172"/>
      <c r="G26" s="1172"/>
      <c r="H26" s="1172"/>
      <c r="I26" s="1172"/>
      <c r="J26" s="1172"/>
      <c r="K26" s="1172"/>
      <c r="L26" s="1172"/>
      <c r="M26" s="1172"/>
      <c r="N26" s="108"/>
      <c r="P26" s="429"/>
      <c r="Q26" s="431"/>
      <c r="R26" s="431"/>
      <c r="S26" s="431"/>
      <c r="T26" s="431"/>
      <c r="U26" s="431"/>
      <c r="V26" s="431"/>
      <c r="W26" s="431"/>
      <c r="X26" s="431"/>
      <c r="Y26" s="431"/>
      <c r="Z26" s="431"/>
      <c r="AA26" s="431"/>
      <c r="AB26" s="431"/>
      <c r="AC26" s="432"/>
    </row>
    <row r="27" spans="2:29" ht="30">
      <c r="B27" s="119"/>
      <c r="C27" s="1173" t="s">
        <v>975</v>
      </c>
      <c r="D27" s="1169"/>
      <c r="E27" s="1083" t="s">
        <v>984</v>
      </c>
      <c r="F27" s="513">
        <v>22868.01</v>
      </c>
      <c r="G27" s="514"/>
      <c r="H27" s="514"/>
      <c r="I27" s="514">
        <v>-8986.77</v>
      </c>
      <c r="J27" s="189">
        <f t="shared" ref="J27:J33" si="1">SUM(F27:I27)</f>
        <v>13881.239999999998</v>
      </c>
      <c r="K27" s="521"/>
      <c r="L27" s="522"/>
      <c r="M27" s="1104" t="s">
        <v>979</v>
      </c>
      <c r="N27" s="120"/>
      <c r="P27" s="429" t="s">
        <v>977</v>
      </c>
      <c r="Q27" s="431"/>
      <c r="R27" s="431"/>
      <c r="S27" s="431"/>
      <c r="T27" s="431"/>
      <c r="U27" s="431"/>
      <c r="V27" s="431"/>
      <c r="W27" s="431"/>
      <c r="X27" s="431"/>
      <c r="Y27" s="431"/>
      <c r="Z27" s="431"/>
      <c r="AA27" s="431"/>
      <c r="AB27" s="431"/>
      <c r="AC27" s="432"/>
    </row>
    <row r="28" spans="2:29" ht="30">
      <c r="B28" s="119"/>
      <c r="C28" s="1167" t="s">
        <v>976</v>
      </c>
      <c r="D28" s="1164"/>
      <c r="E28" s="1083" t="s">
        <v>983</v>
      </c>
      <c r="F28" s="506">
        <v>8986.77</v>
      </c>
      <c r="G28" s="507">
        <f>-I27</f>
        <v>8986.77</v>
      </c>
      <c r="H28" s="507">
        <f>-G28</f>
        <v>-8986.77</v>
      </c>
      <c r="I28" s="507"/>
      <c r="J28" s="180">
        <f t="shared" si="1"/>
        <v>8986.77</v>
      </c>
      <c r="K28" s="523"/>
      <c r="L28" s="524"/>
      <c r="M28" s="1104" t="s">
        <v>980</v>
      </c>
      <c r="N28" s="108"/>
      <c r="P28" s="429" t="s">
        <v>985</v>
      </c>
      <c r="Q28" s="431"/>
      <c r="R28" s="431"/>
      <c r="S28" s="431"/>
      <c r="T28" s="431"/>
      <c r="U28" s="431"/>
      <c r="V28" s="431"/>
      <c r="W28" s="431"/>
      <c r="X28" s="431"/>
      <c r="Y28" s="431"/>
      <c r="Z28" s="431"/>
      <c r="AA28" s="431"/>
      <c r="AB28" s="431"/>
      <c r="AC28" s="432"/>
    </row>
    <row r="29" spans="2:29" ht="30">
      <c r="B29" s="119"/>
      <c r="C29" s="1167" t="s">
        <v>975</v>
      </c>
      <c r="D29" s="1164"/>
      <c r="E29" s="1083" t="s">
        <v>984</v>
      </c>
      <c r="F29" s="506">
        <v>0</v>
      </c>
      <c r="G29" s="506">
        <v>1581772.89</v>
      </c>
      <c r="H29" s="507"/>
      <c r="I29" s="507"/>
      <c r="J29" s="180">
        <f t="shared" si="1"/>
        <v>1581772.89</v>
      </c>
      <c r="K29" s="523"/>
      <c r="L29" s="524"/>
      <c r="M29" s="1104" t="s">
        <v>978</v>
      </c>
      <c r="N29" s="108"/>
      <c r="P29" s="429" t="s">
        <v>986</v>
      </c>
      <c r="Q29" s="431"/>
      <c r="R29" s="431"/>
      <c r="S29" s="431"/>
      <c r="T29" s="431"/>
      <c r="U29" s="431"/>
      <c r="V29" s="431"/>
      <c r="W29" s="431"/>
      <c r="X29" s="431"/>
      <c r="Y29" s="431"/>
      <c r="Z29" s="431"/>
      <c r="AA29" s="431"/>
      <c r="AB29" s="431"/>
      <c r="AC29" s="432"/>
    </row>
    <row r="30" spans="2:29" ht="30">
      <c r="B30" s="119"/>
      <c r="C30" s="1167" t="s">
        <v>976</v>
      </c>
      <c r="D30" s="1164"/>
      <c r="E30" s="1083" t="s">
        <v>983</v>
      </c>
      <c r="F30" s="506">
        <v>0</v>
      </c>
      <c r="G30" s="507">
        <f>372181.86*2</f>
        <v>744363.72</v>
      </c>
      <c r="H30" s="507">
        <v>-372181.86</v>
      </c>
      <c r="I30" s="507"/>
      <c r="J30" s="180">
        <f t="shared" si="1"/>
        <v>372181.86</v>
      </c>
      <c r="K30" s="523"/>
      <c r="L30" s="524"/>
      <c r="M30" s="1104" t="s">
        <v>981</v>
      </c>
      <c r="N30" s="108"/>
      <c r="P30" s="429" t="s">
        <v>985</v>
      </c>
      <c r="Q30" s="440"/>
      <c r="R30" s="440"/>
      <c r="S30" s="440"/>
      <c r="T30" s="440"/>
      <c r="U30" s="440"/>
      <c r="V30" s="440"/>
      <c r="W30" s="440"/>
      <c r="X30" s="440"/>
      <c r="Y30" s="440"/>
      <c r="Z30" s="440"/>
      <c r="AA30" s="440"/>
      <c r="AB30" s="440"/>
      <c r="AC30" s="441"/>
    </row>
    <row r="31" spans="2:29" ht="22.9" customHeight="1">
      <c r="B31" s="119"/>
      <c r="C31" s="1163"/>
      <c r="D31" s="1164"/>
      <c r="E31" s="943"/>
      <c r="F31" s="515"/>
      <c r="G31" s="516"/>
      <c r="H31" s="516"/>
      <c r="I31" s="516"/>
      <c r="J31" s="180">
        <f t="shared" si="1"/>
        <v>0</v>
      </c>
      <c r="K31" s="525"/>
      <c r="L31" s="526"/>
      <c r="M31" s="939"/>
      <c r="N31" s="108"/>
      <c r="P31" s="439"/>
      <c r="Q31" s="440"/>
      <c r="R31" s="440"/>
      <c r="S31" s="440"/>
      <c r="T31" s="440"/>
      <c r="U31" s="440"/>
      <c r="V31" s="440"/>
      <c r="W31" s="440"/>
      <c r="X31" s="440"/>
      <c r="Y31" s="440"/>
      <c r="Z31" s="440"/>
      <c r="AA31" s="440"/>
      <c r="AB31" s="440"/>
      <c r="AC31" s="441"/>
    </row>
    <row r="32" spans="2:29" ht="22.9" customHeight="1">
      <c r="B32" s="119"/>
      <c r="C32" s="1163"/>
      <c r="D32" s="1164"/>
      <c r="E32" s="943"/>
      <c r="F32" s="515"/>
      <c r="G32" s="516"/>
      <c r="H32" s="516"/>
      <c r="I32" s="516"/>
      <c r="J32" s="180">
        <f t="shared" si="1"/>
        <v>0</v>
      </c>
      <c r="K32" s="525"/>
      <c r="L32" s="526"/>
      <c r="M32" s="939"/>
      <c r="N32" s="108"/>
      <c r="P32" s="429"/>
      <c r="Q32" s="431"/>
      <c r="R32" s="431"/>
      <c r="S32" s="431"/>
      <c r="T32" s="431"/>
      <c r="U32" s="431"/>
      <c r="V32" s="431"/>
      <c r="W32" s="431"/>
      <c r="X32" s="431"/>
      <c r="Y32" s="431"/>
      <c r="Z32" s="431"/>
      <c r="AA32" s="431"/>
      <c r="AB32" s="431"/>
      <c r="AC32" s="432"/>
    </row>
    <row r="33" spans="2:29" ht="22.9" customHeight="1">
      <c r="B33" s="119"/>
      <c r="C33" s="1165"/>
      <c r="D33" s="1166"/>
      <c r="E33" s="944"/>
      <c r="F33" s="510"/>
      <c r="G33" s="511"/>
      <c r="H33" s="511"/>
      <c r="I33" s="511"/>
      <c r="J33" s="181">
        <f t="shared" si="1"/>
        <v>0</v>
      </c>
      <c r="K33" s="527"/>
      <c r="L33" s="528"/>
      <c r="M33" s="940"/>
      <c r="N33" s="108"/>
      <c r="P33" s="429"/>
      <c r="Q33" s="431"/>
      <c r="R33" s="431"/>
      <c r="S33" s="431"/>
      <c r="T33" s="431"/>
      <c r="U33" s="431"/>
      <c r="V33" s="431"/>
      <c r="W33" s="431"/>
      <c r="X33" s="431"/>
      <c r="Y33" s="431"/>
      <c r="Z33" s="431"/>
      <c r="AA33" s="431"/>
      <c r="AB33" s="431"/>
      <c r="AC33" s="432"/>
    </row>
    <row r="34" spans="2:29" ht="22.9" customHeight="1" thickBot="1">
      <c r="B34" s="119"/>
      <c r="C34" s="166" t="s">
        <v>405</v>
      </c>
      <c r="D34" s="167"/>
      <c r="E34" s="179"/>
      <c r="F34" s="179">
        <f>SUM(F27:F33)</f>
        <v>31854.78</v>
      </c>
      <c r="G34" s="179">
        <f>SUM(G27:G33)</f>
        <v>2335123.38</v>
      </c>
      <c r="H34" s="179">
        <f>SUM(H27:H33)</f>
        <v>-381168.63</v>
      </c>
      <c r="I34" s="179">
        <f>SUM(I27:I33)</f>
        <v>-8986.77</v>
      </c>
      <c r="J34" s="179">
        <f>SUM(J27:J33)</f>
        <v>1976822.7599999998</v>
      </c>
      <c r="K34" s="184"/>
      <c r="L34" s="179">
        <f>SUM(L27:L33)</f>
        <v>0</v>
      </c>
      <c r="M34" s="168"/>
      <c r="N34" s="108"/>
      <c r="P34" s="429"/>
      <c r="Q34" s="431"/>
      <c r="R34" s="431"/>
      <c r="S34" s="431"/>
      <c r="T34" s="431"/>
      <c r="U34" s="431"/>
      <c r="V34" s="431"/>
      <c r="W34" s="431"/>
      <c r="X34" s="431"/>
      <c r="Y34" s="431"/>
      <c r="Z34" s="431"/>
      <c r="AA34" s="431"/>
      <c r="AB34" s="431"/>
      <c r="AC34" s="432"/>
    </row>
    <row r="35" spans="2:29" ht="22.9" customHeight="1">
      <c r="B35" s="119"/>
      <c r="C35" s="156"/>
      <c r="D35" s="156"/>
      <c r="E35" s="157"/>
      <c r="F35" s="157"/>
      <c r="G35" s="157"/>
      <c r="H35" s="157"/>
      <c r="I35" s="157"/>
      <c r="J35" s="157"/>
      <c r="K35" s="157"/>
      <c r="L35" s="157"/>
      <c r="M35" s="157"/>
      <c r="N35" s="108"/>
      <c r="P35" s="429"/>
      <c r="Q35" s="431"/>
      <c r="R35" s="431"/>
      <c r="S35" s="431"/>
      <c r="T35" s="431"/>
      <c r="U35" s="431"/>
      <c r="V35" s="431"/>
      <c r="W35" s="431"/>
      <c r="X35" s="431"/>
      <c r="Y35" s="431"/>
      <c r="Z35" s="431"/>
      <c r="AA35" s="431"/>
      <c r="AB35" s="431"/>
      <c r="AC35" s="432"/>
    </row>
    <row r="36" spans="2:29" ht="22.9" customHeight="1">
      <c r="B36" s="119"/>
      <c r="C36" s="156"/>
      <c r="D36" s="156"/>
      <c r="E36" s="157"/>
      <c r="F36" s="157"/>
      <c r="G36" s="157"/>
      <c r="H36" s="157"/>
      <c r="I36" s="157"/>
      <c r="J36" s="157"/>
      <c r="K36" s="157"/>
      <c r="L36" s="157"/>
      <c r="M36" s="157"/>
      <c r="N36" s="108"/>
      <c r="P36" s="442"/>
      <c r="Q36" s="443"/>
      <c r="R36" s="443"/>
      <c r="S36" s="443"/>
      <c r="T36" s="443"/>
      <c r="U36" s="443"/>
      <c r="V36" s="443"/>
      <c r="W36" s="443"/>
      <c r="X36" s="443"/>
      <c r="Y36" s="443"/>
      <c r="Z36" s="443"/>
      <c r="AA36" s="443"/>
      <c r="AB36" s="443"/>
      <c r="AC36" s="444"/>
    </row>
    <row r="37" spans="2:29" ht="22.9" customHeight="1">
      <c r="B37" s="119"/>
      <c r="C37" s="68" t="s">
        <v>433</v>
      </c>
      <c r="D37" s="22"/>
      <c r="E37" s="98"/>
      <c r="F37" s="98"/>
      <c r="G37" s="98"/>
      <c r="H37" s="98"/>
      <c r="I37" s="98"/>
      <c r="J37" s="98"/>
      <c r="K37" s="98"/>
      <c r="L37" s="98"/>
      <c r="M37" s="98"/>
      <c r="N37" s="108"/>
      <c r="P37" s="442"/>
      <c r="Q37" s="443"/>
      <c r="R37" s="443"/>
      <c r="S37" s="443"/>
      <c r="T37" s="443"/>
      <c r="U37" s="443"/>
      <c r="V37" s="443"/>
      <c r="W37" s="443"/>
      <c r="X37" s="443"/>
      <c r="Y37" s="443"/>
      <c r="Z37" s="443"/>
      <c r="AA37" s="443"/>
      <c r="AB37" s="443"/>
      <c r="AC37" s="444"/>
    </row>
    <row r="38" spans="2:29" ht="22.9" customHeight="1">
      <c r="B38" s="119"/>
      <c r="C38" s="22"/>
      <c r="D38" s="22"/>
      <c r="E38" s="98"/>
      <c r="F38" s="98"/>
      <c r="G38" s="98"/>
      <c r="H38" s="98"/>
      <c r="I38" s="98"/>
      <c r="J38" s="98"/>
      <c r="K38" s="98"/>
      <c r="L38" s="98"/>
      <c r="M38" s="98"/>
      <c r="N38" s="108"/>
      <c r="P38" s="442"/>
      <c r="Q38" s="443"/>
      <c r="R38" s="443"/>
      <c r="S38" s="443"/>
      <c r="T38" s="443"/>
      <c r="U38" s="443"/>
      <c r="V38" s="443"/>
      <c r="W38" s="443"/>
      <c r="X38" s="443"/>
      <c r="Y38" s="443"/>
      <c r="Z38" s="443"/>
      <c r="AA38" s="443"/>
      <c r="AB38" s="443"/>
      <c r="AC38" s="444"/>
    </row>
    <row r="39" spans="2:29" ht="22.9" customHeight="1">
      <c r="B39" s="119"/>
      <c r="C39" s="200"/>
      <c r="D39" s="201"/>
      <c r="E39" s="202" t="s">
        <v>423</v>
      </c>
      <c r="F39" s="202" t="s">
        <v>399</v>
      </c>
      <c r="G39" s="1160" t="s">
        <v>407</v>
      </c>
      <c r="H39" s="1161"/>
      <c r="I39" s="1161"/>
      <c r="J39" s="202" t="s">
        <v>418</v>
      </c>
      <c r="K39" s="202" t="s">
        <v>428</v>
      </c>
      <c r="L39" s="202" t="s">
        <v>429</v>
      </c>
      <c r="M39" s="1158" t="s">
        <v>828</v>
      </c>
      <c r="N39" s="108"/>
      <c r="P39" s="442"/>
      <c r="Q39" s="443"/>
      <c r="R39" s="443"/>
      <c r="S39" s="443"/>
      <c r="T39" s="443"/>
      <c r="U39" s="443"/>
      <c r="V39" s="443"/>
      <c r="W39" s="443"/>
      <c r="X39" s="443"/>
      <c r="Y39" s="443"/>
      <c r="Z39" s="443"/>
      <c r="AA39" s="443"/>
      <c r="AB39" s="443"/>
      <c r="AC39" s="444"/>
    </row>
    <row r="40" spans="2:29" ht="49.15" customHeight="1">
      <c r="B40" s="119"/>
      <c r="C40" s="203" t="s">
        <v>422</v>
      </c>
      <c r="D40" s="204"/>
      <c r="E40" s="205" t="s">
        <v>424</v>
      </c>
      <c r="F40" s="205">
        <f>ejercicio</f>
        <v>2018</v>
      </c>
      <c r="G40" s="206" t="s">
        <v>425</v>
      </c>
      <c r="H40" s="207" t="s">
        <v>426</v>
      </c>
      <c r="I40" s="208" t="s">
        <v>427</v>
      </c>
      <c r="J40" s="205">
        <f>ejercicio</f>
        <v>2018</v>
      </c>
      <c r="K40" s="205" t="s">
        <v>827</v>
      </c>
      <c r="L40" s="205">
        <f>ejercicio</f>
        <v>2018</v>
      </c>
      <c r="M40" s="1159"/>
      <c r="N40" s="108"/>
      <c r="P40" s="442"/>
      <c r="Q40" s="443"/>
      <c r="R40" s="443"/>
      <c r="S40" s="443"/>
      <c r="T40" s="443"/>
      <c r="U40" s="443"/>
      <c r="V40" s="443"/>
      <c r="W40" s="443"/>
      <c r="X40" s="443"/>
      <c r="Y40" s="443"/>
      <c r="Z40" s="443"/>
      <c r="AA40" s="443"/>
      <c r="AB40" s="443"/>
      <c r="AC40" s="444"/>
    </row>
    <row r="41" spans="2:29" ht="30" customHeight="1" thickBot="1">
      <c r="B41" s="119"/>
      <c r="C41" s="1171" t="s">
        <v>434</v>
      </c>
      <c r="D41" s="1171"/>
      <c r="E41" s="1171"/>
      <c r="F41" s="1171"/>
      <c r="G41" s="1171"/>
      <c r="H41" s="1171"/>
      <c r="I41" s="1171"/>
      <c r="J41" s="1171"/>
      <c r="K41" s="1171"/>
      <c r="L41" s="1171"/>
      <c r="M41" s="1171"/>
      <c r="N41" s="108"/>
      <c r="P41" s="442"/>
      <c r="Q41" s="443"/>
      <c r="R41" s="443"/>
      <c r="S41" s="443"/>
      <c r="T41" s="443"/>
      <c r="U41" s="443"/>
      <c r="V41" s="443"/>
      <c r="W41" s="443"/>
      <c r="X41" s="443"/>
      <c r="Y41" s="443"/>
      <c r="Z41" s="443"/>
      <c r="AA41" s="443"/>
      <c r="AB41" s="443"/>
      <c r="AC41" s="444"/>
    </row>
    <row r="42" spans="2:29" ht="22.9" customHeight="1">
      <c r="B42" s="119"/>
      <c r="C42" s="1168"/>
      <c r="D42" s="1169"/>
      <c r="E42" s="941"/>
      <c r="F42" s="513"/>
      <c r="G42" s="514"/>
      <c r="H42" s="514"/>
      <c r="I42" s="514"/>
      <c r="J42" s="189">
        <f t="shared" ref="J42:J48" si="2">SUM(F42:I42)</f>
        <v>0</v>
      </c>
      <c r="K42" s="521"/>
      <c r="L42" s="933"/>
      <c r="M42" s="937"/>
      <c r="N42" s="108"/>
      <c r="P42" s="442"/>
      <c r="Q42" s="443"/>
      <c r="R42" s="443"/>
      <c r="S42" s="443"/>
      <c r="T42" s="443"/>
      <c r="U42" s="443"/>
      <c r="V42" s="443"/>
      <c r="W42" s="443"/>
      <c r="X42" s="443"/>
      <c r="Y42" s="443"/>
      <c r="Z42" s="443"/>
      <c r="AA42" s="443"/>
      <c r="AB42" s="443"/>
      <c r="AC42" s="444"/>
    </row>
    <row r="43" spans="2:29" ht="22.9" customHeight="1">
      <c r="B43" s="119"/>
      <c r="C43" s="1167"/>
      <c r="D43" s="1164"/>
      <c r="E43" s="942"/>
      <c r="F43" s="506"/>
      <c r="G43" s="507"/>
      <c r="H43" s="507"/>
      <c r="I43" s="507"/>
      <c r="J43" s="180">
        <f t="shared" si="2"/>
        <v>0</v>
      </c>
      <c r="K43" s="523"/>
      <c r="L43" s="934"/>
      <c r="M43" s="1084"/>
      <c r="N43" s="108"/>
      <c r="P43" s="442"/>
      <c r="Q43" s="443"/>
      <c r="R43" s="443"/>
      <c r="S43" s="443"/>
      <c r="T43" s="443"/>
      <c r="U43" s="443"/>
      <c r="V43" s="443"/>
      <c r="W43" s="443"/>
      <c r="X43" s="443"/>
      <c r="Y43" s="443"/>
      <c r="Z43" s="443"/>
      <c r="AA43" s="443"/>
      <c r="AB43" s="443"/>
      <c r="AC43" s="444"/>
    </row>
    <row r="44" spans="2:29" ht="22.9" customHeight="1">
      <c r="B44" s="119"/>
      <c r="C44" s="1167"/>
      <c r="D44" s="1164"/>
      <c r="E44" s="942"/>
      <c r="F44" s="506"/>
      <c r="G44" s="507"/>
      <c r="H44" s="507"/>
      <c r="I44" s="507"/>
      <c r="J44" s="180">
        <f t="shared" si="2"/>
        <v>0</v>
      </c>
      <c r="K44" s="523"/>
      <c r="L44" s="934"/>
      <c r="M44" s="938"/>
      <c r="N44" s="108"/>
      <c r="P44" s="442"/>
      <c r="Q44" s="443"/>
      <c r="R44" s="443"/>
      <c r="S44" s="443"/>
      <c r="T44" s="443"/>
      <c r="U44" s="443"/>
      <c r="V44" s="443"/>
      <c r="W44" s="443"/>
      <c r="X44" s="443"/>
      <c r="Y44" s="443"/>
      <c r="Z44" s="443"/>
      <c r="AA44" s="443"/>
      <c r="AB44" s="443"/>
      <c r="AC44" s="444"/>
    </row>
    <row r="45" spans="2:29" ht="22.9" customHeight="1">
      <c r="B45" s="119"/>
      <c r="C45" s="1163"/>
      <c r="D45" s="1164"/>
      <c r="E45" s="942"/>
      <c r="F45" s="506"/>
      <c r="G45" s="507"/>
      <c r="H45" s="507"/>
      <c r="I45" s="507"/>
      <c r="J45" s="180">
        <f t="shared" si="2"/>
        <v>0</v>
      </c>
      <c r="K45" s="523"/>
      <c r="L45" s="934"/>
      <c r="M45" s="938"/>
      <c r="N45" s="108"/>
      <c r="P45" s="442"/>
      <c r="Q45" s="443"/>
      <c r="R45" s="443"/>
      <c r="S45" s="443"/>
      <c r="T45" s="443"/>
      <c r="U45" s="443"/>
      <c r="V45" s="443"/>
      <c r="W45" s="443"/>
      <c r="X45" s="443"/>
      <c r="Y45" s="443"/>
      <c r="Z45" s="443"/>
      <c r="AA45" s="443"/>
      <c r="AB45" s="443"/>
      <c r="AC45" s="444"/>
    </row>
    <row r="46" spans="2:29" ht="22.9" customHeight="1">
      <c r="B46" s="119"/>
      <c r="C46" s="1163"/>
      <c r="D46" s="1164"/>
      <c r="E46" s="943"/>
      <c r="F46" s="515"/>
      <c r="G46" s="516"/>
      <c r="H46" s="516"/>
      <c r="I46" s="516"/>
      <c r="J46" s="180">
        <f t="shared" si="2"/>
        <v>0</v>
      </c>
      <c r="K46" s="525"/>
      <c r="L46" s="935"/>
      <c r="M46" s="939"/>
      <c r="N46" s="108"/>
      <c r="P46" s="442"/>
      <c r="Q46" s="443"/>
      <c r="R46" s="443"/>
      <c r="S46" s="443"/>
      <c r="T46" s="443"/>
      <c r="U46" s="443"/>
      <c r="V46" s="443"/>
      <c r="W46" s="443"/>
      <c r="X46" s="443"/>
      <c r="Y46" s="443"/>
      <c r="Z46" s="443"/>
      <c r="AA46" s="443"/>
      <c r="AB46" s="443"/>
      <c r="AC46" s="444"/>
    </row>
    <row r="47" spans="2:29" ht="22.9" customHeight="1">
      <c r="B47" s="119"/>
      <c r="C47" s="1163"/>
      <c r="D47" s="1164"/>
      <c r="E47" s="943"/>
      <c r="F47" s="515"/>
      <c r="G47" s="516"/>
      <c r="H47" s="516"/>
      <c r="I47" s="516"/>
      <c r="J47" s="180">
        <f t="shared" si="2"/>
        <v>0</v>
      </c>
      <c r="K47" s="525"/>
      <c r="L47" s="935"/>
      <c r="M47" s="939"/>
      <c r="N47" s="108"/>
      <c r="P47" s="442"/>
      <c r="Q47" s="443"/>
      <c r="R47" s="443"/>
      <c r="S47" s="443"/>
      <c r="T47" s="443"/>
      <c r="U47" s="443"/>
      <c r="V47" s="443"/>
      <c r="W47" s="443"/>
      <c r="X47" s="443"/>
      <c r="Y47" s="443"/>
      <c r="Z47" s="443"/>
      <c r="AA47" s="443"/>
      <c r="AB47" s="443"/>
      <c r="AC47" s="444"/>
    </row>
    <row r="48" spans="2:29" ht="22.9" customHeight="1">
      <c r="B48" s="119"/>
      <c r="C48" s="1165"/>
      <c r="D48" s="1166"/>
      <c r="E48" s="944"/>
      <c r="F48" s="510"/>
      <c r="G48" s="511"/>
      <c r="H48" s="511"/>
      <c r="I48" s="511"/>
      <c r="J48" s="181">
        <f t="shared" si="2"/>
        <v>0</v>
      </c>
      <c r="K48" s="527"/>
      <c r="L48" s="936"/>
      <c r="M48" s="940"/>
      <c r="N48" s="108"/>
      <c r="P48" s="442"/>
      <c r="Q48" s="443"/>
      <c r="R48" s="443"/>
      <c r="S48" s="443"/>
      <c r="T48" s="443"/>
      <c r="U48" s="443"/>
      <c r="V48" s="443"/>
      <c r="W48" s="443"/>
      <c r="X48" s="443"/>
      <c r="Y48" s="443"/>
      <c r="Z48" s="443"/>
      <c r="AA48" s="443"/>
      <c r="AB48" s="443"/>
      <c r="AC48" s="444"/>
    </row>
    <row r="49" spans="2:29" ht="22.9" customHeight="1" thickBot="1">
      <c r="B49" s="119"/>
      <c r="C49" s="166" t="s">
        <v>405</v>
      </c>
      <c r="D49" s="167"/>
      <c r="E49" s="179"/>
      <c r="F49" s="179">
        <f>SUM(F42:F48)</f>
        <v>0</v>
      </c>
      <c r="G49" s="179">
        <f>SUM(G42:G48)</f>
        <v>0</v>
      </c>
      <c r="H49" s="179">
        <f>SUM(H42:H48)</f>
        <v>0</v>
      </c>
      <c r="I49" s="179">
        <f>SUM(I42:I48)</f>
        <v>0</v>
      </c>
      <c r="J49" s="179">
        <f>SUM(J42:J48)</f>
        <v>0</v>
      </c>
      <c r="K49" s="529"/>
      <c r="L49" s="179">
        <f>SUM(L42:L48)</f>
        <v>0</v>
      </c>
      <c r="M49" s="168"/>
      <c r="N49" s="108"/>
      <c r="P49" s="442"/>
      <c r="Q49" s="443"/>
      <c r="R49" s="443"/>
      <c r="S49" s="443"/>
      <c r="T49" s="443"/>
      <c r="U49" s="443"/>
      <c r="V49" s="443"/>
      <c r="W49" s="443"/>
      <c r="X49" s="443"/>
      <c r="Y49" s="443"/>
      <c r="Z49" s="443"/>
      <c r="AA49" s="443"/>
      <c r="AB49" s="443"/>
      <c r="AC49" s="444"/>
    </row>
    <row r="50" spans="2:29" ht="28.9" customHeight="1" thickBot="1">
      <c r="B50" s="119"/>
      <c r="C50" s="1172" t="s">
        <v>435</v>
      </c>
      <c r="D50" s="1172"/>
      <c r="E50" s="1172"/>
      <c r="F50" s="1172"/>
      <c r="G50" s="1172"/>
      <c r="H50" s="1172"/>
      <c r="I50" s="1172"/>
      <c r="J50" s="1172"/>
      <c r="K50" s="1172"/>
      <c r="L50" s="1172"/>
      <c r="M50" s="1172"/>
      <c r="N50" s="108"/>
      <c r="P50" s="442"/>
      <c r="Q50" s="443"/>
      <c r="R50" s="443"/>
      <c r="S50" s="443"/>
      <c r="T50" s="443"/>
      <c r="U50" s="443"/>
      <c r="V50" s="443"/>
      <c r="W50" s="443"/>
      <c r="X50" s="443"/>
      <c r="Y50" s="443"/>
      <c r="Z50" s="443"/>
      <c r="AA50" s="443"/>
      <c r="AB50" s="443"/>
      <c r="AC50" s="444"/>
    </row>
    <row r="51" spans="2:29" ht="22.9" customHeight="1">
      <c r="B51" s="119"/>
      <c r="C51" s="1167" t="s">
        <v>987</v>
      </c>
      <c r="D51" s="1164"/>
      <c r="E51" s="942"/>
      <c r="F51" s="506">
        <v>14014.41</v>
      </c>
      <c r="G51" s="514"/>
      <c r="H51" s="514"/>
      <c r="I51" s="514"/>
      <c r="J51" s="189">
        <f t="shared" ref="J51:J57" si="3">SUM(F51:I51)</f>
        <v>14014.41</v>
      </c>
      <c r="K51" s="521"/>
      <c r="L51" s="522"/>
      <c r="M51" s="1084" t="s">
        <v>988</v>
      </c>
      <c r="N51" s="108"/>
      <c r="P51" s="442"/>
      <c r="Q51" s="443"/>
      <c r="R51" s="443"/>
      <c r="S51" s="443"/>
      <c r="T51" s="443"/>
      <c r="U51" s="443"/>
      <c r="V51" s="443"/>
      <c r="W51" s="443"/>
      <c r="X51" s="443"/>
      <c r="Y51" s="443"/>
      <c r="Z51" s="443"/>
      <c r="AA51" s="443"/>
      <c r="AB51" s="443"/>
      <c r="AC51" s="444"/>
    </row>
    <row r="52" spans="2:29" ht="22.9" customHeight="1">
      <c r="B52" s="119"/>
      <c r="C52" s="1167" t="s">
        <v>989</v>
      </c>
      <c r="D52" s="1164"/>
      <c r="E52" s="942"/>
      <c r="F52" s="506">
        <v>217.63</v>
      </c>
      <c r="G52" s="507"/>
      <c r="H52" s="507"/>
      <c r="I52" s="507"/>
      <c r="J52" s="180">
        <f t="shared" si="3"/>
        <v>217.63</v>
      </c>
      <c r="K52" s="523"/>
      <c r="L52" s="524"/>
      <c r="M52" s="938"/>
      <c r="N52" s="108"/>
      <c r="P52" s="442"/>
      <c r="Q52" s="443"/>
      <c r="R52" s="443"/>
      <c r="S52" s="443"/>
      <c r="T52" s="443"/>
      <c r="U52" s="443"/>
      <c r="V52" s="443"/>
      <c r="W52" s="443"/>
      <c r="X52" s="443"/>
      <c r="Y52" s="443"/>
      <c r="Z52" s="443"/>
      <c r="AA52" s="443"/>
      <c r="AB52" s="443"/>
      <c r="AC52" s="444"/>
    </row>
    <row r="53" spans="2:29" ht="22.9" customHeight="1">
      <c r="B53" s="119"/>
      <c r="C53" s="1163"/>
      <c r="D53" s="1164"/>
      <c r="E53" s="942"/>
      <c r="F53" s="506"/>
      <c r="G53" s="507"/>
      <c r="H53" s="507"/>
      <c r="I53" s="507"/>
      <c r="J53" s="180">
        <f t="shared" si="3"/>
        <v>0</v>
      </c>
      <c r="K53" s="523"/>
      <c r="L53" s="524"/>
      <c r="M53" s="938"/>
      <c r="N53" s="108"/>
      <c r="P53" s="442"/>
      <c r="Q53" s="443"/>
      <c r="R53" s="443"/>
      <c r="S53" s="443"/>
      <c r="T53" s="443"/>
      <c r="U53" s="443"/>
      <c r="V53" s="443"/>
      <c r="W53" s="443"/>
      <c r="X53" s="443"/>
      <c r="Y53" s="443"/>
      <c r="Z53" s="443"/>
      <c r="AA53" s="443"/>
      <c r="AB53" s="443"/>
      <c r="AC53" s="444"/>
    </row>
    <row r="54" spans="2:29" ht="22.9" customHeight="1">
      <c r="B54" s="119"/>
      <c r="C54" s="1163"/>
      <c r="D54" s="1164"/>
      <c r="E54" s="942"/>
      <c r="F54" s="506"/>
      <c r="G54" s="507"/>
      <c r="H54" s="507"/>
      <c r="I54" s="507"/>
      <c r="J54" s="180">
        <f t="shared" si="3"/>
        <v>0</v>
      </c>
      <c r="K54" s="523"/>
      <c r="L54" s="524"/>
      <c r="M54" s="938"/>
      <c r="N54" s="108"/>
      <c r="P54" s="442"/>
      <c r="Q54" s="443"/>
      <c r="R54" s="443"/>
      <c r="S54" s="443"/>
      <c r="T54" s="443"/>
      <c r="U54" s="443"/>
      <c r="V54" s="443"/>
      <c r="W54" s="443"/>
      <c r="X54" s="443"/>
      <c r="Y54" s="443"/>
      <c r="Z54" s="443"/>
      <c r="AA54" s="443"/>
      <c r="AB54" s="443"/>
      <c r="AC54" s="444"/>
    </row>
    <row r="55" spans="2:29" ht="22.9" customHeight="1">
      <c r="B55" s="119"/>
      <c r="C55" s="1163"/>
      <c r="D55" s="1164"/>
      <c r="E55" s="943"/>
      <c r="F55" s="515"/>
      <c r="G55" s="516"/>
      <c r="H55" s="516"/>
      <c r="I55" s="516"/>
      <c r="J55" s="180">
        <f t="shared" si="3"/>
        <v>0</v>
      </c>
      <c r="K55" s="525"/>
      <c r="L55" s="526"/>
      <c r="M55" s="939"/>
      <c r="N55" s="108"/>
      <c r="P55" s="442"/>
      <c r="Q55" s="443"/>
      <c r="R55" s="443"/>
      <c r="S55" s="443"/>
      <c r="T55" s="443"/>
      <c r="U55" s="443"/>
      <c r="V55" s="443"/>
      <c r="W55" s="443"/>
      <c r="X55" s="443"/>
      <c r="Y55" s="443"/>
      <c r="Z55" s="443"/>
      <c r="AA55" s="443"/>
      <c r="AB55" s="443"/>
      <c r="AC55" s="444"/>
    </row>
    <row r="56" spans="2:29" ht="22.9" customHeight="1">
      <c r="B56" s="119"/>
      <c r="C56" s="1163"/>
      <c r="D56" s="1164"/>
      <c r="E56" s="943"/>
      <c r="F56" s="515"/>
      <c r="G56" s="516"/>
      <c r="H56" s="516"/>
      <c r="I56" s="516"/>
      <c r="J56" s="180">
        <f t="shared" si="3"/>
        <v>0</v>
      </c>
      <c r="K56" s="525"/>
      <c r="L56" s="526"/>
      <c r="M56" s="939"/>
      <c r="N56" s="108"/>
      <c r="P56" s="442"/>
      <c r="Q56" s="443"/>
      <c r="R56" s="443"/>
      <c r="S56" s="443"/>
      <c r="T56" s="443"/>
      <c r="U56" s="443"/>
      <c r="V56" s="443"/>
      <c r="W56" s="443"/>
      <c r="X56" s="443"/>
      <c r="Y56" s="443"/>
      <c r="Z56" s="443"/>
      <c r="AA56" s="443"/>
      <c r="AB56" s="443"/>
      <c r="AC56" s="444"/>
    </row>
    <row r="57" spans="2:29" ht="22.9" customHeight="1">
      <c r="B57" s="119"/>
      <c r="C57" s="1165"/>
      <c r="D57" s="1166"/>
      <c r="E57" s="944"/>
      <c r="F57" s="510"/>
      <c r="G57" s="511"/>
      <c r="H57" s="511"/>
      <c r="I57" s="511"/>
      <c r="J57" s="181">
        <f t="shared" si="3"/>
        <v>0</v>
      </c>
      <c r="K57" s="527"/>
      <c r="L57" s="528"/>
      <c r="M57" s="940"/>
      <c r="N57" s="108"/>
      <c r="P57" s="442"/>
      <c r="Q57" s="443"/>
      <c r="R57" s="443"/>
      <c r="S57" s="443"/>
      <c r="T57" s="443"/>
      <c r="U57" s="443"/>
      <c r="V57" s="443"/>
      <c r="W57" s="443"/>
      <c r="X57" s="443"/>
      <c r="Y57" s="443"/>
      <c r="Z57" s="443"/>
      <c r="AA57" s="443"/>
      <c r="AB57" s="443"/>
      <c r="AC57" s="444"/>
    </row>
    <row r="58" spans="2:29" ht="22.9" customHeight="1" thickBot="1">
      <c r="B58" s="119"/>
      <c r="C58" s="166" t="s">
        <v>405</v>
      </c>
      <c r="D58" s="167"/>
      <c r="E58" s="179"/>
      <c r="F58" s="179">
        <f>SUM(F51:F57)</f>
        <v>14232.039999999999</v>
      </c>
      <c r="G58" s="179">
        <f>SUM(G51:G57)</f>
        <v>0</v>
      </c>
      <c r="H58" s="179">
        <f>SUM(H51:H57)</f>
        <v>0</v>
      </c>
      <c r="I58" s="179">
        <f>SUM(I51:I57)</f>
        <v>0</v>
      </c>
      <c r="J58" s="179">
        <f>SUM(J51:J57)</f>
        <v>14232.039999999999</v>
      </c>
      <c r="K58" s="184"/>
      <c r="L58" s="179">
        <f>SUM(L51:L57)</f>
        <v>0</v>
      </c>
      <c r="M58" s="168"/>
      <c r="N58" s="108"/>
      <c r="P58" s="442"/>
      <c r="Q58" s="443"/>
      <c r="R58" s="443"/>
      <c r="S58" s="443"/>
      <c r="T58" s="443"/>
      <c r="U58" s="443"/>
      <c r="V58" s="443"/>
      <c r="W58" s="443"/>
      <c r="X58" s="443"/>
      <c r="Y58" s="443"/>
      <c r="Z58" s="443"/>
      <c r="AA58" s="443"/>
      <c r="AB58" s="443"/>
      <c r="AC58" s="444"/>
    </row>
    <row r="59" spans="2:29" ht="22.9" customHeight="1">
      <c r="B59" s="119"/>
      <c r="C59" s="156"/>
      <c r="D59" s="156"/>
      <c r="E59" s="157"/>
      <c r="F59" s="157"/>
      <c r="G59" s="157"/>
      <c r="H59" s="157"/>
      <c r="I59" s="157"/>
      <c r="J59" s="157"/>
      <c r="K59" s="157"/>
      <c r="L59" s="157"/>
      <c r="M59" s="157"/>
      <c r="N59" s="108"/>
      <c r="P59" s="442"/>
      <c r="Q59" s="443"/>
      <c r="R59" s="443"/>
      <c r="S59" s="443"/>
      <c r="T59" s="443"/>
      <c r="U59" s="443"/>
      <c r="V59" s="443"/>
      <c r="W59" s="443"/>
      <c r="X59" s="443"/>
      <c r="Y59" s="443"/>
      <c r="Z59" s="443"/>
      <c r="AA59" s="443"/>
      <c r="AB59" s="443"/>
      <c r="AC59" s="444"/>
    </row>
    <row r="60" spans="2:29" ht="22.9" customHeight="1">
      <c r="B60" s="119"/>
      <c r="C60" s="175" t="s">
        <v>416</v>
      </c>
      <c r="D60" s="173"/>
      <c r="E60" s="174"/>
      <c r="F60" s="174"/>
      <c r="G60" s="174"/>
      <c r="H60" s="174"/>
      <c r="I60" s="174"/>
      <c r="J60" s="174"/>
      <c r="K60" s="174"/>
      <c r="L60" s="174"/>
      <c r="M60" s="98"/>
      <c r="N60" s="108"/>
      <c r="P60" s="442"/>
      <c r="Q60" s="443"/>
      <c r="R60" s="443"/>
      <c r="S60" s="443"/>
      <c r="T60" s="443"/>
      <c r="U60" s="443"/>
      <c r="V60" s="443"/>
      <c r="W60" s="443"/>
      <c r="X60" s="443"/>
      <c r="Y60" s="443"/>
      <c r="Z60" s="443"/>
      <c r="AA60" s="443"/>
      <c r="AB60" s="443"/>
      <c r="AC60" s="444"/>
    </row>
    <row r="61" spans="2:29" ht="18">
      <c r="B61" s="119"/>
      <c r="C61" s="173" t="s">
        <v>436</v>
      </c>
      <c r="D61" s="173"/>
      <c r="E61" s="174"/>
      <c r="F61" s="174"/>
      <c r="G61" s="174"/>
      <c r="H61" s="174"/>
      <c r="I61" s="174"/>
      <c r="J61" s="174"/>
      <c r="K61" s="174"/>
      <c r="L61" s="174"/>
      <c r="M61" s="98"/>
      <c r="N61" s="108"/>
      <c r="P61" s="442"/>
      <c r="Q61" s="443"/>
      <c r="R61" s="443"/>
      <c r="S61" s="443"/>
      <c r="T61" s="443"/>
      <c r="U61" s="443"/>
      <c r="V61" s="443"/>
      <c r="W61" s="443"/>
      <c r="X61" s="443"/>
      <c r="Y61" s="443"/>
      <c r="Z61" s="443"/>
      <c r="AA61" s="443"/>
      <c r="AB61" s="443"/>
      <c r="AC61" s="444"/>
    </row>
    <row r="62" spans="2:29" ht="18">
      <c r="B62" s="119"/>
      <c r="C62" s="173" t="s">
        <v>437</v>
      </c>
      <c r="D62" s="173"/>
      <c r="E62" s="174"/>
      <c r="F62" s="174"/>
      <c r="G62" s="174"/>
      <c r="H62" s="174"/>
      <c r="I62" s="174"/>
      <c r="J62" s="174"/>
      <c r="K62" s="174"/>
      <c r="L62" s="174"/>
      <c r="M62" s="98"/>
      <c r="N62" s="108"/>
      <c r="P62" s="442"/>
      <c r="Q62" s="443"/>
      <c r="R62" s="443"/>
      <c r="S62" s="443"/>
      <c r="T62" s="443"/>
      <c r="U62" s="443"/>
      <c r="V62" s="443"/>
      <c r="W62" s="443"/>
      <c r="X62" s="443"/>
      <c r="Y62" s="443"/>
      <c r="Z62" s="443"/>
      <c r="AA62" s="443"/>
      <c r="AB62" s="443"/>
      <c r="AC62" s="444"/>
    </row>
    <row r="63" spans="2:29" ht="18">
      <c r="B63" s="119"/>
      <c r="C63" s="173" t="s">
        <v>438</v>
      </c>
      <c r="D63" s="173"/>
      <c r="E63" s="174"/>
      <c r="F63" s="174"/>
      <c r="G63" s="174"/>
      <c r="H63" s="174"/>
      <c r="I63" s="174"/>
      <c r="J63" s="174"/>
      <c r="K63" s="174"/>
      <c r="L63" s="174"/>
      <c r="M63" s="98"/>
      <c r="N63" s="108"/>
      <c r="P63" s="442"/>
      <c r="Q63" s="443"/>
      <c r="R63" s="443"/>
      <c r="S63" s="443"/>
      <c r="T63" s="443"/>
      <c r="U63" s="443"/>
      <c r="V63" s="443"/>
      <c r="W63" s="443"/>
      <c r="X63" s="443"/>
      <c r="Y63" s="443"/>
      <c r="Z63" s="443"/>
      <c r="AA63" s="443"/>
      <c r="AB63" s="443"/>
      <c r="AC63" s="444"/>
    </row>
    <row r="64" spans="2:29" ht="18">
      <c r="B64" s="119"/>
      <c r="C64" s="173" t="s">
        <v>439</v>
      </c>
      <c r="D64" s="173"/>
      <c r="E64" s="174"/>
      <c r="F64" s="174"/>
      <c r="G64" s="174"/>
      <c r="H64" s="174"/>
      <c r="I64" s="174"/>
      <c r="J64" s="174"/>
      <c r="K64" s="174"/>
      <c r="L64" s="174"/>
      <c r="M64" s="98"/>
      <c r="N64" s="108"/>
      <c r="P64" s="442"/>
      <c r="Q64" s="443"/>
      <c r="R64" s="443"/>
      <c r="S64" s="443"/>
      <c r="T64" s="443"/>
      <c r="U64" s="443"/>
      <c r="V64" s="443"/>
      <c r="W64" s="443"/>
      <c r="X64" s="443"/>
      <c r="Y64" s="443"/>
      <c r="Z64" s="443"/>
      <c r="AA64" s="443"/>
      <c r="AB64" s="443"/>
      <c r="AC64" s="444"/>
    </row>
    <row r="65" spans="2:29" ht="18">
      <c r="B65" s="119"/>
      <c r="C65" s="173" t="s">
        <v>440</v>
      </c>
      <c r="D65" s="173"/>
      <c r="E65" s="174"/>
      <c r="F65" s="174"/>
      <c r="G65" s="174"/>
      <c r="H65" s="174"/>
      <c r="I65" s="174"/>
      <c r="J65" s="174"/>
      <c r="K65" s="174"/>
      <c r="L65" s="174"/>
      <c r="M65" s="98"/>
      <c r="N65" s="108"/>
      <c r="P65" s="442"/>
      <c r="Q65" s="443"/>
      <c r="R65" s="443"/>
      <c r="S65" s="443"/>
      <c r="T65" s="443"/>
      <c r="U65" s="443"/>
      <c r="V65" s="443"/>
      <c r="W65" s="443"/>
      <c r="X65" s="443"/>
      <c r="Y65" s="443"/>
      <c r="Z65" s="443"/>
      <c r="AA65" s="443"/>
      <c r="AB65" s="443"/>
      <c r="AC65" s="444"/>
    </row>
    <row r="66" spans="2:29" ht="18">
      <c r="B66" s="119"/>
      <c r="C66" s="173" t="s">
        <v>826</v>
      </c>
      <c r="D66" s="173"/>
      <c r="E66" s="174"/>
      <c r="F66" s="174"/>
      <c r="G66" s="174"/>
      <c r="H66" s="174"/>
      <c r="I66" s="174"/>
      <c r="J66" s="174"/>
      <c r="K66" s="174"/>
      <c r="L66" s="174"/>
      <c r="M66" s="98"/>
      <c r="N66" s="108"/>
      <c r="P66" s="442"/>
      <c r="Q66" s="443"/>
      <c r="R66" s="443"/>
      <c r="S66" s="443"/>
      <c r="T66" s="443"/>
      <c r="U66" s="443"/>
      <c r="V66" s="443"/>
      <c r="W66" s="443"/>
      <c r="X66" s="443"/>
      <c r="Y66" s="443"/>
      <c r="Z66" s="443"/>
      <c r="AA66" s="443"/>
      <c r="AB66" s="443"/>
      <c r="AC66" s="444"/>
    </row>
    <row r="67" spans="2:29" ht="18">
      <c r="B67" s="119"/>
      <c r="C67" s="173" t="s">
        <v>728</v>
      </c>
      <c r="D67" s="173"/>
      <c r="E67" s="174"/>
      <c r="F67" s="174"/>
      <c r="G67" s="174"/>
      <c r="H67" s="174"/>
      <c r="I67" s="174"/>
      <c r="J67" s="174"/>
      <c r="K67" s="174"/>
      <c r="L67" s="174"/>
      <c r="M67" s="98"/>
      <c r="N67" s="108"/>
      <c r="P67" s="442"/>
      <c r="Q67" s="443"/>
      <c r="R67" s="443"/>
      <c r="S67" s="443"/>
      <c r="T67" s="443"/>
      <c r="U67" s="443"/>
      <c r="V67" s="443"/>
      <c r="W67" s="443"/>
      <c r="X67" s="443"/>
      <c r="Y67" s="443"/>
      <c r="Z67" s="443"/>
      <c r="AA67" s="443"/>
      <c r="AB67" s="443"/>
      <c r="AC67" s="444"/>
    </row>
    <row r="68" spans="2:29" ht="18">
      <c r="B68" s="119"/>
      <c r="C68" s="173" t="s">
        <v>441</v>
      </c>
      <c r="D68" s="173"/>
      <c r="E68" s="174"/>
      <c r="F68" s="174"/>
      <c r="G68" s="174"/>
      <c r="H68" s="174"/>
      <c r="I68" s="174"/>
      <c r="J68" s="174"/>
      <c r="K68" s="174"/>
      <c r="L68" s="174"/>
      <c r="M68" s="98"/>
      <c r="N68" s="108"/>
      <c r="P68" s="442"/>
      <c r="Q68" s="443"/>
      <c r="R68" s="443"/>
      <c r="S68" s="443"/>
      <c r="T68" s="443"/>
      <c r="U68" s="443"/>
      <c r="V68" s="443"/>
      <c r="W68" s="443"/>
      <c r="X68" s="443"/>
      <c r="Y68" s="443"/>
      <c r="Z68" s="443"/>
      <c r="AA68" s="443"/>
      <c r="AB68" s="443"/>
      <c r="AC68" s="444"/>
    </row>
    <row r="69" spans="2:29" ht="18">
      <c r="B69" s="119"/>
      <c r="C69" s="173" t="s">
        <v>442</v>
      </c>
      <c r="D69" s="173"/>
      <c r="E69" s="174"/>
      <c r="F69" s="174"/>
      <c r="G69" s="174"/>
      <c r="H69" s="174"/>
      <c r="I69" s="174"/>
      <c r="J69" s="174"/>
      <c r="K69" s="174"/>
      <c r="L69" s="174"/>
      <c r="M69" s="98"/>
      <c r="N69" s="108"/>
      <c r="P69" s="442"/>
      <c r="Q69" s="443"/>
      <c r="R69" s="443"/>
      <c r="S69" s="443"/>
      <c r="T69" s="443"/>
      <c r="U69" s="443"/>
      <c r="V69" s="443"/>
      <c r="W69" s="443"/>
      <c r="X69" s="443"/>
      <c r="Y69" s="443"/>
      <c r="Z69" s="443"/>
      <c r="AA69" s="443"/>
      <c r="AB69" s="443"/>
      <c r="AC69" s="444"/>
    </row>
    <row r="70" spans="2:29" ht="18">
      <c r="B70" s="119"/>
      <c r="C70" s="173" t="s">
        <v>443</v>
      </c>
      <c r="D70" s="173"/>
      <c r="E70" s="174"/>
      <c r="F70" s="174"/>
      <c r="G70" s="174"/>
      <c r="H70" s="174"/>
      <c r="I70" s="174"/>
      <c r="J70" s="174"/>
      <c r="K70" s="174"/>
      <c r="L70" s="174"/>
      <c r="M70" s="98"/>
      <c r="N70" s="108"/>
      <c r="P70" s="442"/>
      <c r="Q70" s="443"/>
      <c r="R70" s="443"/>
      <c r="S70" s="443"/>
      <c r="T70" s="443"/>
      <c r="U70" s="443"/>
      <c r="V70" s="443"/>
      <c r="W70" s="443"/>
      <c r="X70" s="443"/>
      <c r="Y70" s="443"/>
      <c r="Z70" s="443"/>
      <c r="AA70" s="443"/>
      <c r="AB70" s="443"/>
      <c r="AC70" s="444"/>
    </row>
    <row r="71" spans="2:29" ht="22.9" customHeight="1" thickBot="1">
      <c r="B71" s="123"/>
      <c r="C71" s="1128"/>
      <c r="D71" s="1128"/>
      <c r="E71" s="1128"/>
      <c r="F71" s="1128"/>
      <c r="G71" s="57"/>
      <c r="H71" s="57"/>
      <c r="I71" s="57"/>
      <c r="J71" s="57"/>
      <c r="K71" s="57"/>
      <c r="L71" s="57"/>
      <c r="M71" s="124"/>
      <c r="N71" s="125"/>
      <c r="P71" s="445"/>
      <c r="Q71" s="446"/>
      <c r="R71" s="446"/>
      <c r="S71" s="446"/>
      <c r="T71" s="446"/>
      <c r="U71" s="446"/>
      <c r="V71" s="446"/>
      <c r="W71" s="446"/>
      <c r="X71" s="446"/>
      <c r="Y71" s="446"/>
      <c r="Z71" s="446"/>
      <c r="AA71" s="446"/>
      <c r="AB71" s="446"/>
      <c r="AC71" s="447"/>
    </row>
    <row r="72" spans="2:29" ht="22.9" customHeight="1">
      <c r="C72" s="106"/>
      <c r="D72" s="106"/>
      <c r="E72" s="107"/>
      <c r="F72" s="107"/>
      <c r="G72" s="107"/>
      <c r="H72" s="107"/>
      <c r="I72" s="107"/>
      <c r="J72" s="107"/>
      <c r="K72" s="107"/>
      <c r="L72" s="107"/>
      <c r="M72" s="107"/>
    </row>
    <row r="73" spans="2:29" ht="12.75">
      <c r="C73" s="126" t="s">
        <v>77</v>
      </c>
      <c r="D73" s="106"/>
      <c r="E73" s="107"/>
      <c r="F73" s="107"/>
      <c r="G73" s="107"/>
      <c r="H73" s="107"/>
      <c r="I73" s="107"/>
      <c r="J73" s="107"/>
      <c r="K73" s="107"/>
      <c r="L73" s="107"/>
      <c r="M73" s="97" t="s">
        <v>52</v>
      </c>
    </row>
    <row r="74" spans="2:29" ht="12.75">
      <c r="C74" s="127" t="s">
        <v>78</v>
      </c>
      <c r="D74" s="106"/>
      <c r="E74" s="107"/>
      <c r="F74" s="107"/>
      <c r="G74" s="107"/>
      <c r="H74" s="107"/>
      <c r="I74" s="107"/>
      <c r="J74" s="107"/>
      <c r="K74" s="107"/>
      <c r="L74" s="107"/>
      <c r="M74" s="107"/>
    </row>
    <row r="75" spans="2:29" ht="12.75">
      <c r="C75" s="127" t="s">
        <v>79</v>
      </c>
      <c r="D75" s="106"/>
      <c r="E75" s="107"/>
      <c r="F75" s="107"/>
      <c r="G75" s="107"/>
      <c r="H75" s="107"/>
      <c r="I75" s="107"/>
      <c r="J75" s="107"/>
      <c r="K75" s="107"/>
      <c r="L75" s="107"/>
      <c r="M75" s="107"/>
    </row>
    <row r="76" spans="2:29" ht="12.75">
      <c r="C76" s="127" t="s">
        <v>80</v>
      </c>
      <c r="D76" s="106"/>
      <c r="E76" s="107"/>
      <c r="F76" s="107"/>
      <c r="G76" s="107"/>
      <c r="H76" s="107"/>
      <c r="I76" s="107"/>
      <c r="J76" s="107"/>
      <c r="K76" s="107"/>
      <c r="L76" s="107"/>
      <c r="M76" s="107"/>
    </row>
    <row r="77" spans="2:29" ht="12.75">
      <c r="C77" s="127" t="s">
        <v>81</v>
      </c>
      <c r="D77" s="106"/>
      <c r="E77" s="107"/>
      <c r="F77" s="107"/>
      <c r="G77" s="107"/>
      <c r="H77" s="107"/>
      <c r="I77" s="107"/>
      <c r="J77" s="107"/>
      <c r="K77" s="107"/>
      <c r="L77" s="107"/>
      <c r="M77" s="107"/>
    </row>
    <row r="78" spans="2:29" ht="22.9" customHeight="1">
      <c r="C78" s="106"/>
      <c r="D78" s="106"/>
      <c r="E78" s="107"/>
      <c r="F78" s="107"/>
      <c r="G78" s="107"/>
      <c r="H78" s="107"/>
      <c r="I78" s="107"/>
      <c r="J78" s="107"/>
      <c r="K78" s="107"/>
      <c r="L78" s="107"/>
      <c r="M78" s="107"/>
    </row>
    <row r="79" spans="2:29" ht="22.9" customHeight="1">
      <c r="C79" s="106"/>
      <c r="D79" s="106"/>
      <c r="E79" s="107"/>
      <c r="F79" s="107"/>
      <c r="G79" s="107"/>
      <c r="H79" s="107"/>
      <c r="I79" s="107"/>
      <c r="J79" s="107"/>
      <c r="K79" s="107"/>
      <c r="L79" s="107"/>
      <c r="M79" s="107"/>
    </row>
    <row r="80" spans="2:29" ht="22.9" customHeight="1">
      <c r="C80" s="106"/>
      <c r="D80" s="106"/>
      <c r="E80" s="107"/>
      <c r="F80" s="107"/>
      <c r="G80" s="107"/>
      <c r="H80" s="107"/>
      <c r="I80" s="107"/>
      <c r="J80" s="107"/>
      <c r="K80" s="107"/>
      <c r="L80" s="107"/>
      <c r="M80" s="107"/>
    </row>
    <row r="81" spans="3:13" ht="22.9" customHeight="1">
      <c r="C81" s="106"/>
      <c r="D81" s="106"/>
      <c r="E81" s="107"/>
      <c r="F81" s="107"/>
      <c r="G81" s="107"/>
      <c r="H81" s="107"/>
      <c r="I81" s="107"/>
      <c r="J81" s="107"/>
      <c r="K81" s="107"/>
      <c r="L81" s="107"/>
      <c r="M81" s="107"/>
    </row>
    <row r="82" spans="3:13" ht="22.9" customHeight="1">
      <c r="F82" s="107"/>
      <c r="G82" s="107"/>
      <c r="H82" s="107"/>
      <c r="I82" s="107"/>
      <c r="J82" s="107"/>
      <c r="K82" s="107"/>
      <c r="L82" s="107"/>
      <c r="M82" s="107"/>
    </row>
  </sheetData>
  <sheetProtection password="E059" sheet="1" objects="1" scenarios="1" insertRows="0"/>
  <mergeCells count="39">
    <mergeCell ref="C71:F71"/>
    <mergeCell ref="G15:I15"/>
    <mergeCell ref="C17:M17"/>
    <mergeCell ref="C26:M26"/>
    <mergeCell ref="G39:I39"/>
    <mergeCell ref="M39:M40"/>
    <mergeCell ref="C41:M41"/>
    <mergeCell ref="C50:M50"/>
    <mergeCell ref="C18:D18"/>
    <mergeCell ref="C19:D19"/>
    <mergeCell ref="C20:D20"/>
    <mergeCell ref="C21:D21"/>
    <mergeCell ref="C22:D22"/>
    <mergeCell ref="C23:D23"/>
    <mergeCell ref="C27:D27"/>
    <mergeCell ref="C28:D28"/>
    <mergeCell ref="M6:M7"/>
    <mergeCell ref="D9:M9"/>
    <mergeCell ref="C12:D12"/>
    <mergeCell ref="M15:M16"/>
    <mergeCell ref="C29:D29"/>
    <mergeCell ref="C30:D30"/>
    <mergeCell ref="C31:D31"/>
    <mergeCell ref="C32:D32"/>
    <mergeCell ref="C33:D33"/>
    <mergeCell ref="C42:D42"/>
    <mergeCell ref="C43:D43"/>
    <mergeCell ref="C44:D44"/>
    <mergeCell ref="C45:D45"/>
    <mergeCell ref="C46:D46"/>
    <mergeCell ref="C54:D54"/>
    <mergeCell ref="C55:D55"/>
    <mergeCell ref="C56:D56"/>
    <mergeCell ref="C57:D57"/>
    <mergeCell ref="C47:D47"/>
    <mergeCell ref="C48:D48"/>
    <mergeCell ref="C51:D51"/>
    <mergeCell ref="C52:D52"/>
    <mergeCell ref="C53:D53"/>
  </mergeCells>
  <phoneticPr fontId="22" type="noConversion"/>
  <printOptions horizontalCentered="1" verticalCentered="1"/>
  <pageMargins left="0.35629921259842523" right="0.35629921259842523" top="0.60629921259842523" bottom="0.60629921259842523" header="0.5" footer="0.5"/>
  <pageSetup paperSize="9" scale="40" orientation="portrait" horizontalDpi="4294967292" verticalDpi="4294967292" r:id="rId1"/>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AB120"/>
  <sheetViews>
    <sheetView zoomScale="70" zoomScaleNormal="70" zoomScalePageLayoutView="70" workbookViewId="0">
      <selection activeCell="O24" sqref="O24"/>
    </sheetView>
  </sheetViews>
  <sheetFormatPr baseColWidth="10" defaultColWidth="10.77734375" defaultRowHeight="22.9" customHeight="1"/>
  <cols>
    <col min="1" max="2" width="3.21875" style="99" customWidth="1"/>
    <col min="3" max="3" width="13.5546875" style="99" customWidth="1"/>
    <col min="4" max="4" width="15.77734375" style="99" customWidth="1"/>
    <col min="5" max="5" width="27.77734375" style="100" customWidth="1"/>
    <col min="6" max="9" width="15.21875" style="100" customWidth="1"/>
    <col min="10" max="12" width="9.77734375" style="100" customWidth="1"/>
    <col min="13" max="13" width="3.21875" style="99" customWidth="1"/>
    <col min="14" max="16384" width="10.77734375" style="99"/>
  </cols>
  <sheetData>
    <row r="2" spans="2:28" ht="22.9" customHeight="1">
      <c r="D2" s="221" t="s">
        <v>379</v>
      </c>
    </row>
    <row r="3" spans="2:28" ht="22.9" customHeight="1">
      <c r="D3" s="221" t="s">
        <v>380</v>
      </c>
    </row>
    <row r="4" spans="2:28" ht="22.9" customHeight="1" thickBot="1"/>
    <row r="5" spans="2:28" ht="9" customHeight="1">
      <c r="B5" s="101"/>
      <c r="C5" s="102"/>
      <c r="D5" s="102"/>
      <c r="E5" s="103"/>
      <c r="F5" s="103"/>
      <c r="G5" s="103"/>
      <c r="H5" s="103"/>
      <c r="I5" s="103"/>
      <c r="J5" s="103"/>
      <c r="K5" s="103"/>
      <c r="L5" s="103"/>
      <c r="M5" s="104"/>
      <c r="O5" s="426"/>
      <c r="P5" s="427"/>
      <c r="Q5" s="427"/>
      <c r="R5" s="427"/>
      <c r="S5" s="427"/>
      <c r="T5" s="427"/>
      <c r="U5" s="427"/>
      <c r="V5" s="427"/>
      <c r="W5" s="427"/>
      <c r="X5" s="427"/>
      <c r="Y5" s="427"/>
      <c r="Z5" s="427"/>
      <c r="AA5" s="427"/>
      <c r="AB5" s="428"/>
    </row>
    <row r="6" spans="2:28" ht="30" customHeight="1">
      <c r="B6" s="105"/>
      <c r="C6" s="69" t="s">
        <v>0</v>
      </c>
      <c r="D6" s="106"/>
      <c r="E6" s="107"/>
      <c r="F6" s="107"/>
      <c r="G6" s="107"/>
      <c r="H6" s="107"/>
      <c r="I6" s="107"/>
      <c r="J6" s="107"/>
      <c r="K6" s="107"/>
      <c r="L6" s="1105">
        <f>ejercicio</f>
        <v>2018</v>
      </c>
      <c r="M6" s="108"/>
      <c r="O6" s="429"/>
      <c r="P6" s="430" t="s">
        <v>707</v>
      </c>
      <c r="Q6" s="431"/>
      <c r="R6" s="431"/>
      <c r="S6" s="431"/>
      <c r="T6" s="431"/>
      <c r="U6" s="431"/>
      <c r="V6" s="431"/>
      <c r="W6" s="431"/>
      <c r="X6" s="431"/>
      <c r="Y6" s="431"/>
      <c r="Z6" s="431"/>
      <c r="AA6" s="431"/>
      <c r="AB6" s="432"/>
    </row>
    <row r="7" spans="2:28" ht="30" customHeight="1">
      <c r="B7" s="105"/>
      <c r="C7" s="69" t="s">
        <v>1</v>
      </c>
      <c r="D7" s="106"/>
      <c r="E7" s="107"/>
      <c r="F7" s="107"/>
      <c r="G7" s="107"/>
      <c r="H7" s="107"/>
      <c r="I7" s="107"/>
      <c r="J7" s="107"/>
      <c r="K7" s="107"/>
      <c r="L7" s="1105"/>
      <c r="M7" s="108"/>
      <c r="O7" s="429"/>
      <c r="P7" s="431"/>
      <c r="Q7" s="431"/>
      <c r="R7" s="431"/>
      <c r="S7" s="431"/>
      <c r="T7" s="431"/>
      <c r="U7" s="431"/>
      <c r="V7" s="431"/>
      <c r="W7" s="431"/>
      <c r="X7" s="431"/>
      <c r="Y7" s="431"/>
      <c r="Z7" s="431"/>
      <c r="AA7" s="431"/>
      <c r="AB7" s="432"/>
    </row>
    <row r="8" spans="2:28" ht="30" customHeight="1">
      <c r="B8" s="105"/>
      <c r="C8" s="109"/>
      <c r="D8" s="106"/>
      <c r="E8" s="107"/>
      <c r="F8" s="107"/>
      <c r="G8" s="107"/>
      <c r="H8" s="107"/>
      <c r="I8" s="107"/>
      <c r="J8" s="107"/>
      <c r="K8" s="107"/>
      <c r="L8" s="110"/>
      <c r="M8" s="108"/>
      <c r="O8" s="429"/>
      <c r="P8" s="431"/>
      <c r="Q8" s="431"/>
      <c r="R8" s="431"/>
      <c r="S8" s="431"/>
      <c r="T8" s="431"/>
      <c r="U8" s="431"/>
      <c r="V8" s="431"/>
      <c r="W8" s="431"/>
      <c r="X8" s="431"/>
      <c r="Y8" s="431"/>
      <c r="Z8" s="431"/>
      <c r="AA8" s="431"/>
      <c r="AB8" s="432"/>
    </row>
    <row r="9" spans="2:28" s="194" customFormat="1" ht="30" customHeight="1">
      <c r="B9" s="192"/>
      <c r="C9" s="56" t="s">
        <v>2</v>
      </c>
      <c r="D9" s="1129" t="str">
        <f>Entidad</f>
        <v>METROPOLITANO DE TENERIFE, S.A.</v>
      </c>
      <c r="E9" s="1129"/>
      <c r="F9" s="1129"/>
      <c r="G9" s="1129"/>
      <c r="H9" s="1129"/>
      <c r="I9" s="1129"/>
      <c r="J9" s="1129"/>
      <c r="K9" s="1129"/>
      <c r="L9" s="1129"/>
      <c r="M9" s="193"/>
      <c r="O9" s="429"/>
      <c r="P9" s="431"/>
      <c r="Q9" s="431"/>
      <c r="R9" s="431"/>
      <c r="S9" s="431"/>
      <c r="T9" s="431"/>
      <c r="U9" s="431"/>
      <c r="V9" s="431"/>
      <c r="W9" s="431"/>
      <c r="X9" s="431"/>
      <c r="Y9" s="431"/>
      <c r="Z9" s="431"/>
      <c r="AA9" s="431"/>
      <c r="AB9" s="432"/>
    </row>
    <row r="10" spans="2:28" ht="7.15" customHeight="1">
      <c r="B10" s="105"/>
      <c r="C10" s="106"/>
      <c r="D10" s="106"/>
      <c r="E10" s="107"/>
      <c r="F10" s="107"/>
      <c r="G10" s="107"/>
      <c r="H10" s="107"/>
      <c r="I10" s="107"/>
      <c r="J10" s="107"/>
      <c r="K10" s="107"/>
      <c r="L10" s="107"/>
      <c r="M10" s="108"/>
      <c r="O10" s="429"/>
      <c r="P10" s="431"/>
      <c r="Q10" s="431"/>
      <c r="R10" s="431"/>
      <c r="S10" s="431"/>
      <c r="T10" s="431"/>
      <c r="U10" s="431"/>
      <c r="V10" s="431"/>
      <c r="W10" s="431"/>
      <c r="X10" s="431"/>
      <c r="Y10" s="431"/>
      <c r="Z10" s="431"/>
      <c r="AA10" s="431"/>
      <c r="AB10" s="432"/>
    </row>
    <row r="11" spans="2:28" s="117" customFormat="1" ht="30" customHeight="1">
      <c r="B11" s="113"/>
      <c r="C11" s="114" t="s">
        <v>854</v>
      </c>
      <c r="D11" s="114"/>
      <c r="E11" s="115"/>
      <c r="F11" s="115"/>
      <c r="G11" s="115"/>
      <c r="H11" s="115"/>
      <c r="I11" s="115"/>
      <c r="J11" s="115"/>
      <c r="K11" s="115"/>
      <c r="L11" s="115"/>
      <c r="M11" s="116"/>
      <c r="O11" s="429"/>
      <c r="P11" s="431"/>
      <c r="Q11" s="431"/>
      <c r="R11" s="431"/>
      <c r="S11" s="431"/>
      <c r="T11" s="431"/>
      <c r="U11" s="431"/>
      <c r="V11" s="431"/>
      <c r="W11" s="431"/>
      <c r="X11" s="431"/>
      <c r="Y11" s="431"/>
      <c r="Z11" s="431"/>
      <c r="AA11" s="431"/>
      <c r="AB11" s="432"/>
    </row>
    <row r="12" spans="2:28" s="117" customFormat="1" ht="30" customHeight="1">
      <c r="B12" s="113"/>
      <c r="C12" s="1170"/>
      <c r="D12" s="1170"/>
      <c r="E12" s="98"/>
      <c r="F12" s="98"/>
      <c r="G12" s="98"/>
      <c r="H12" s="98"/>
      <c r="I12" s="98"/>
      <c r="J12" s="98"/>
      <c r="K12" s="98"/>
      <c r="L12" s="98"/>
      <c r="M12" s="116"/>
      <c r="O12" s="429"/>
      <c r="P12" s="431"/>
      <c r="Q12" s="431"/>
      <c r="R12" s="431"/>
      <c r="S12" s="431"/>
      <c r="T12" s="431"/>
      <c r="U12" s="431"/>
      <c r="V12" s="431"/>
      <c r="W12" s="431"/>
      <c r="X12" s="431"/>
      <c r="Y12" s="431"/>
      <c r="Z12" s="431"/>
      <c r="AA12" s="431"/>
      <c r="AB12" s="432"/>
    </row>
    <row r="13" spans="2:28" s="117" customFormat="1" ht="30" customHeight="1">
      <c r="B13" s="113"/>
      <c r="C13" s="68" t="s">
        <v>444</v>
      </c>
      <c r="D13" s="22"/>
      <c r="E13" s="98"/>
      <c r="F13" s="98"/>
      <c r="G13" s="98"/>
      <c r="H13" s="98"/>
      <c r="I13" s="98"/>
      <c r="J13" s="98"/>
      <c r="K13" s="98"/>
      <c r="L13" s="98"/>
      <c r="M13" s="116"/>
      <c r="O13" s="429"/>
      <c r="P13" s="431"/>
      <c r="Q13" s="431"/>
      <c r="R13" s="431"/>
      <c r="S13" s="431"/>
      <c r="T13" s="431"/>
      <c r="U13" s="431"/>
      <c r="V13" s="431"/>
      <c r="W13" s="431"/>
      <c r="X13" s="431"/>
      <c r="Y13" s="431"/>
      <c r="Z13" s="431"/>
      <c r="AA13" s="431"/>
      <c r="AB13" s="432"/>
    </row>
    <row r="14" spans="2:28" s="117" customFormat="1" ht="30" customHeight="1">
      <c r="B14" s="113"/>
      <c r="C14" s="22" t="s">
        <v>445</v>
      </c>
      <c r="D14" s="22"/>
      <c r="E14" s="98"/>
      <c r="F14" s="98"/>
      <c r="G14" s="98"/>
      <c r="H14" s="98"/>
      <c r="I14" s="98"/>
      <c r="J14" s="98"/>
      <c r="K14" s="98"/>
      <c r="L14" s="98"/>
      <c r="M14" s="116"/>
      <c r="O14" s="429"/>
      <c r="P14" s="431"/>
      <c r="Q14" s="431"/>
      <c r="R14" s="431"/>
      <c r="S14" s="431"/>
      <c r="T14" s="431"/>
      <c r="U14" s="431"/>
      <c r="V14" s="431"/>
      <c r="W14" s="431"/>
      <c r="X14" s="431"/>
      <c r="Y14" s="431"/>
      <c r="Z14" s="431"/>
      <c r="AA14" s="431"/>
      <c r="AB14" s="432"/>
    </row>
    <row r="15" spans="2:28" s="1005" customFormat="1" ht="36" customHeight="1">
      <c r="B15" s="1006"/>
      <c r="C15" s="1178" t="s">
        <v>852</v>
      </c>
      <c r="D15" s="1179"/>
      <c r="E15" s="1007"/>
      <c r="F15" s="1176" t="s">
        <v>858</v>
      </c>
      <c r="G15" s="1177"/>
      <c r="H15" s="1176" t="s">
        <v>857</v>
      </c>
      <c r="I15" s="1177"/>
      <c r="J15" s="1008"/>
      <c r="K15" s="1008"/>
      <c r="L15" s="1008"/>
      <c r="M15" s="1009"/>
      <c r="O15" s="1010"/>
      <c r="P15" s="1011"/>
      <c r="Q15" s="1011"/>
      <c r="R15" s="1011"/>
      <c r="S15" s="1011"/>
      <c r="T15" s="1011"/>
      <c r="U15" s="1011"/>
      <c r="V15" s="1011"/>
      <c r="W15" s="1011"/>
      <c r="X15" s="1011"/>
      <c r="Y15" s="1011"/>
      <c r="Z15" s="1011"/>
      <c r="AA15" s="1011"/>
      <c r="AB15" s="1012"/>
    </row>
    <row r="16" spans="2:28" s="1013" customFormat="1" ht="22.9" customHeight="1">
      <c r="B16" s="1014"/>
      <c r="C16" s="1174" t="s">
        <v>853</v>
      </c>
      <c r="D16" s="1175"/>
      <c r="E16" s="1015" t="s">
        <v>446</v>
      </c>
      <c r="F16" s="1008">
        <f>ejercicio-1</f>
        <v>2017</v>
      </c>
      <c r="G16" s="1008">
        <f>ejercicio</f>
        <v>2018</v>
      </c>
      <c r="H16" s="1008">
        <f>ejercicio-1</f>
        <v>2017</v>
      </c>
      <c r="I16" s="1008">
        <f>ejercicio</f>
        <v>2018</v>
      </c>
      <c r="J16" s="1008" t="s">
        <v>448</v>
      </c>
      <c r="K16" s="1008" t="s">
        <v>450</v>
      </c>
      <c r="L16" s="1008" t="s">
        <v>449</v>
      </c>
      <c r="M16" s="1016"/>
      <c r="O16" s="1010"/>
      <c r="P16" s="1011"/>
      <c r="Q16" s="1011"/>
      <c r="R16" s="1011"/>
      <c r="S16" s="1011"/>
      <c r="T16" s="1011"/>
      <c r="U16" s="1011"/>
      <c r="V16" s="1011"/>
      <c r="W16" s="1011"/>
      <c r="X16" s="1011"/>
      <c r="Y16" s="1011"/>
      <c r="Z16" s="1011"/>
      <c r="AA16" s="1011"/>
      <c r="AB16" s="1012"/>
    </row>
    <row r="17" spans="1:28" s="194" customFormat="1" ht="7.9" customHeight="1">
      <c r="B17" s="192"/>
      <c r="C17" s="69"/>
      <c r="D17" s="69"/>
      <c r="E17" s="191"/>
      <c r="F17" s="191"/>
      <c r="G17" s="191"/>
      <c r="H17" s="191"/>
      <c r="I17" s="191"/>
      <c r="J17" s="191"/>
      <c r="K17" s="191"/>
      <c r="L17" s="191"/>
      <c r="M17" s="193"/>
      <c r="O17" s="429"/>
      <c r="P17" s="431"/>
      <c r="Q17" s="431"/>
      <c r="R17" s="431"/>
      <c r="S17" s="431"/>
      <c r="T17" s="431"/>
      <c r="U17" s="431"/>
      <c r="V17" s="431"/>
      <c r="W17" s="431"/>
      <c r="X17" s="431"/>
      <c r="Y17" s="431"/>
      <c r="Z17" s="431"/>
      <c r="AA17" s="431"/>
      <c r="AB17" s="432"/>
    </row>
    <row r="18" spans="1:28" s="122" customFormat="1" ht="22.9" customHeight="1">
      <c r="A18" s="194"/>
      <c r="B18" s="192"/>
      <c r="C18" s="1190" t="s">
        <v>729</v>
      </c>
      <c r="D18" s="1191"/>
      <c r="E18" s="1192"/>
      <c r="F18" s="531">
        <v>24253397.800000001</v>
      </c>
      <c r="G18" s="530">
        <v>26192000.23</v>
      </c>
      <c r="H18" s="865"/>
      <c r="I18" s="865"/>
      <c r="J18" s="865"/>
      <c r="K18" s="865"/>
      <c r="L18" s="865"/>
      <c r="M18" s="120"/>
      <c r="O18" s="429"/>
      <c r="P18" s="431"/>
      <c r="Q18" s="431"/>
      <c r="R18" s="431"/>
      <c r="S18" s="431"/>
      <c r="T18" s="431"/>
      <c r="U18" s="431"/>
      <c r="V18" s="431"/>
      <c r="W18" s="431"/>
      <c r="X18" s="431"/>
      <c r="Y18" s="431"/>
      <c r="Z18" s="431"/>
      <c r="AA18" s="431"/>
      <c r="AB18" s="432"/>
    </row>
    <row r="19" spans="1:28" s="122" customFormat="1" ht="9" customHeight="1">
      <c r="A19" s="194"/>
      <c r="B19" s="192"/>
      <c r="C19" s="32"/>
      <c r="D19" s="32"/>
      <c r="E19" s="532"/>
      <c r="F19" s="532"/>
      <c r="G19" s="532"/>
      <c r="H19" s="532"/>
      <c r="I19" s="532"/>
      <c r="J19" s="945"/>
      <c r="K19" s="945"/>
      <c r="L19" s="945"/>
      <c r="M19" s="120"/>
      <c r="O19" s="429"/>
      <c r="P19" s="431"/>
      <c r="Q19" s="431"/>
      <c r="R19" s="431"/>
      <c r="S19" s="431"/>
      <c r="T19" s="431"/>
      <c r="U19" s="431"/>
      <c r="V19" s="431"/>
      <c r="W19" s="431"/>
      <c r="X19" s="431"/>
      <c r="Y19" s="431"/>
      <c r="Z19" s="431"/>
      <c r="AA19" s="431"/>
      <c r="AB19" s="432"/>
    </row>
    <row r="20" spans="1:28" s="122" customFormat="1" ht="22.9" customHeight="1">
      <c r="A20" s="194"/>
      <c r="B20" s="192"/>
      <c r="C20" s="1085" t="s">
        <v>990</v>
      </c>
      <c r="D20" s="591"/>
      <c r="E20" s="1086" t="s">
        <v>533</v>
      </c>
      <c r="F20" s="502">
        <v>2860000</v>
      </c>
      <c r="G20" s="533">
        <v>0</v>
      </c>
      <c r="H20" s="1000">
        <v>0</v>
      </c>
      <c r="I20" s="1000">
        <v>0</v>
      </c>
      <c r="J20" s="946"/>
      <c r="K20" s="946"/>
      <c r="L20" s="947"/>
      <c r="M20" s="120"/>
      <c r="O20" s="429"/>
      <c r="P20" s="431"/>
      <c r="Q20" s="431"/>
      <c r="R20" s="431"/>
      <c r="S20" s="431"/>
      <c r="T20" s="431"/>
      <c r="U20" s="431"/>
      <c r="V20" s="431"/>
      <c r="W20" s="431"/>
      <c r="X20" s="431"/>
      <c r="Y20" s="431"/>
      <c r="Z20" s="431"/>
      <c r="AA20" s="431"/>
      <c r="AB20" s="432"/>
    </row>
    <row r="21" spans="1:28" s="122" customFormat="1" ht="22.9" customHeight="1">
      <c r="B21" s="119"/>
      <c r="C21" s="1067" t="s">
        <v>1032</v>
      </c>
      <c r="D21" s="593"/>
      <c r="E21" s="1086" t="s">
        <v>533</v>
      </c>
      <c r="F21" s="513"/>
      <c r="G21" s="535"/>
      <c r="H21" s="1001">
        <v>279136.39</v>
      </c>
      <c r="I21" s="1001">
        <v>372181.86</v>
      </c>
      <c r="J21" s="948"/>
      <c r="K21" s="948"/>
      <c r="L21" s="949"/>
      <c r="M21" s="120"/>
      <c r="O21" s="429" t="s">
        <v>1039</v>
      </c>
      <c r="P21" s="431"/>
      <c r="Q21" s="431"/>
      <c r="R21" s="431"/>
      <c r="S21" s="431"/>
      <c r="T21" s="431"/>
      <c r="U21" s="431"/>
      <c r="V21" s="431"/>
      <c r="W21" s="431"/>
      <c r="X21" s="431"/>
      <c r="Y21" s="431"/>
      <c r="Z21" s="431"/>
      <c r="AA21" s="431"/>
      <c r="AB21" s="432"/>
    </row>
    <row r="22" spans="1:28" s="122" customFormat="1" ht="22.9" customHeight="1">
      <c r="B22" s="119"/>
      <c r="C22" s="1067" t="s">
        <v>1033</v>
      </c>
      <c r="D22" s="593"/>
      <c r="E22" s="1086" t="s">
        <v>533</v>
      </c>
      <c r="F22" s="513"/>
      <c r="G22" s="535"/>
      <c r="H22" s="1001">
        <v>8986.77</v>
      </c>
      <c r="I22" s="1001">
        <v>8986.77</v>
      </c>
      <c r="J22" s="948"/>
      <c r="K22" s="948"/>
      <c r="L22" s="949"/>
      <c r="M22" s="120"/>
      <c r="O22" s="429" t="s">
        <v>1034</v>
      </c>
      <c r="P22" s="431"/>
      <c r="Q22" s="431"/>
      <c r="R22" s="431"/>
      <c r="S22" s="431"/>
      <c r="T22" s="431"/>
      <c r="U22" s="431"/>
      <c r="V22" s="431"/>
      <c r="W22" s="431"/>
      <c r="X22" s="431"/>
      <c r="Y22" s="431"/>
      <c r="Z22" s="431"/>
      <c r="AA22" s="431"/>
      <c r="AB22" s="432"/>
    </row>
    <row r="23" spans="1:28" s="122" customFormat="1" ht="22.9" customHeight="1">
      <c r="B23" s="119"/>
      <c r="C23" s="592"/>
      <c r="D23" s="593"/>
      <c r="E23" s="586"/>
      <c r="F23" s="513"/>
      <c r="G23" s="535"/>
      <c r="H23" s="1001"/>
      <c r="I23" s="1001"/>
      <c r="J23" s="948"/>
      <c r="K23" s="948"/>
      <c r="L23" s="949"/>
      <c r="M23" s="120"/>
      <c r="O23" s="429" t="s">
        <v>1035</v>
      </c>
      <c r="P23" s="431"/>
      <c r="Q23" s="431"/>
      <c r="R23" s="431"/>
      <c r="S23" s="431"/>
      <c r="T23" s="431"/>
      <c r="U23" s="431"/>
      <c r="V23" s="431"/>
      <c r="W23" s="431"/>
      <c r="X23" s="431"/>
      <c r="Y23" s="431"/>
      <c r="Z23" s="431"/>
      <c r="AA23" s="431"/>
      <c r="AB23" s="432"/>
    </row>
    <row r="24" spans="1:28" ht="22.9" customHeight="1">
      <c r="B24" s="119"/>
      <c r="C24" s="592"/>
      <c r="D24" s="593"/>
      <c r="E24" s="587"/>
      <c r="F24" s="506"/>
      <c r="G24" s="536"/>
      <c r="H24" s="1002"/>
      <c r="I24" s="1002"/>
      <c r="J24" s="950"/>
      <c r="K24" s="950"/>
      <c r="L24" s="951"/>
      <c r="M24" s="108"/>
      <c r="O24" s="429" t="s">
        <v>1041</v>
      </c>
      <c r="P24" s="431"/>
      <c r="Q24" s="431"/>
      <c r="R24" s="431"/>
      <c r="S24" s="431"/>
      <c r="T24" s="431"/>
      <c r="U24" s="431"/>
      <c r="V24" s="431"/>
      <c r="W24" s="431"/>
      <c r="X24" s="431"/>
      <c r="Y24" s="431"/>
      <c r="Z24" s="431"/>
      <c r="AA24" s="431"/>
      <c r="AB24" s="432"/>
    </row>
    <row r="25" spans="1:28" ht="22.9" customHeight="1">
      <c r="B25" s="119"/>
      <c r="C25" s="592"/>
      <c r="D25" s="593"/>
      <c r="E25" s="587"/>
      <c r="F25" s="506"/>
      <c r="G25" s="536"/>
      <c r="H25" s="1002"/>
      <c r="I25" s="1002"/>
      <c r="J25" s="950"/>
      <c r="K25" s="950"/>
      <c r="L25" s="951"/>
      <c r="M25" s="108"/>
      <c r="O25" s="429"/>
      <c r="P25" s="431"/>
      <c r="Q25" s="431"/>
      <c r="R25" s="431"/>
      <c r="S25" s="431"/>
      <c r="T25" s="431"/>
      <c r="U25" s="431"/>
      <c r="V25" s="431"/>
      <c r="W25" s="431"/>
      <c r="X25" s="431"/>
      <c r="Y25" s="431"/>
      <c r="Z25" s="431"/>
      <c r="AA25" s="431"/>
      <c r="AB25" s="432"/>
    </row>
    <row r="26" spans="1:28" ht="22.9" customHeight="1">
      <c r="B26" s="119"/>
      <c r="C26" s="592"/>
      <c r="D26" s="593"/>
      <c r="E26" s="587"/>
      <c r="F26" s="506"/>
      <c r="G26" s="536"/>
      <c r="H26" s="1002"/>
      <c r="I26" s="1002"/>
      <c r="J26" s="950"/>
      <c r="K26" s="950"/>
      <c r="L26" s="951"/>
      <c r="M26" s="108"/>
      <c r="O26" s="429"/>
      <c r="P26" s="431"/>
      <c r="Q26" s="431"/>
      <c r="R26" s="431"/>
      <c r="S26" s="431"/>
      <c r="T26" s="431"/>
      <c r="U26" s="431"/>
      <c r="V26" s="431"/>
      <c r="W26" s="431"/>
      <c r="X26" s="431"/>
      <c r="Y26" s="431"/>
      <c r="Z26" s="431"/>
      <c r="AA26" s="431"/>
      <c r="AB26" s="432"/>
    </row>
    <row r="27" spans="1:28" ht="22.9" customHeight="1">
      <c r="B27" s="119"/>
      <c r="C27" s="592"/>
      <c r="D27" s="593"/>
      <c r="E27" s="588"/>
      <c r="F27" s="515"/>
      <c r="G27" s="537"/>
      <c r="H27" s="1003"/>
      <c r="I27" s="1003"/>
      <c r="J27" s="952"/>
      <c r="K27" s="952"/>
      <c r="L27" s="953"/>
      <c r="M27" s="108"/>
      <c r="O27" s="429"/>
      <c r="P27" s="431"/>
      <c r="Q27" s="431"/>
      <c r="R27" s="431"/>
      <c r="S27" s="431"/>
      <c r="T27" s="431"/>
      <c r="U27" s="431"/>
      <c r="V27" s="431"/>
      <c r="W27" s="431"/>
      <c r="X27" s="431"/>
      <c r="Y27" s="431"/>
      <c r="Z27" s="431"/>
      <c r="AA27" s="431"/>
      <c r="AB27" s="432"/>
    </row>
    <row r="28" spans="1:28" ht="22.9" customHeight="1">
      <c r="B28" s="119"/>
      <c r="C28" s="592"/>
      <c r="D28" s="593"/>
      <c r="E28" s="588"/>
      <c r="F28" s="515"/>
      <c r="G28" s="537"/>
      <c r="H28" s="1003"/>
      <c r="I28" s="1003"/>
      <c r="J28" s="952"/>
      <c r="K28" s="952"/>
      <c r="L28" s="953"/>
      <c r="M28" s="108"/>
      <c r="O28" s="429"/>
      <c r="P28" s="431"/>
      <c r="Q28" s="431"/>
      <c r="R28" s="431"/>
      <c r="S28" s="431"/>
      <c r="T28" s="431"/>
      <c r="U28" s="431"/>
      <c r="V28" s="431"/>
      <c r="W28" s="431"/>
      <c r="X28" s="431"/>
      <c r="Y28" s="431"/>
      <c r="Z28" s="431"/>
      <c r="AA28" s="431"/>
      <c r="AB28" s="432"/>
    </row>
    <row r="29" spans="1:28" ht="22.9" customHeight="1">
      <c r="B29" s="119"/>
      <c r="C29" s="594"/>
      <c r="D29" s="595"/>
      <c r="E29" s="589"/>
      <c r="F29" s="510"/>
      <c r="G29" s="538"/>
      <c r="H29" s="1004"/>
      <c r="I29" s="1004"/>
      <c r="J29" s="954"/>
      <c r="K29" s="954"/>
      <c r="L29" s="955"/>
      <c r="M29" s="108"/>
      <c r="O29" s="429"/>
      <c r="P29" s="431"/>
      <c r="Q29" s="431"/>
      <c r="R29" s="431"/>
      <c r="S29" s="431"/>
      <c r="T29" s="431"/>
      <c r="U29" s="431"/>
      <c r="V29" s="431"/>
      <c r="W29" s="431"/>
      <c r="X29" s="431"/>
      <c r="Y29" s="431"/>
      <c r="Z29" s="431"/>
      <c r="AA29" s="431"/>
      <c r="AB29" s="432"/>
    </row>
    <row r="30" spans="1:28" ht="22.9" customHeight="1" thickBot="1">
      <c r="B30" s="119"/>
      <c r="C30" s="166" t="s">
        <v>451</v>
      </c>
      <c r="D30" s="167"/>
      <c r="E30" s="179"/>
      <c r="F30" s="179">
        <f>SUM(F20:F29)</f>
        <v>2860000</v>
      </c>
      <c r="G30" s="179">
        <f>SUM(G20:G29)</f>
        <v>0</v>
      </c>
      <c r="H30" s="179">
        <f>SUM(H20:H29)</f>
        <v>288123.16000000003</v>
      </c>
      <c r="I30" s="179">
        <f>SUM(I20:I29)</f>
        <v>381168.63</v>
      </c>
      <c r="J30" s="956"/>
      <c r="K30" s="957"/>
      <c r="L30" s="956"/>
      <c r="M30" s="108"/>
      <c r="O30" s="429"/>
      <c r="P30" s="431"/>
      <c r="Q30" s="431"/>
      <c r="R30" s="431"/>
      <c r="S30" s="431"/>
      <c r="T30" s="431"/>
      <c r="U30" s="431"/>
      <c r="V30" s="431"/>
      <c r="W30" s="431"/>
      <c r="X30" s="431"/>
      <c r="Y30" s="431"/>
      <c r="Z30" s="431"/>
      <c r="AA30" s="431"/>
      <c r="AB30" s="432"/>
    </row>
    <row r="31" spans="1:28" ht="7.9" customHeight="1">
      <c r="B31" s="105"/>
      <c r="C31" s="1180"/>
      <c r="D31" s="1180"/>
      <c r="E31" s="1180"/>
      <c r="F31" s="1180"/>
      <c r="G31" s="1180"/>
      <c r="H31" s="1180"/>
      <c r="I31" s="1180"/>
      <c r="J31" s="1180"/>
      <c r="K31" s="1180"/>
      <c r="L31" s="1180"/>
      <c r="M31" s="108"/>
      <c r="O31" s="429"/>
      <c r="P31" s="431"/>
      <c r="Q31" s="431"/>
      <c r="R31" s="431"/>
      <c r="S31" s="431"/>
      <c r="T31" s="431"/>
      <c r="U31" s="431"/>
      <c r="V31" s="431"/>
      <c r="W31" s="431"/>
      <c r="X31" s="431"/>
      <c r="Y31" s="431"/>
      <c r="Z31" s="431"/>
      <c r="AA31" s="431"/>
      <c r="AB31" s="432"/>
    </row>
    <row r="32" spans="1:28" ht="22.9" customHeight="1">
      <c r="B32" s="119"/>
      <c r="C32" s="1181" t="s">
        <v>452</v>
      </c>
      <c r="D32" s="1182"/>
      <c r="E32" s="1183"/>
      <c r="F32" s="543">
        <f>-F30*0.25</f>
        <v>-715000</v>
      </c>
      <c r="G32" s="543">
        <f>-G30*0.25</f>
        <v>0</v>
      </c>
      <c r="H32" s="865"/>
      <c r="I32" s="865"/>
      <c r="J32" s="157"/>
      <c r="K32" s="157"/>
      <c r="L32" s="157"/>
      <c r="M32" s="120"/>
      <c r="O32" s="429"/>
      <c r="P32" s="431"/>
      <c r="Q32" s="431"/>
      <c r="R32" s="431"/>
      <c r="S32" s="431"/>
      <c r="T32" s="431"/>
      <c r="U32" s="431"/>
      <c r="V32" s="431"/>
      <c r="W32" s="431"/>
      <c r="X32" s="431"/>
      <c r="Y32" s="431"/>
      <c r="Z32" s="431"/>
      <c r="AA32" s="431"/>
      <c r="AB32" s="432"/>
    </row>
    <row r="33" spans="2:28" ht="22.9" customHeight="1">
      <c r="B33" s="119"/>
      <c r="C33" s="1184" t="s">
        <v>453</v>
      </c>
      <c r="D33" s="1185"/>
      <c r="E33" s="1186"/>
      <c r="F33" s="544">
        <f>-'FC-3_CPyG'!F41</f>
        <v>-275196.7</v>
      </c>
      <c r="G33" s="544">
        <f>-'FC-3_CPyG'!G41</f>
        <v>-275196.7</v>
      </c>
      <c r="H33" s="865"/>
      <c r="I33" s="865"/>
      <c r="J33" s="157"/>
      <c r="K33" s="157"/>
      <c r="L33" s="157"/>
      <c r="M33" s="108"/>
      <c r="O33" s="429"/>
      <c r="P33" s="431"/>
      <c r="Q33" s="431"/>
      <c r="R33" s="431"/>
      <c r="S33" s="431"/>
      <c r="T33" s="431"/>
      <c r="U33" s="431"/>
      <c r="V33" s="431"/>
      <c r="W33" s="431"/>
      <c r="X33" s="431"/>
      <c r="Y33" s="431"/>
      <c r="Z33" s="431"/>
      <c r="AA33" s="431"/>
      <c r="AB33" s="432"/>
    </row>
    <row r="34" spans="2:28" ht="22.9" customHeight="1">
      <c r="B34" s="119"/>
      <c r="C34" s="162" t="s">
        <v>454</v>
      </c>
      <c r="D34" s="163"/>
      <c r="E34" s="180"/>
      <c r="F34" s="544">
        <f>-F33*0.25-0.05</f>
        <v>68799.125</v>
      </c>
      <c r="G34" s="544">
        <f>-G33*0.25</f>
        <v>68799.175000000003</v>
      </c>
      <c r="H34" s="865"/>
      <c r="I34" s="865"/>
      <c r="J34" s="157"/>
      <c r="K34" s="157"/>
      <c r="L34" s="157"/>
      <c r="M34" s="108"/>
      <c r="O34" s="429"/>
      <c r="P34" s="431"/>
      <c r="Q34" s="431"/>
      <c r="R34" s="431"/>
      <c r="S34" s="431"/>
      <c r="T34" s="431"/>
      <c r="U34" s="431"/>
      <c r="V34" s="431"/>
      <c r="W34" s="431"/>
      <c r="X34" s="431"/>
      <c r="Y34" s="431"/>
      <c r="Z34" s="431"/>
      <c r="AA34" s="431"/>
      <c r="AB34" s="432"/>
    </row>
    <row r="35" spans="2:28" ht="22.9" customHeight="1" thickBot="1">
      <c r="B35" s="119"/>
      <c r="C35" s="166" t="s">
        <v>455</v>
      </c>
      <c r="D35" s="167"/>
      <c r="E35" s="179"/>
      <c r="F35" s="179">
        <f>F18+F30+SUM(F32:F34)</f>
        <v>26192000.225000001</v>
      </c>
      <c r="G35" s="179">
        <f>G18+G30+SUM(G32:G34)</f>
        <v>25985602.705000002</v>
      </c>
      <c r="H35" s="222"/>
      <c r="I35" s="222"/>
      <c r="J35" s="157"/>
      <c r="K35" s="157"/>
      <c r="L35" s="157"/>
      <c r="M35" s="108"/>
      <c r="O35" s="429"/>
      <c r="P35" s="431"/>
      <c r="Q35" s="431"/>
      <c r="R35" s="431"/>
      <c r="S35" s="431"/>
      <c r="T35" s="431"/>
      <c r="U35" s="431"/>
      <c r="V35" s="431"/>
      <c r="W35" s="431"/>
      <c r="X35" s="431"/>
      <c r="Y35" s="431"/>
      <c r="Z35" s="431"/>
      <c r="AA35" s="431"/>
      <c r="AB35" s="432"/>
    </row>
    <row r="36" spans="2:28" ht="22.9" customHeight="1">
      <c r="B36" s="119"/>
      <c r="C36" s="156"/>
      <c r="D36" s="156"/>
      <c r="E36" s="157"/>
      <c r="F36" s="157"/>
      <c r="G36" s="157"/>
      <c r="H36" s="157"/>
      <c r="I36" s="157"/>
      <c r="J36" s="157"/>
      <c r="K36" s="157"/>
      <c r="L36" s="157"/>
      <c r="M36" s="108"/>
      <c r="O36" s="429"/>
      <c r="P36" s="431"/>
      <c r="Q36" s="431"/>
      <c r="R36" s="431"/>
      <c r="S36" s="431"/>
      <c r="T36" s="431"/>
      <c r="U36" s="431"/>
      <c r="V36" s="431"/>
      <c r="W36" s="431"/>
      <c r="X36" s="431"/>
      <c r="Y36" s="431"/>
      <c r="Z36" s="431"/>
      <c r="AA36" s="431"/>
      <c r="AB36" s="432"/>
    </row>
    <row r="37" spans="2:28" ht="22.9" customHeight="1">
      <c r="B37" s="119"/>
      <c r="C37" s="22" t="s">
        <v>732</v>
      </c>
      <c r="D37" s="156"/>
      <c r="E37" s="157"/>
      <c r="F37" s="157"/>
      <c r="G37" s="157"/>
      <c r="H37" s="157"/>
      <c r="I37" s="157"/>
      <c r="J37" s="157"/>
      <c r="K37" s="157"/>
      <c r="L37" s="157"/>
      <c r="M37" s="108"/>
      <c r="O37" s="429"/>
      <c r="P37" s="431"/>
      <c r="Q37" s="431"/>
      <c r="R37" s="431"/>
      <c r="S37" s="431"/>
      <c r="T37" s="431"/>
      <c r="U37" s="431"/>
      <c r="V37" s="431"/>
      <c r="W37" s="431"/>
      <c r="X37" s="431"/>
      <c r="Y37" s="431"/>
      <c r="Z37" s="431"/>
      <c r="AA37" s="431"/>
      <c r="AB37" s="432"/>
    </row>
    <row r="38" spans="2:28" ht="36" customHeight="1">
      <c r="B38" s="119"/>
      <c r="C38" s="1178" t="s">
        <v>852</v>
      </c>
      <c r="D38" s="1179"/>
      <c r="E38" s="1007"/>
      <c r="F38" s="1176" t="s">
        <v>861</v>
      </c>
      <c r="G38" s="1177"/>
      <c r="H38" s="1176" t="s">
        <v>862</v>
      </c>
      <c r="I38" s="1177"/>
      <c r="J38" s="1008"/>
      <c r="K38" s="1008"/>
      <c r="L38" s="1008"/>
      <c r="M38" s="108"/>
      <c r="O38" s="429"/>
      <c r="P38" s="431"/>
      <c r="Q38" s="431"/>
      <c r="R38" s="431"/>
      <c r="S38" s="431"/>
      <c r="T38" s="431"/>
      <c r="U38" s="431"/>
      <c r="V38" s="431"/>
      <c r="W38" s="431"/>
      <c r="X38" s="431"/>
      <c r="Y38" s="431"/>
      <c r="Z38" s="431"/>
      <c r="AA38" s="431"/>
      <c r="AB38" s="432"/>
    </row>
    <row r="39" spans="2:28" ht="22.9" customHeight="1">
      <c r="B39" s="119"/>
      <c r="C39" s="1174" t="s">
        <v>853</v>
      </c>
      <c r="D39" s="1175"/>
      <c r="E39" s="1015" t="s">
        <v>446</v>
      </c>
      <c r="F39" s="1008">
        <f>ejercicio-1</f>
        <v>2017</v>
      </c>
      <c r="G39" s="1008">
        <f>ejercicio</f>
        <v>2018</v>
      </c>
      <c r="H39" s="1008">
        <f>ejercicio-1</f>
        <v>2017</v>
      </c>
      <c r="I39" s="1008">
        <f>ejercicio</f>
        <v>2018</v>
      </c>
      <c r="J39" s="1008" t="s">
        <v>448</v>
      </c>
      <c r="K39" s="1008" t="s">
        <v>450</v>
      </c>
      <c r="L39" s="1008" t="s">
        <v>449</v>
      </c>
      <c r="M39" s="108"/>
      <c r="O39" s="429"/>
      <c r="P39" s="431"/>
      <c r="Q39" s="431"/>
      <c r="R39" s="431"/>
      <c r="S39" s="431"/>
      <c r="T39" s="431"/>
      <c r="U39" s="431"/>
      <c r="V39" s="431"/>
      <c r="W39" s="431"/>
      <c r="X39" s="431"/>
      <c r="Y39" s="431"/>
      <c r="Z39" s="431"/>
      <c r="AA39" s="431"/>
      <c r="AB39" s="432"/>
    </row>
    <row r="40" spans="2:28" ht="22.9" customHeight="1">
      <c r="B40" s="119"/>
      <c r="C40" s="1085" t="s">
        <v>992</v>
      </c>
      <c r="D40" s="591"/>
      <c r="E40" s="1086" t="s">
        <v>77</v>
      </c>
      <c r="F40" s="502">
        <v>135162.37678473507</v>
      </c>
      <c r="G40" s="533">
        <v>141124.32530615188</v>
      </c>
      <c r="H40" s="1000">
        <v>200000</v>
      </c>
      <c r="I40" s="1001">
        <v>123695</v>
      </c>
      <c r="J40" s="946"/>
      <c r="K40" s="946"/>
      <c r="L40" s="947"/>
      <c r="M40" s="108"/>
      <c r="O40" s="429"/>
      <c r="P40" s="431"/>
      <c r="Q40" s="431"/>
      <c r="R40" s="431"/>
      <c r="S40" s="431"/>
      <c r="T40" s="431"/>
      <c r="U40" s="431"/>
      <c r="V40" s="431"/>
      <c r="W40" s="431"/>
      <c r="X40" s="431"/>
      <c r="Y40" s="431"/>
      <c r="Z40" s="431"/>
      <c r="AA40" s="431"/>
      <c r="AB40" s="432"/>
    </row>
    <row r="41" spans="2:28" ht="22.9" customHeight="1">
      <c r="B41" s="119"/>
      <c r="C41" s="1067" t="s">
        <v>993</v>
      </c>
      <c r="D41" s="593"/>
      <c r="E41" s="1086" t="s">
        <v>77</v>
      </c>
      <c r="F41" s="513">
        <v>211220</v>
      </c>
      <c r="G41" s="535">
        <v>412780</v>
      </c>
      <c r="H41" s="1001">
        <v>400846</v>
      </c>
      <c r="I41" s="1001">
        <v>412780</v>
      </c>
      <c r="J41" s="948"/>
      <c r="K41" s="948"/>
      <c r="L41" s="949"/>
      <c r="M41" s="108"/>
      <c r="O41" s="429"/>
      <c r="P41" s="431"/>
      <c r="Q41" s="431"/>
      <c r="R41" s="431"/>
      <c r="S41" s="431"/>
      <c r="T41" s="431"/>
      <c r="U41" s="431"/>
      <c r="V41" s="431"/>
      <c r="W41" s="431"/>
      <c r="X41" s="431"/>
      <c r="Y41" s="431"/>
      <c r="Z41" s="431"/>
      <c r="AA41" s="431"/>
      <c r="AB41" s="432"/>
    </row>
    <row r="42" spans="2:28" ht="22.9" customHeight="1">
      <c r="B42" s="119"/>
      <c r="C42" s="1067" t="s">
        <v>994</v>
      </c>
      <c r="D42" s="593"/>
      <c r="E42" s="1086" t="s">
        <v>77</v>
      </c>
      <c r="F42" s="513">
        <v>150000</v>
      </c>
      <c r="G42" s="535">
        <v>0</v>
      </c>
      <c r="H42" s="1001">
        <v>150000</v>
      </c>
      <c r="I42" s="1001">
        <v>0</v>
      </c>
      <c r="J42" s="948"/>
      <c r="K42" s="948"/>
      <c r="L42" s="949"/>
      <c r="M42" s="108"/>
      <c r="O42" s="429"/>
      <c r="P42" s="431"/>
      <c r="Q42" s="431"/>
      <c r="R42" s="431"/>
      <c r="S42" s="431"/>
      <c r="T42" s="431"/>
      <c r="U42" s="431"/>
      <c r="V42" s="431"/>
      <c r="W42" s="431"/>
      <c r="X42" s="431"/>
      <c r="Y42" s="431"/>
      <c r="Z42" s="431"/>
      <c r="AA42" s="431"/>
      <c r="AB42" s="432"/>
    </row>
    <row r="43" spans="2:28" ht="22.9" customHeight="1">
      <c r="B43" s="119"/>
      <c r="C43" s="1067" t="s">
        <v>1036</v>
      </c>
      <c r="D43" s="593"/>
      <c r="E43" s="1087" t="s">
        <v>991</v>
      </c>
      <c r="F43" s="513">
        <v>21354</v>
      </c>
      <c r="G43" s="535">
        <v>21354</v>
      </c>
      <c r="H43" s="1001">
        <v>0</v>
      </c>
      <c r="I43" s="1001">
        <v>0</v>
      </c>
      <c r="J43" s="948"/>
      <c r="K43" s="948"/>
      <c r="L43" s="949"/>
      <c r="M43" s="108"/>
      <c r="O43" s="429"/>
      <c r="P43" s="431"/>
      <c r="Q43" s="431"/>
      <c r="R43" s="431"/>
      <c r="S43" s="431"/>
      <c r="T43" s="431"/>
      <c r="U43" s="431"/>
      <c r="V43" s="431"/>
      <c r="W43" s="431"/>
      <c r="X43" s="431"/>
      <c r="Y43" s="431"/>
      <c r="Z43" s="431"/>
      <c r="AA43" s="431"/>
      <c r="AB43" s="432"/>
    </row>
    <row r="44" spans="2:28" ht="22.9" customHeight="1">
      <c r="B44" s="119"/>
      <c r="C44" s="1067" t="s">
        <v>1037</v>
      </c>
      <c r="D44" s="593"/>
      <c r="E44" s="587"/>
      <c r="F44" s="506">
        <v>0</v>
      </c>
      <c r="G44" s="536">
        <v>0</v>
      </c>
      <c r="H44" s="1002">
        <v>6205649</v>
      </c>
      <c r="I44" s="1000">
        <v>6346452.3799999999</v>
      </c>
      <c r="J44" s="950"/>
      <c r="K44" s="950"/>
      <c r="L44" s="951"/>
      <c r="M44" s="108"/>
      <c r="O44" s="429" t="s">
        <v>1038</v>
      </c>
      <c r="P44" s="431"/>
      <c r="Q44" s="431"/>
      <c r="R44" s="431"/>
      <c r="S44" s="431"/>
      <c r="T44" s="431"/>
      <c r="U44" s="431"/>
      <c r="V44" s="431"/>
      <c r="W44" s="431"/>
      <c r="X44" s="431"/>
      <c r="Y44" s="431"/>
      <c r="Z44" s="431"/>
      <c r="AA44" s="431"/>
      <c r="AB44" s="432"/>
    </row>
    <row r="45" spans="2:28" ht="22.9" customHeight="1">
      <c r="B45" s="119"/>
      <c r="C45" s="592"/>
      <c r="D45" s="593"/>
      <c r="E45" s="587"/>
      <c r="F45" s="506"/>
      <c r="G45" s="536"/>
      <c r="H45" s="1002"/>
      <c r="I45" s="1002"/>
      <c r="J45" s="950"/>
      <c r="K45" s="950"/>
      <c r="L45" s="951"/>
      <c r="M45" s="108"/>
      <c r="O45" s="429"/>
      <c r="P45" s="431"/>
      <c r="Q45" s="431"/>
      <c r="R45" s="431"/>
      <c r="S45" s="431"/>
      <c r="T45" s="431"/>
      <c r="U45" s="431"/>
      <c r="V45" s="431"/>
      <c r="W45" s="431"/>
      <c r="X45" s="431"/>
      <c r="Y45" s="431"/>
      <c r="Z45" s="431"/>
      <c r="AA45" s="431"/>
      <c r="AB45" s="432"/>
    </row>
    <row r="46" spans="2:28" ht="22.9" customHeight="1">
      <c r="B46" s="119"/>
      <c r="C46" s="592"/>
      <c r="D46" s="593"/>
      <c r="E46" s="587"/>
      <c r="F46" s="506"/>
      <c r="G46" s="536"/>
      <c r="H46" s="1002"/>
      <c r="I46" s="1002"/>
      <c r="J46" s="950"/>
      <c r="K46" s="950"/>
      <c r="L46" s="951"/>
      <c r="M46" s="108"/>
      <c r="O46" s="429"/>
      <c r="P46" s="431"/>
      <c r="Q46" s="431"/>
      <c r="R46" s="431"/>
      <c r="S46" s="431"/>
      <c r="T46" s="431"/>
      <c r="U46" s="431"/>
      <c r="V46" s="431"/>
      <c r="W46" s="431"/>
      <c r="X46" s="431"/>
      <c r="Y46" s="431"/>
      <c r="Z46" s="431"/>
      <c r="AA46" s="431"/>
      <c r="AB46" s="432"/>
    </row>
    <row r="47" spans="2:28" ht="22.9" customHeight="1">
      <c r="B47" s="119"/>
      <c r="C47" s="592"/>
      <c r="D47" s="593"/>
      <c r="E47" s="588"/>
      <c r="F47" s="515"/>
      <c r="G47" s="537"/>
      <c r="H47" s="1003"/>
      <c r="I47" s="1003"/>
      <c r="J47" s="952"/>
      <c r="K47" s="952"/>
      <c r="L47" s="953"/>
      <c r="M47" s="108"/>
      <c r="O47" s="429"/>
      <c r="P47" s="431"/>
      <c r="Q47" s="431"/>
      <c r="R47" s="431"/>
      <c r="S47" s="431"/>
      <c r="T47" s="431"/>
      <c r="U47" s="431"/>
      <c r="V47" s="431"/>
      <c r="W47" s="431"/>
      <c r="X47" s="431"/>
      <c r="Y47" s="431"/>
      <c r="Z47" s="431"/>
      <c r="AA47" s="431"/>
      <c r="AB47" s="432"/>
    </row>
    <row r="48" spans="2:28" ht="28.9" customHeight="1">
      <c r="B48" s="119"/>
      <c r="C48" s="592"/>
      <c r="D48" s="593"/>
      <c r="E48" s="588"/>
      <c r="F48" s="515"/>
      <c r="G48" s="537"/>
      <c r="H48" s="1003"/>
      <c r="I48" s="1003"/>
      <c r="J48" s="952"/>
      <c r="K48" s="952"/>
      <c r="L48" s="953"/>
      <c r="M48" s="108"/>
      <c r="O48" s="429"/>
      <c r="P48" s="431"/>
      <c r="Q48" s="431"/>
      <c r="R48" s="431"/>
      <c r="S48" s="431"/>
      <c r="T48" s="431"/>
      <c r="U48" s="431"/>
      <c r="V48" s="431"/>
      <c r="W48" s="431"/>
      <c r="X48" s="431"/>
      <c r="Y48" s="431"/>
      <c r="Z48" s="431"/>
      <c r="AA48" s="431"/>
      <c r="AB48" s="432"/>
    </row>
    <row r="49" spans="2:28" ht="22.9" customHeight="1">
      <c r="B49" s="119"/>
      <c r="C49" s="594"/>
      <c r="D49" s="595"/>
      <c r="E49" s="589"/>
      <c r="F49" s="510"/>
      <c r="G49" s="538"/>
      <c r="H49" s="1004"/>
      <c r="I49" s="1004"/>
      <c r="J49" s="954"/>
      <c r="K49" s="954"/>
      <c r="L49" s="955"/>
      <c r="M49" s="108"/>
      <c r="O49" s="429"/>
      <c r="P49" s="431"/>
      <c r="Q49" s="431"/>
      <c r="R49" s="431"/>
      <c r="S49" s="431"/>
      <c r="T49" s="431"/>
      <c r="U49" s="431"/>
      <c r="V49" s="431"/>
      <c r="W49" s="431"/>
      <c r="X49" s="431"/>
      <c r="Y49" s="431"/>
      <c r="Z49" s="431"/>
      <c r="AA49" s="431"/>
      <c r="AB49" s="432"/>
    </row>
    <row r="50" spans="2:28" ht="22.9" customHeight="1" thickBot="1">
      <c r="B50" s="119"/>
      <c r="C50" s="1187" t="s">
        <v>451</v>
      </c>
      <c r="D50" s="1188"/>
      <c r="E50" s="1189"/>
      <c r="F50" s="179">
        <f>SUM(F40:F49)</f>
        <v>517736.37678473507</v>
      </c>
      <c r="G50" s="179">
        <f>SUM(G40:G49)</f>
        <v>575258.32530615188</v>
      </c>
      <c r="H50" s="179">
        <f t="shared" ref="H50:I50" si="0">SUM(H40:H49)</f>
        <v>6956495</v>
      </c>
      <c r="I50" s="179">
        <f t="shared" si="0"/>
        <v>6882927.3799999999</v>
      </c>
      <c r="J50" s="220"/>
      <c r="K50" s="157"/>
      <c r="L50" s="157"/>
      <c r="M50" s="108"/>
      <c r="O50" s="429"/>
      <c r="P50" s="431"/>
      <c r="Q50" s="431"/>
      <c r="R50" s="431"/>
      <c r="S50" s="431"/>
      <c r="T50" s="431"/>
      <c r="U50" s="431"/>
      <c r="V50" s="431"/>
      <c r="W50" s="431"/>
      <c r="X50" s="431"/>
      <c r="Y50" s="431"/>
      <c r="Z50" s="431"/>
      <c r="AA50" s="431"/>
      <c r="AB50" s="432"/>
    </row>
    <row r="51" spans="2:28" ht="22.9" customHeight="1">
      <c r="B51" s="119"/>
      <c r="C51" s="221"/>
      <c r="D51" s="221"/>
      <c r="E51" s="222"/>
      <c r="F51" s="223"/>
      <c r="G51" s="223"/>
      <c r="H51" s="223"/>
      <c r="I51" s="223"/>
      <c r="J51" s="222"/>
      <c r="K51" s="222"/>
      <c r="L51" s="224"/>
      <c r="M51" s="108"/>
      <c r="O51" s="429"/>
      <c r="P51" s="431"/>
      <c r="Q51" s="431"/>
      <c r="R51" s="431"/>
      <c r="S51" s="431"/>
      <c r="T51" s="431"/>
      <c r="U51" s="431"/>
      <c r="V51" s="431"/>
      <c r="W51" s="431"/>
      <c r="X51" s="431"/>
      <c r="Y51" s="431"/>
      <c r="Z51" s="431"/>
      <c r="AA51" s="431"/>
      <c r="AB51" s="432"/>
    </row>
    <row r="52" spans="2:28" s="117" customFormat="1" ht="30" customHeight="1">
      <c r="B52" s="113"/>
      <c r="C52" s="68" t="s">
        <v>733</v>
      </c>
      <c r="D52" s="22"/>
      <c r="E52" s="98"/>
      <c r="F52" s="98"/>
      <c r="G52" s="98"/>
      <c r="H52" s="98"/>
      <c r="I52" s="98"/>
      <c r="J52" s="98"/>
      <c r="K52" s="98"/>
      <c r="L52" s="98"/>
      <c r="M52" s="116"/>
      <c r="O52" s="429"/>
      <c r="P52" s="431"/>
      <c r="Q52" s="431"/>
      <c r="R52" s="431"/>
      <c r="S52" s="431"/>
      <c r="T52" s="431"/>
      <c r="U52" s="431"/>
      <c r="V52" s="431"/>
      <c r="W52" s="431"/>
      <c r="X52" s="431"/>
      <c r="Y52" s="431"/>
      <c r="Z52" s="431"/>
      <c r="AA52" s="431"/>
      <c r="AB52" s="432"/>
    </row>
    <row r="53" spans="2:28" s="117" customFormat="1" ht="30" customHeight="1">
      <c r="B53" s="113"/>
      <c r="C53" s="1178" t="s">
        <v>852</v>
      </c>
      <c r="D53" s="1179"/>
      <c r="E53" s="1007"/>
      <c r="F53" s="1176" t="s">
        <v>863</v>
      </c>
      <c r="G53" s="1177"/>
      <c r="H53" s="1176" t="s">
        <v>864</v>
      </c>
      <c r="I53" s="1177"/>
      <c r="J53" s="1008"/>
      <c r="K53" s="1008"/>
      <c r="L53" s="1008"/>
      <c r="M53" s="116"/>
      <c r="O53" s="429"/>
      <c r="P53" s="431"/>
      <c r="Q53" s="431"/>
      <c r="R53" s="431"/>
      <c r="S53" s="431"/>
      <c r="T53" s="431"/>
      <c r="U53" s="431"/>
      <c r="V53" s="431"/>
      <c r="W53" s="431"/>
      <c r="X53" s="431"/>
      <c r="Y53" s="431"/>
      <c r="Z53" s="431"/>
      <c r="AA53" s="431"/>
      <c r="AB53" s="432"/>
    </row>
    <row r="54" spans="2:28" ht="22.9" customHeight="1">
      <c r="B54" s="119"/>
      <c r="C54" s="1174" t="s">
        <v>853</v>
      </c>
      <c r="D54" s="1175"/>
      <c r="E54" s="1015" t="s">
        <v>446</v>
      </c>
      <c r="F54" s="1008">
        <f>ejercicio-1</f>
        <v>2017</v>
      </c>
      <c r="G54" s="1008">
        <f>ejercicio</f>
        <v>2018</v>
      </c>
      <c r="H54" s="1008">
        <f>ejercicio-1</f>
        <v>2017</v>
      </c>
      <c r="I54" s="1008">
        <f>ejercicio</f>
        <v>2018</v>
      </c>
      <c r="J54" s="1008" t="s">
        <v>448</v>
      </c>
      <c r="K54" s="1008" t="s">
        <v>450</v>
      </c>
      <c r="L54" s="1008" t="s">
        <v>449</v>
      </c>
      <c r="M54" s="108"/>
      <c r="O54" s="429"/>
      <c r="P54" s="431"/>
      <c r="Q54" s="431"/>
      <c r="R54" s="431"/>
      <c r="S54" s="431"/>
      <c r="T54" s="431"/>
      <c r="U54" s="431"/>
      <c r="V54" s="431"/>
      <c r="W54" s="431"/>
      <c r="X54" s="431"/>
      <c r="Y54" s="431"/>
      <c r="Z54" s="431"/>
      <c r="AA54" s="431"/>
      <c r="AB54" s="432"/>
    </row>
    <row r="55" spans="2:28" ht="22.9" customHeight="1">
      <c r="B55" s="119"/>
      <c r="C55" s="590"/>
      <c r="D55" s="591"/>
      <c r="E55" s="596"/>
      <c r="F55" s="502"/>
      <c r="G55" s="533"/>
      <c r="H55" s="1000"/>
      <c r="I55" s="1000"/>
      <c r="J55" s="946"/>
      <c r="K55" s="946"/>
      <c r="L55" s="947"/>
      <c r="M55" s="108"/>
      <c r="O55" s="429"/>
      <c r="P55" s="431"/>
      <c r="Q55" s="431"/>
      <c r="R55" s="431"/>
      <c r="S55" s="431"/>
      <c r="T55" s="431"/>
      <c r="U55" s="431"/>
      <c r="V55" s="431"/>
      <c r="W55" s="431"/>
      <c r="X55" s="431"/>
      <c r="Y55" s="431"/>
      <c r="Z55" s="431"/>
      <c r="AA55" s="431"/>
      <c r="AB55" s="432"/>
    </row>
    <row r="56" spans="2:28" ht="22.9" customHeight="1">
      <c r="B56" s="119"/>
      <c r="C56" s="592"/>
      <c r="D56" s="593"/>
      <c r="E56" s="586"/>
      <c r="F56" s="513"/>
      <c r="G56" s="513"/>
      <c r="H56" s="1001"/>
      <c r="I56" s="1001"/>
      <c r="J56" s="948"/>
      <c r="K56" s="948"/>
      <c r="L56" s="949"/>
      <c r="M56" s="108"/>
      <c r="O56" s="429"/>
      <c r="P56" s="431"/>
      <c r="Q56" s="431"/>
      <c r="R56" s="431"/>
      <c r="S56" s="431"/>
      <c r="T56" s="431"/>
      <c r="U56" s="431"/>
      <c r="V56" s="431"/>
      <c r="W56" s="431"/>
      <c r="X56" s="431"/>
      <c r="Y56" s="431"/>
      <c r="Z56" s="431"/>
      <c r="AA56" s="431"/>
      <c r="AB56" s="432"/>
    </row>
    <row r="57" spans="2:28" ht="22.9" customHeight="1">
      <c r="B57" s="119"/>
      <c r="C57" s="592"/>
      <c r="D57" s="593"/>
      <c r="E57" s="586"/>
      <c r="F57" s="513"/>
      <c r="G57" s="535"/>
      <c r="H57" s="1001"/>
      <c r="I57" s="1001"/>
      <c r="J57" s="948"/>
      <c r="K57" s="948"/>
      <c r="L57" s="949"/>
      <c r="M57" s="108"/>
      <c r="O57" s="429"/>
      <c r="P57" s="431"/>
      <c r="Q57" s="431"/>
      <c r="R57" s="431"/>
      <c r="S57" s="431"/>
      <c r="T57" s="431"/>
      <c r="U57" s="431"/>
      <c r="V57" s="431"/>
      <c r="W57" s="431"/>
      <c r="X57" s="431"/>
      <c r="Y57" s="431"/>
      <c r="Z57" s="431"/>
      <c r="AA57" s="431"/>
      <c r="AB57" s="432"/>
    </row>
    <row r="58" spans="2:28" ht="22.9" customHeight="1">
      <c r="B58" s="119"/>
      <c r="C58" s="592"/>
      <c r="D58" s="593"/>
      <c r="E58" s="586"/>
      <c r="F58" s="513"/>
      <c r="G58" s="535"/>
      <c r="H58" s="1001"/>
      <c r="I58" s="1001"/>
      <c r="J58" s="948"/>
      <c r="K58" s="948"/>
      <c r="L58" s="949"/>
      <c r="M58" s="108"/>
      <c r="O58" s="429"/>
      <c r="P58" s="431"/>
      <c r="Q58" s="431"/>
      <c r="R58" s="431"/>
      <c r="S58" s="431"/>
      <c r="T58" s="431"/>
      <c r="U58" s="431"/>
      <c r="V58" s="431"/>
      <c r="W58" s="431"/>
      <c r="X58" s="431"/>
      <c r="Y58" s="431"/>
      <c r="Z58" s="431"/>
      <c r="AA58" s="431"/>
      <c r="AB58" s="432"/>
    </row>
    <row r="59" spans="2:28" ht="22.9" customHeight="1">
      <c r="B59" s="119"/>
      <c r="C59" s="592"/>
      <c r="D59" s="593"/>
      <c r="E59" s="587"/>
      <c r="F59" s="506"/>
      <c r="G59" s="536"/>
      <c r="H59" s="1002"/>
      <c r="I59" s="1002"/>
      <c r="J59" s="950"/>
      <c r="K59" s="950"/>
      <c r="L59" s="951"/>
      <c r="M59" s="108"/>
      <c r="O59" s="429"/>
      <c r="P59" s="431"/>
      <c r="Q59" s="431"/>
      <c r="R59" s="431"/>
      <c r="S59" s="431"/>
      <c r="T59" s="431"/>
      <c r="U59" s="431"/>
      <c r="V59" s="431"/>
      <c r="W59" s="431"/>
      <c r="X59" s="431"/>
      <c r="Y59" s="431"/>
      <c r="Z59" s="431"/>
      <c r="AA59" s="431"/>
      <c r="AB59" s="432"/>
    </row>
    <row r="60" spans="2:28" ht="22.9" customHeight="1">
      <c r="B60" s="119"/>
      <c r="C60" s="592"/>
      <c r="D60" s="593"/>
      <c r="E60" s="587"/>
      <c r="F60" s="506"/>
      <c r="G60" s="536"/>
      <c r="H60" s="1002"/>
      <c r="I60" s="1002"/>
      <c r="J60" s="950"/>
      <c r="K60" s="950"/>
      <c r="L60" s="951"/>
      <c r="M60" s="108"/>
      <c r="O60" s="429"/>
      <c r="P60" s="431"/>
      <c r="Q60" s="431"/>
      <c r="R60" s="431"/>
      <c r="S60" s="431"/>
      <c r="T60" s="431"/>
      <c r="U60" s="431"/>
      <c r="V60" s="431"/>
      <c r="W60" s="431"/>
      <c r="X60" s="431"/>
      <c r="Y60" s="431"/>
      <c r="Z60" s="431"/>
      <c r="AA60" s="431"/>
      <c r="AB60" s="432"/>
    </row>
    <row r="61" spans="2:28" ht="22.9" customHeight="1">
      <c r="B61" s="119"/>
      <c r="C61" s="592"/>
      <c r="D61" s="593"/>
      <c r="E61" s="587"/>
      <c r="F61" s="506"/>
      <c r="G61" s="536"/>
      <c r="H61" s="1002"/>
      <c r="I61" s="1002"/>
      <c r="J61" s="950"/>
      <c r="K61" s="950"/>
      <c r="L61" s="951"/>
      <c r="M61" s="108"/>
      <c r="O61" s="429"/>
      <c r="P61" s="431"/>
      <c r="Q61" s="431"/>
      <c r="R61" s="431"/>
      <c r="S61" s="431"/>
      <c r="T61" s="431"/>
      <c r="U61" s="431"/>
      <c r="V61" s="431"/>
      <c r="W61" s="431"/>
      <c r="X61" s="431"/>
      <c r="Y61" s="431"/>
      <c r="Z61" s="431"/>
      <c r="AA61" s="431"/>
      <c r="AB61" s="432"/>
    </row>
    <row r="62" spans="2:28" ht="22.9" customHeight="1">
      <c r="B62" s="119"/>
      <c r="C62" s="592"/>
      <c r="D62" s="593"/>
      <c r="E62" s="588"/>
      <c r="F62" s="515"/>
      <c r="G62" s="537"/>
      <c r="H62" s="1003"/>
      <c r="I62" s="1003"/>
      <c r="J62" s="952"/>
      <c r="K62" s="952"/>
      <c r="L62" s="953"/>
      <c r="M62" s="108"/>
      <c r="O62" s="429"/>
      <c r="P62" s="431"/>
      <c r="Q62" s="431"/>
      <c r="R62" s="431"/>
      <c r="S62" s="431"/>
      <c r="T62" s="431"/>
      <c r="U62" s="431"/>
      <c r="V62" s="431"/>
      <c r="W62" s="431"/>
      <c r="X62" s="431"/>
      <c r="Y62" s="431"/>
      <c r="Z62" s="431"/>
      <c r="AA62" s="431"/>
      <c r="AB62" s="432"/>
    </row>
    <row r="63" spans="2:28" ht="22.9" customHeight="1">
      <c r="B63" s="119"/>
      <c r="C63" s="592"/>
      <c r="D63" s="593"/>
      <c r="E63" s="588"/>
      <c r="F63" s="515"/>
      <c r="G63" s="537"/>
      <c r="H63" s="1003"/>
      <c r="I63" s="1003"/>
      <c r="J63" s="952"/>
      <c r="K63" s="952"/>
      <c r="L63" s="953"/>
      <c r="M63" s="108"/>
      <c r="O63" s="429"/>
      <c r="P63" s="431"/>
      <c r="Q63" s="431"/>
      <c r="R63" s="431"/>
      <c r="S63" s="431"/>
      <c r="T63" s="431"/>
      <c r="U63" s="431"/>
      <c r="V63" s="431"/>
      <c r="W63" s="431"/>
      <c r="X63" s="431"/>
      <c r="Y63" s="431"/>
      <c r="Z63" s="431"/>
      <c r="AA63" s="431"/>
      <c r="AB63" s="432"/>
    </row>
    <row r="64" spans="2:28" ht="22.9" customHeight="1">
      <c r="B64" s="119"/>
      <c r="C64" s="594"/>
      <c r="D64" s="595"/>
      <c r="E64" s="589"/>
      <c r="F64" s="510"/>
      <c r="G64" s="538"/>
      <c r="H64" s="1004"/>
      <c r="I64" s="1004"/>
      <c r="J64" s="954"/>
      <c r="K64" s="954"/>
      <c r="L64" s="955"/>
      <c r="M64" s="108"/>
      <c r="O64" s="429"/>
      <c r="P64" s="431"/>
      <c r="Q64" s="431"/>
      <c r="R64" s="431"/>
      <c r="S64" s="431"/>
      <c r="T64" s="431"/>
      <c r="U64" s="431"/>
      <c r="V64" s="431"/>
      <c r="W64" s="431"/>
      <c r="X64" s="431"/>
      <c r="Y64" s="431"/>
      <c r="Z64" s="431"/>
      <c r="AA64" s="431"/>
      <c r="AB64" s="432"/>
    </row>
    <row r="65" spans="2:28" ht="22.9" customHeight="1" thickBot="1">
      <c r="B65" s="119"/>
      <c r="C65" s="1187" t="s">
        <v>451</v>
      </c>
      <c r="D65" s="1188"/>
      <c r="E65" s="1189"/>
      <c r="F65" s="179">
        <f>SUM(F55:F64)</f>
        <v>0</v>
      </c>
      <c r="G65" s="179">
        <f>SUM(G55:G64)</f>
        <v>0</v>
      </c>
      <c r="H65" s="179">
        <f t="shared" ref="H65:I65" si="1">SUM(H55:H64)</f>
        <v>0</v>
      </c>
      <c r="I65" s="179">
        <f t="shared" si="1"/>
        <v>0</v>
      </c>
      <c r="J65" s="220"/>
      <c r="K65" s="157"/>
      <c r="L65" s="157"/>
      <c r="M65" s="108"/>
      <c r="O65" s="429"/>
      <c r="P65" s="431"/>
      <c r="Q65" s="431"/>
      <c r="R65" s="431"/>
      <c r="S65" s="431"/>
      <c r="T65" s="431"/>
      <c r="U65" s="431"/>
      <c r="V65" s="431"/>
      <c r="W65" s="431"/>
      <c r="X65" s="431"/>
      <c r="Y65" s="431"/>
      <c r="Z65" s="431"/>
      <c r="AA65" s="431"/>
      <c r="AB65" s="432"/>
    </row>
    <row r="66" spans="2:28" ht="22.9" customHeight="1">
      <c r="B66" s="119"/>
      <c r="C66" s="221"/>
      <c r="D66" s="221"/>
      <c r="E66" s="222"/>
      <c r="F66" s="223"/>
      <c r="G66" s="223"/>
      <c r="H66" s="223"/>
      <c r="I66" s="223"/>
      <c r="J66" s="222"/>
      <c r="K66" s="222"/>
      <c r="L66" s="224"/>
      <c r="M66" s="108"/>
      <c r="O66" s="429"/>
      <c r="P66" s="431"/>
      <c r="Q66" s="431"/>
      <c r="R66" s="431"/>
      <c r="S66" s="431"/>
      <c r="T66" s="431"/>
      <c r="U66" s="431"/>
      <c r="V66" s="431"/>
      <c r="W66" s="431"/>
      <c r="X66" s="431"/>
      <c r="Y66" s="431"/>
      <c r="Z66" s="431"/>
      <c r="AA66" s="431"/>
      <c r="AB66" s="432"/>
    </row>
    <row r="67" spans="2:28" s="117" customFormat="1" ht="30" customHeight="1">
      <c r="B67" s="113"/>
      <c r="C67" s="68" t="s">
        <v>877</v>
      </c>
      <c r="D67" s="22"/>
      <c r="E67" s="98"/>
      <c r="F67" s="98"/>
      <c r="G67" s="98"/>
      <c r="H67" s="98"/>
      <c r="I67" s="98"/>
      <c r="J67" s="98"/>
      <c r="K67" s="98"/>
      <c r="L67" s="98"/>
      <c r="M67" s="116"/>
      <c r="O67" s="429"/>
      <c r="P67" s="431"/>
      <c r="Q67" s="431"/>
      <c r="R67" s="431"/>
      <c r="S67" s="431"/>
      <c r="T67" s="431"/>
      <c r="U67" s="431"/>
      <c r="V67" s="431"/>
      <c r="W67" s="431"/>
      <c r="X67" s="431"/>
      <c r="Y67" s="431"/>
      <c r="Z67" s="431"/>
      <c r="AA67" s="431"/>
      <c r="AB67" s="432"/>
    </row>
    <row r="68" spans="2:28" ht="22.9" customHeight="1">
      <c r="B68" s="119"/>
      <c r="C68" s="1160" t="s">
        <v>852</v>
      </c>
      <c r="D68" s="1162"/>
      <c r="E68" s="1008" t="s">
        <v>446</v>
      </c>
      <c r="F68" s="1008">
        <f>ejercicio-1</f>
        <v>2017</v>
      </c>
      <c r="G68" s="1008">
        <f>ejercicio</f>
        <v>2018</v>
      </c>
      <c r="H68" s="1008" t="s">
        <v>448</v>
      </c>
      <c r="I68" s="1008" t="s">
        <v>450</v>
      </c>
      <c r="J68" s="1008" t="s">
        <v>449</v>
      </c>
      <c r="K68" s="99"/>
      <c r="L68" s="99"/>
      <c r="M68" s="108"/>
      <c r="O68" s="429"/>
      <c r="P68" s="431"/>
      <c r="Q68" s="431"/>
      <c r="R68" s="431"/>
      <c r="S68" s="431"/>
      <c r="T68" s="431"/>
      <c r="U68" s="431"/>
      <c r="V68" s="431"/>
      <c r="W68" s="431"/>
      <c r="X68" s="431"/>
      <c r="Y68" s="431"/>
      <c r="Z68" s="431"/>
      <c r="AA68" s="431"/>
      <c r="AB68" s="432"/>
    </row>
    <row r="69" spans="2:28" ht="22.9" customHeight="1">
      <c r="B69" s="119"/>
      <c r="C69" s="590"/>
      <c r="D69" s="591"/>
      <c r="E69" s="596"/>
      <c r="F69" s="502"/>
      <c r="G69" s="533"/>
      <c r="H69" s="946"/>
      <c r="I69" s="946"/>
      <c r="J69" s="947"/>
      <c r="K69" s="99"/>
      <c r="L69" s="99"/>
      <c r="M69" s="108"/>
      <c r="O69" s="429"/>
      <c r="P69" s="431"/>
      <c r="Q69" s="431"/>
      <c r="R69" s="431"/>
      <c r="S69" s="431"/>
      <c r="T69" s="431"/>
      <c r="U69" s="431"/>
      <c r="V69" s="431"/>
      <c r="W69" s="431"/>
      <c r="X69" s="431"/>
      <c r="Y69" s="431"/>
      <c r="Z69" s="431"/>
      <c r="AA69" s="431"/>
      <c r="AB69" s="432"/>
    </row>
    <row r="70" spans="2:28" ht="22.9" customHeight="1">
      <c r="B70" s="119"/>
      <c r="C70" s="592"/>
      <c r="D70" s="593"/>
      <c r="E70" s="586"/>
      <c r="F70" s="513"/>
      <c r="G70" s="535"/>
      <c r="H70" s="948"/>
      <c r="I70" s="948"/>
      <c r="J70" s="949"/>
      <c r="K70" s="99"/>
      <c r="L70" s="99"/>
      <c r="M70" s="108"/>
      <c r="O70" s="429"/>
      <c r="P70" s="431"/>
      <c r="Q70" s="431"/>
      <c r="R70" s="431"/>
      <c r="S70" s="431"/>
      <c r="T70" s="431"/>
      <c r="U70" s="431"/>
      <c r="V70" s="431"/>
      <c r="W70" s="431"/>
      <c r="X70" s="431"/>
      <c r="Y70" s="431"/>
      <c r="Z70" s="431"/>
      <c r="AA70" s="431"/>
      <c r="AB70" s="432"/>
    </row>
    <row r="71" spans="2:28" ht="22.9" customHeight="1">
      <c r="B71" s="119"/>
      <c r="C71" s="592"/>
      <c r="D71" s="593"/>
      <c r="E71" s="586"/>
      <c r="F71" s="513"/>
      <c r="G71" s="535"/>
      <c r="H71" s="948"/>
      <c r="I71" s="948"/>
      <c r="J71" s="949"/>
      <c r="K71" s="99"/>
      <c r="L71" s="99"/>
      <c r="M71" s="108"/>
      <c r="O71" s="429"/>
      <c r="P71" s="431"/>
      <c r="Q71" s="431"/>
      <c r="R71" s="431"/>
      <c r="S71" s="431"/>
      <c r="T71" s="431"/>
      <c r="U71" s="431"/>
      <c r="V71" s="431"/>
      <c r="W71" s="431"/>
      <c r="X71" s="431"/>
      <c r="Y71" s="431"/>
      <c r="Z71" s="431"/>
      <c r="AA71" s="431"/>
      <c r="AB71" s="432"/>
    </row>
    <row r="72" spans="2:28" ht="22.9" customHeight="1">
      <c r="B72" s="119"/>
      <c r="C72" s="592"/>
      <c r="D72" s="593"/>
      <c r="E72" s="586"/>
      <c r="F72" s="513"/>
      <c r="G72" s="535"/>
      <c r="H72" s="948"/>
      <c r="I72" s="948"/>
      <c r="J72" s="949"/>
      <c r="K72" s="99"/>
      <c r="L72" s="99"/>
      <c r="M72" s="108"/>
      <c r="O72" s="429"/>
      <c r="P72" s="431"/>
      <c r="Q72" s="431"/>
      <c r="R72" s="431"/>
      <c r="S72" s="431"/>
      <c r="T72" s="431"/>
      <c r="U72" s="431"/>
      <c r="V72" s="431"/>
      <c r="W72" s="431"/>
      <c r="X72" s="431"/>
      <c r="Y72" s="431"/>
      <c r="Z72" s="431"/>
      <c r="AA72" s="431"/>
      <c r="AB72" s="432"/>
    </row>
    <row r="73" spans="2:28" ht="22.9" customHeight="1">
      <c r="B73" s="119"/>
      <c r="C73" s="592"/>
      <c r="D73" s="593"/>
      <c r="E73" s="587"/>
      <c r="F73" s="506"/>
      <c r="G73" s="536"/>
      <c r="H73" s="950"/>
      <c r="I73" s="950"/>
      <c r="J73" s="951"/>
      <c r="K73" s="99"/>
      <c r="L73" s="99"/>
      <c r="M73" s="108"/>
      <c r="O73" s="429"/>
      <c r="P73" s="431"/>
      <c r="Q73" s="431"/>
      <c r="R73" s="431"/>
      <c r="S73" s="431"/>
      <c r="T73" s="431"/>
      <c r="U73" s="431"/>
      <c r="V73" s="431"/>
      <c r="W73" s="431"/>
      <c r="X73" s="431"/>
      <c r="Y73" s="431"/>
      <c r="Z73" s="431"/>
      <c r="AA73" s="431"/>
      <c r="AB73" s="432"/>
    </row>
    <row r="74" spans="2:28" ht="22.9" customHeight="1">
      <c r="B74" s="119"/>
      <c r="C74" s="592"/>
      <c r="D74" s="593"/>
      <c r="E74" s="587"/>
      <c r="F74" s="506"/>
      <c r="G74" s="536"/>
      <c r="H74" s="950"/>
      <c r="I74" s="950"/>
      <c r="J74" s="951"/>
      <c r="K74" s="99"/>
      <c r="L74" s="99"/>
      <c r="M74" s="108"/>
      <c r="O74" s="429"/>
      <c r="P74" s="431"/>
      <c r="Q74" s="431"/>
      <c r="R74" s="431"/>
      <c r="S74" s="431"/>
      <c r="T74" s="431"/>
      <c r="U74" s="431"/>
      <c r="V74" s="431"/>
      <c r="W74" s="431"/>
      <c r="X74" s="431"/>
      <c r="Y74" s="431"/>
      <c r="Z74" s="431"/>
      <c r="AA74" s="431"/>
      <c r="AB74" s="432"/>
    </row>
    <row r="75" spans="2:28" ht="22.9" customHeight="1">
      <c r="B75" s="119"/>
      <c r="C75" s="592"/>
      <c r="D75" s="593"/>
      <c r="E75" s="587"/>
      <c r="F75" s="506"/>
      <c r="G75" s="536"/>
      <c r="H75" s="950"/>
      <c r="I75" s="950"/>
      <c r="J75" s="951"/>
      <c r="K75" s="99"/>
      <c r="L75" s="99"/>
      <c r="M75" s="108"/>
      <c r="O75" s="429"/>
      <c r="P75" s="431"/>
      <c r="Q75" s="431"/>
      <c r="R75" s="431"/>
      <c r="S75" s="431"/>
      <c r="T75" s="431"/>
      <c r="U75" s="431"/>
      <c r="V75" s="431"/>
      <c r="W75" s="431"/>
      <c r="X75" s="431"/>
      <c r="Y75" s="431"/>
      <c r="Z75" s="431"/>
      <c r="AA75" s="431"/>
      <c r="AB75" s="432"/>
    </row>
    <row r="76" spans="2:28" ht="22.9" customHeight="1">
      <c r="B76" s="119"/>
      <c r="C76" s="592"/>
      <c r="D76" s="593"/>
      <c r="E76" s="588"/>
      <c r="F76" s="515"/>
      <c r="G76" s="537"/>
      <c r="H76" s="952"/>
      <c r="I76" s="952"/>
      <c r="J76" s="953"/>
      <c r="K76" s="99"/>
      <c r="L76" s="99"/>
      <c r="M76" s="108"/>
      <c r="O76" s="429"/>
      <c r="P76" s="431"/>
      <c r="Q76" s="431"/>
      <c r="R76" s="431"/>
      <c r="S76" s="431"/>
      <c r="T76" s="431"/>
      <c r="U76" s="431"/>
      <c r="V76" s="431"/>
      <c r="W76" s="431"/>
      <c r="X76" s="431"/>
      <c r="Y76" s="431"/>
      <c r="Z76" s="431"/>
      <c r="AA76" s="431"/>
      <c r="AB76" s="432"/>
    </row>
    <row r="77" spans="2:28" ht="22.9" customHeight="1">
      <c r="B77" s="119"/>
      <c r="C77" s="592"/>
      <c r="D77" s="593"/>
      <c r="E77" s="588"/>
      <c r="F77" s="515"/>
      <c r="G77" s="537"/>
      <c r="H77" s="952"/>
      <c r="I77" s="952"/>
      <c r="J77" s="953"/>
      <c r="K77" s="99"/>
      <c r="L77" s="99"/>
      <c r="M77" s="108"/>
      <c r="O77" s="429"/>
      <c r="P77" s="431"/>
      <c r="Q77" s="431"/>
      <c r="R77" s="431"/>
      <c r="S77" s="431"/>
      <c r="T77" s="431"/>
      <c r="U77" s="431"/>
      <c r="V77" s="431"/>
      <c r="W77" s="431"/>
      <c r="X77" s="431"/>
      <c r="Y77" s="431"/>
      <c r="Z77" s="431"/>
      <c r="AA77" s="431"/>
      <c r="AB77" s="432"/>
    </row>
    <row r="78" spans="2:28" ht="22.9" customHeight="1">
      <c r="B78" s="119"/>
      <c r="C78" s="594"/>
      <c r="D78" s="595"/>
      <c r="E78" s="589"/>
      <c r="F78" s="510"/>
      <c r="G78" s="538"/>
      <c r="H78" s="954"/>
      <c r="I78" s="954"/>
      <c r="J78" s="955"/>
      <c r="K78" s="99"/>
      <c r="L78" s="99"/>
      <c r="M78" s="108"/>
      <c r="O78" s="429"/>
      <c r="P78" s="431"/>
      <c r="Q78" s="431"/>
      <c r="R78" s="431"/>
      <c r="S78" s="431"/>
      <c r="T78" s="431"/>
      <c r="U78" s="431"/>
      <c r="V78" s="431"/>
      <c r="W78" s="431"/>
      <c r="X78" s="431"/>
      <c r="Y78" s="431"/>
      <c r="Z78" s="431"/>
      <c r="AA78" s="431"/>
      <c r="AB78" s="432"/>
    </row>
    <row r="79" spans="2:28" ht="22.9" customHeight="1" thickBot="1">
      <c r="B79" s="119"/>
      <c r="C79" s="1187" t="s">
        <v>878</v>
      </c>
      <c r="D79" s="1188"/>
      <c r="E79" s="1189"/>
      <c r="F79" s="179">
        <f>SUM(F69:F78)</f>
        <v>0</v>
      </c>
      <c r="G79" s="179">
        <f>SUM(G69:G78)</f>
        <v>0</v>
      </c>
      <c r="H79" s="98"/>
      <c r="I79" s="98"/>
      <c r="J79" s="174"/>
      <c r="K79" s="157"/>
      <c r="L79" s="157"/>
      <c r="M79" s="108"/>
      <c r="O79" s="429"/>
      <c r="P79" s="431"/>
      <c r="Q79" s="431"/>
      <c r="R79" s="431"/>
      <c r="S79" s="431"/>
      <c r="T79" s="431"/>
      <c r="U79" s="431"/>
      <c r="V79" s="431"/>
      <c r="W79" s="431"/>
      <c r="X79" s="431"/>
      <c r="Y79" s="431"/>
      <c r="Z79" s="431"/>
      <c r="AA79" s="431"/>
      <c r="AB79" s="432"/>
    </row>
    <row r="80" spans="2:28" ht="22.9" customHeight="1">
      <c r="B80" s="119"/>
      <c r="C80" s="221"/>
      <c r="D80" s="221"/>
      <c r="E80" s="222"/>
      <c r="F80" s="223"/>
      <c r="G80" s="223"/>
      <c r="H80" s="98"/>
      <c r="I80" s="98"/>
      <c r="J80" s="174"/>
      <c r="K80" s="222"/>
      <c r="L80" s="224"/>
      <c r="M80" s="108"/>
      <c r="O80" s="429"/>
      <c r="P80" s="431"/>
      <c r="Q80" s="431"/>
      <c r="R80" s="431"/>
      <c r="S80" s="431"/>
      <c r="T80" s="431"/>
      <c r="U80" s="431"/>
      <c r="V80" s="431"/>
      <c r="W80" s="431"/>
      <c r="X80" s="431"/>
      <c r="Y80" s="431"/>
      <c r="Z80" s="431"/>
      <c r="AA80" s="431"/>
      <c r="AB80" s="432"/>
    </row>
    <row r="81" spans="2:28" ht="22.9" customHeight="1">
      <c r="B81" s="119"/>
      <c r="C81" s="175" t="s">
        <v>855</v>
      </c>
      <c r="D81" s="173"/>
      <c r="E81" s="174"/>
      <c r="F81" s="174"/>
      <c r="G81" s="174"/>
      <c r="H81" s="98"/>
      <c r="I81" s="98"/>
      <c r="J81" s="174"/>
      <c r="K81" s="174"/>
      <c r="L81" s="98"/>
      <c r="M81" s="108"/>
      <c r="O81" s="429"/>
      <c r="P81" s="431"/>
      <c r="Q81" s="431"/>
      <c r="R81" s="431"/>
      <c r="S81" s="431"/>
      <c r="T81" s="431"/>
      <c r="U81" s="431"/>
      <c r="V81" s="431"/>
      <c r="W81" s="431"/>
      <c r="X81" s="431"/>
      <c r="Y81" s="431"/>
      <c r="Z81" s="431"/>
      <c r="AA81" s="431"/>
      <c r="AB81" s="432"/>
    </row>
    <row r="82" spans="2:28" ht="18">
      <c r="B82" s="119"/>
      <c r="C82" s="993"/>
      <c r="D82" s="993"/>
      <c r="E82" s="994"/>
      <c r="F82" s="994"/>
      <c r="G82" s="994"/>
      <c r="H82" s="994"/>
      <c r="I82" s="994"/>
      <c r="J82" s="994"/>
      <c r="K82" s="994"/>
      <c r="L82" s="995"/>
      <c r="M82" s="108"/>
      <c r="O82" s="429"/>
      <c r="P82" s="431"/>
      <c r="Q82" s="431"/>
      <c r="R82" s="431"/>
      <c r="S82" s="431"/>
      <c r="T82" s="431"/>
      <c r="U82" s="431"/>
      <c r="V82" s="431"/>
      <c r="W82" s="431"/>
      <c r="X82" s="431"/>
      <c r="Y82" s="431"/>
      <c r="Z82" s="431"/>
      <c r="AA82" s="431"/>
      <c r="AB82" s="432"/>
    </row>
    <row r="83" spans="2:28" ht="18">
      <c r="B83" s="119"/>
      <c r="C83" s="996"/>
      <c r="D83" s="996"/>
      <c r="E83" s="997"/>
      <c r="F83" s="997"/>
      <c r="G83" s="997"/>
      <c r="H83" s="997"/>
      <c r="I83" s="997"/>
      <c r="J83" s="997"/>
      <c r="K83" s="997"/>
      <c r="L83" s="998"/>
      <c r="M83" s="108"/>
      <c r="O83" s="429"/>
      <c r="P83" s="431"/>
      <c r="Q83" s="431"/>
      <c r="R83" s="431"/>
      <c r="S83" s="431"/>
      <c r="T83" s="431"/>
      <c r="U83" s="431"/>
      <c r="V83" s="431"/>
      <c r="W83" s="431"/>
      <c r="X83" s="431"/>
      <c r="Y83" s="431"/>
      <c r="Z83" s="431"/>
      <c r="AA83" s="431"/>
      <c r="AB83" s="432"/>
    </row>
    <row r="84" spans="2:28" ht="18">
      <c r="B84" s="119"/>
      <c r="C84" s="996"/>
      <c r="D84" s="996"/>
      <c r="E84" s="997"/>
      <c r="F84" s="997"/>
      <c r="G84" s="997"/>
      <c r="H84" s="997"/>
      <c r="I84" s="997"/>
      <c r="J84" s="997"/>
      <c r="K84" s="997"/>
      <c r="L84" s="998"/>
      <c r="M84" s="108"/>
      <c r="O84" s="429"/>
      <c r="P84" s="431"/>
      <c r="Q84" s="431"/>
      <c r="R84" s="431"/>
      <c r="S84" s="431"/>
      <c r="T84" s="431"/>
      <c r="U84" s="431"/>
      <c r="V84" s="431"/>
      <c r="W84" s="431"/>
      <c r="X84" s="431"/>
      <c r="Y84" s="431"/>
      <c r="Z84" s="431"/>
      <c r="AA84" s="431"/>
      <c r="AB84" s="432"/>
    </row>
    <row r="85" spans="2:28" ht="18">
      <c r="B85" s="119"/>
      <c r="C85" s="996"/>
      <c r="D85" s="996"/>
      <c r="E85" s="997"/>
      <c r="F85" s="997"/>
      <c r="G85" s="997"/>
      <c r="H85" s="997"/>
      <c r="I85" s="997"/>
      <c r="J85" s="997"/>
      <c r="K85" s="997"/>
      <c r="L85" s="998"/>
      <c r="M85" s="108"/>
      <c r="O85" s="429"/>
      <c r="P85" s="431"/>
      <c r="Q85" s="431"/>
      <c r="R85" s="431"/>
      <c r="S85" s="431"/>
      <c r="T85" s="431"/>
      <c r="U85" s="431"/>
      <c r="V85" s="431"/>
      <c r="W85" s="431"/>
      <c r="X85" s="431"/>
      <c r="Y85" s="431"/>
      <c r="Z85" s="431"/>
      <c r="AA85" s="431"/>
      <c r="AB85" s="432"/>
    </row>
    <row r="86" spans="2:28" ht="18">
      <c r="B86" s="119"/>
      <c r="C86" s="996"/>
      <c r="D86" s="996"/>
      <c r="E86" s="997"/>
      <c r="F86" s="997"/>
      <c r="G86" s="997"/>
      <c r="H86" s="997"/>
      <c r="I86" s="997"/>
      <c r="J86" s="997"/>
      <c r="K86" s="997"/>
      <c r="L86" s="998"/>
      <c r="M86" s="108"/>
      <c r="O86" s="429"/>
      <c r="P86" s="431"/>
      <c r="Q86" s="431"/>
      <c r="R86" s="431"/>
      <c r="S86" s="431"/>
      <c r="T86" s="431"/>
      <c r="U86" s="431"/>
      <c r="V86" s="431"/>
      <c r="W86" s="431"/>
      <c r="X86" s="431"/>
      <c r="Y86" s="431"/>
      <c r="Z86" s="431"/>
      <c r="AA86" s="431"/>
      <c r="AB86" s="432"/>
    </row>
    <row r="87" spans="2:28" ht="18">
      <c r="B87" s="119"/>
      <c r="C87" s="996"/>
      <c r="D87" s="996"/>
      <c r="E87" s="997"/>
      <c r="F87" s="997"/>
      <c r="G87" s="997"/>
      <c r="H87" s="997"/>
      <c r="I87" s="997"/>
      <c r="J87" s="997"/>
      <c r="K87" s="997"/>
      <c r="L87" s="998"/>
      <c r="M87" s="108"/>
      <c r="O87" s="429"/>
      <c r="P87" s="431"/>
      <c r="Q87" s="431"/>
      <c r="R87" s="431"/>
      <c r="S87" s="431"/>
      <c r="T87" s="431"/>
      <c r="U87" s="431"/>
      <c r="V87" s="431"/>
      <c r="W87" s="431"/>
      <c r="X87" s="431"/>
      <c r="Y87" s="431"/>
      <c r="Z87" s="431"/>
      <c r="AA87" s="431"/>
      <c r="AB87" s="432"/>
    </row>
    <row r="88" spans="2:28" ht="18">
      <c r="B88" s="119"/>
      <c r="C88" s="996"/>
      <c r="D88" s="996"/>
      <c r="E88" s="997"/>
      <c r="F88" s="997"/>
      <c r="G88" s="997"/>
      <c r="H88" s="997"/>
      <c r="I88" s="997"/>
      <c r="J88" s="997"/>
      <c r="K88" s="997"/>
      <c r="L88" s="998"/>
      <c r="M88" s="108"/>
      <c r="O88" s="429"/>
      <c r="P88" s="431"/>
      <c r="Q88" s="431"/>
      <c r="R88" s="431"/>
      <c r="S88" s="431"/>
      <c r="T88" s="431"/>
      <c r="U88" s="431"/>
      <c r="V88" s="431"/>
      <c r="W88" s="431"/>
      <c r="X88" s="431"/>
      <c r="Y88" s="431"/>
      <c r="Z88" s="431"/>
      <c r="AA88" s="431"/>
      <c r="AB88" s="432"/>
    </row>
    <row r="89" spans="2:28" ht="18">
      <c r="B89" s="119"/>
      <c r="C89" s="996"/>
      <c r="D89" s="996"/>
      <c r="E89" s="997"/>
      <c r="F89" s="997"/>
      <c r="G89" s="997"/>
      <c r="H89" s="997"/>
      <c r="I89" s="997"/>
      <c r="J89" s="997"/>
      <c r="K89" s="997"/>
      <c r="L89" s="998"/>
      <c r="M89" s="108"/>
      <c r="O89" s="429"/>
      <c r="P89" s="431"/>
      <c r="Q89" s="431"/>
      <c r="R89" s="431"/>
      <c r="S89" s="431"/>
      <c r="T89" s="431"/>
      <c r="U89" s="431"/>
      <c r="V89" s="431"/>
      <c r="W89" s="431"/>
      <c r="X89" s="431"/>
      <c r="Y89" s="431"/>
      <c r="Z89" s="431"/>
      <c r="AA89" s="431"/>
      <c r="AB89" s="432"/>
    </row>
    <row r="90" spans="2:28" ht="18">
      <c r="B90" s="119"/>
      <c r="C90" s="996"/>
      <c r="D90" s="996"/>
      <c r="E90" s="997"/>
      <c r="F90" s="997"/>
      <c r="G90" s="997"/>
      <c r="H90" s="997"/>
      <c r="I90" s="997"/>
      <c r="J90" s="997"/>
      <c r="K90" s="997"/>
      <c r="L90" s="998"/>
      <c r="M90" s="108"/>
      <c r="O90" s="429"/>
      <c r="P90" s="431"/>
      <c r="Q90" s="431"/>
      <c r="R90" s="431"/>
      <c r="S90" s="431"/>
      <c r="T90" s="431"/>
      <c r="U90" s="431"/>
      <c r="V90" s="431"/>
      <c r="W90" s="431"/>
      <c r="X90" s="431"/>
      <c r="Y90" s="431"/>
      <c r="Z90" s="431"/>
      <c r="AA90" s="431"/>
      <c r="AB90" s="432"/>
    </row>
    <row r="91" spans="2:28" ht="18">
      <c r="B91" s="119"/>
      <c r="C91" s="996"/>
      <c r="D91" s="996"/>
      <c r="E91" s="997"/>
      <c r="F91" s="997"/>
      <c r="G91" s="997"/>
      <c r="H91" s="997"/>
      <c r="I91" s="997"/>
      <c r="J91" s="997"/>
      <c r="K91" s="997"/>
      <c r="L91" s="998"/>
      <c r="M91" s="108"/>
      <c r="O91" s="429"/>
      <c r="P91" s="431"/>
      <c r="Q91" s="431"/>
      <c r="R91" s="431"/>
      <c r="S91" s="431"/>
      <c r="T91" s="431"/>
      <c r="U91" s="431"/>
      <c r="V91" s="431"/>
      <c r="W91" s="431"/>
      <c r="X91" s="431"/>
      <c r="Y91" s="431"/>
      <c r="Z91" s="431"/>
      <c r="AA91" s="431"/>
      <c r="AB91" s="432"/>
    </row>
    <row r="92" spans="2:28" ht="18">
      <c r="B92" s="119"/>
      <c r="C92" s="1020" t="s">
        <v>856</v>
      </c>
      <c r="D92" s="1017"/>
      <c r="E92" s="1018"/>
      <c r="F92" s="1018"/>
      <c r="G92" s="1018"/>
      <c r="H92" s="1018"/>
      <c r="I92" s="1018"/>
      <c r="J92" s="1018"/>
      <c r="K92" s="1018"/>
      <c r="L92" s="1019"/>
      <c r="M92" s="108"/>
      <c r="O92" s="429"/>
      <c r="P92" s="431"/>
      <c r="Q92" s="431"/>
      <c r="R92" s="431"/>
      <c r="S92" s="431"/>
      <c r="T92" s="431"/>
      <c r="U92" s="431"/>
      <c r="V92" s="431"/>
      <c r="W92" s="431"/>
      <c r="X92" s="431"/>
      <c r="Y92" s="431"/>
      <c r="Z92" s="431"/>
      <c r="AA92" s="431"/>
      <c r="AB92" s="432"/>
    </row>
    <row r="93" spans="2:28" ht="18">
      <c r="B93" s="119"/>
      <c r="C93" s="1021" t="s">
        <v>870</v>
      </c>
      <c r="D93" s="1017"/>
      <c r="E93" s="1018"/>
      <c r="F93" s="1018"/>
      <c r="G93" s="1018"/>
      <c r="H93" s="1018"/>
      <c r="I93" s="1018"/>
      <c r="J93" s="1018"/>
      <c r="K93" s="1018"/>
      <c r="L93" s="1019"/>
      <c r="M93" s="108"/>
      <c r="O93" s="429"/>
      <c r="P93" s="431"/>
      <c r="Q93" s="431"/>
      <c r="R93" s="431"/>
      <c r="S93" s="431"/>
      <c r="T93" s="431"/>
      <c r="U93" s="431"/>
      <c r="V93" s="431"/>
      <c r="W93" s="431"/>
      <c r="X93" s="431"/>
      <c r="Y93" s="431"/>
      <c r="Z93" s="431"/>
      <c r="AA93" s="431"/>
      <c r="AB93" s="432"/>
    </row>
    <row r="94" spans="2:28" ht="18">
      <c r="B94" s="119"/>
      <c r="C94" s="1021" t="s">
        <v>868</v>
      </c>
      <c r="D94" s="1017"/>
      <c r="E94" s="1018"/>
      <c r="F94" s="1022">
        <f>ejercicio-1</f>
        <v>2017</v>
      </c>
      <c r="G94" s="1018" t="s">
        <v>869</v>
      </c>
      <c r="H94" s="1018"/>
      <c r="I94" s="1018"/>
      <c r="J94" s="1022">
        <f>ejercicio</f>
        <v>2018</v>
      </c>
      <c r="K94" s="1018"/>
      <c r="L94" s="1019"/>
      <c r="M94" s="108"/>
      <c r="O94" s="429"/>
      <c r="P94" s="431"/>
      <c r="Q94" s="431"/>
      <c r="R94" s="431"/>
      <c r="S94" s="431"/>
      <c r="T94" s="431"/>
      <c r="U94" s="431"/>
      <c r="V94" s="431"/>
      <c r="W94" s="431"/>
      <c r="X94" s="431"/>
      <c r="Y94" s="431"/>
      <c r="Z94" s="431"/>
      <c r="AA94" s="431"/>
      <c r="AB94" s="432"/>
    </row>
    <row r="95" spans="2:28" ht="18">
      <c r="B95" s="119"/>
      <c r="C95" s="1021" t="s">
        <v>872</v>
      </c>
      <c r="D95" s="1017"/>
      <c r="E95" s="1018"/>
      <c r="F95" s="1018"/>
      <c r="G95" s="1018"/>
      <c r="H95" s="1018"/>
      <c r="I95" s="1018"/>
      <c r="J95" s="1018"/>
      <c r="K95" s="1018"/>
      <c r="L95" s="1019"/>
      <c r="M95" s="108"/>
      <c r="O95" s="429"/>
      <c r="P95" s="431"/>
      <c r="Q95" s="431"/>
      <c r="R95" s="431"/>
      <c r="S95" s="431"/>
      <c r="T95" s="431"/>
      <c r="U95" s="431"/>
      <c r="V95" s="431"/>
      <c r="W95" s="431"/>
      <c r="X95" s="431"/>
      <c r="Y95" s="431"/>
      <c r="Z95" s="431"/>
      <c r="AA95" s="431"/>
      <c r="AB95" s="432"/>
    </row>
    <row r="96" spans="2:28" ht="18">
      <c r="B96" s="119"/>
      <c r="C96" s="1017" t="s">
        <v>871</v>
      </c>
      <c r="D96" s="1017"/>
      <c r="E96" s="1018"/>
      <c r="F96" s="1018"/>
      <c r="G96" s="1018"/>
      <c r="H96" s="1018"/>
      <c r="I96" s="1018"/>
      <c r="J96" s="1018"/>
      <c r="K96" s="1018"/>
      <c r="L96" s="1019"/>
      <c r="M96" s="108"/>
      <c r="O96" s="429"/>
      <c r="P96" s="431"/>
      <c r="Q96" s="431"/>
      <c r="R96" s="431"/>
      <c r="S96" s="431"/>
      <c r="T96" s="431"/>
      <c r="U96" s="431"/>
      <c r="V96" s="431"/>
      <c r="W96" s="431"/>
      <c r="X96" s="431"/>
      <c r="Y96" s="431"/>
      <c r="Z96" s="431"/>
      <c r="AA96" s="431"/>
      <c r="AB96" s="432"/>
    </row>
    <row r="97" spans="2:28" ht="18">
      <c r="B97" s="119"/>
      <c r="C97" s="1021" t="s">
        <v>873</v>
      </c>
      <c r="D97" s="1017"/>
      <c r="E97" s="1018"/>
      <c r="F97" s="1018"/>
      <c r="G97" s="1018"/>
      <c r="H97" s="1018"/>
      <c r="I97" s="1018"/>
      <c r="J97" s="1018"/>
      <c r="K97" s="1018"/>
      <c r="L97" s="1019"/>
      <c r="M97" s="108"/>
      <c r="O97" s="429"/>
      <c r="P97" s="431"/>
      <c r="Q97" s="431"/>
      <c r="R97" s="431"/>
      <c r="S97" s="431"/>
      <c r="T97" s="431"/>
      <c r="U97" s="431"/>
      <c r="V97" s="431"/>
      <c r="W97" s="431"/>
      <c r="X97" s="431"/>
      <c r="Y97" s="431"/>
      <c r="Z97" s="431"/>
      <c r="AA97" s="431"/>
      <c r="AB97" s="432"/>
    </row>
    <row r="98" spans="2:28" ht="18">
      <c r="B98" s="119"/>
      <c r="C98" s="1017" t="s">
        <v>859</v>
      </c>
      <c r="D98" s="1017"/>
      <c r="E98" s="1018"/>
      <c r="F98" s="1018"/>
      <c r="G98" s="1018"/>
      <c r="H98" s="1018"/>
      <c r="I98" s="1018"/>
      <c r="J98" s="1018"/>
      <c r="K98" s="1018"/>
      <c r="L98" s="1019"/>
      <c r="M98" s="108"/>
      <c r="O98" s="429"/>
      <c r="P98" s="431"/>
      <c r="Q98" s="431"/>
      <c r="R98" s="431"/>
      <c r="S98" s="431"/>
      <c r="T98" s="431"/>
      <c r="U98" s="431"/>
      <c r="V98" s="431"/>
      <c r="W98" s="431"/>
      <c r="X98" s="431"/>
      <c r="Y98" s="431"/>
      <c r="Z98" s="431"/>
      <c r="AA98" s="431"/>
      <c r="AB98" s="432"/>
    </row>
    <row r="99" spans="2:28" ht="18">
      <c r="B99" s="119"/>
      <c r="C99" s="1017" t="s">
        <v>879</v>
      </c>
      <c r="D99" s="1017"/>
      <c r="E99" s="1018"/>
      <c r="F99" s="1018"/>
      <c r="G99" s="1018"/>
      <c r="H99" s="1018"/>
      <c r="I99" s="1018"/>
      <c r="J99" s="1018"/>
      <c r="K99" s="1018"/>
      <c r="L99" s="1019"/>
      <c r="M99" s="108"/>
      <c r="O99" s="429"/>
      <c r="P99" s="431"/>
      <c r="Q99" s="431"/>
      <c r="R99" s="431"/>
      <c r="S99" s="431"/>
      <c r="T99" s="431"/>
      <c r="U99" s="431"/>
      <c r="V99" s="431"/>
      <c r="W99" s="431"/>
      <c r="X99" s="431"/>
      <c r="Y99" s="431"/>
      <c r="Z99" s="431"/>
      <c r="AA99" s="431"/>
      <c r="AB99" s="432"/>
    </row>
    <row r="100" spans="2:28" ht="18">
      <c r="B100" s="119"/>
      <c r="C100" s="1017" t="s">
        <v>860</v>
      </c>
      <c r="D100" s="1017"/>
      <c r="E100" s="1018"/>
      <c r="F100" s="1018"/>
      <c r="G100" s="1018"/>
      <c r="H100" s="1018"/>
      <c r="I100" s="1018"/>
      <c r="J100" s="1018"/>
      <c r="K100" s="1018"/>
      <c r="L100" s="1019"/>
      <c r="M100" s="108"/>
      <c r="O100" s="429"/>
      <c r="P100" s="431"/>
      <c r="Q100" s="431"/>
      <c r="R100" s="431"/>
      <c r="S100" s="431"/>
      <c r="T100" s="431"/>
      <c r="U100" s="431"/>
      <c r="V100" s="431"/>
      <c r="W100" s="431"/>
      <c r="X100" s="431"/>
      <c r="Y100" s="431"/>
      <c r="Z100" s="431"/>
      <c r="AA100" s="431"/>
      <c r="AB100" s="432"/>
    </row>
    <row r="101" spans="2:28" ht="18">
      <c r="B101" s="119"/>
      <c r="C101" s="1021" t="s">
        <v>874</v>
      </c>
      <c r="D101" s="1017"/>
      <c r="E101" s="1018"/>
      <c r="F101" s="1018"/>
      <c r="G101" s="1018"/>
      <c r="H101" s="1018"/>
      <c r="I101" s="1018"/>
      <c r="J101" s="1018"/>
      <c r="K101" s="1018"/>
      <c r="L101" s="1019"/>
      <c r="M101" s="108"/>
      <c r="O101" s="429"/>
      <c r="P101" s="431"/>
      <c r="Q101" s="431"/>
      <c r="R101" s="431"/>
      <c r="S101" s="431"/>
      <c r="T101" s="431"/>
      <c r="U101" s="431"/>
      <c r="V101" s="431"/>
      <c r="W101" s="431"/>
      <c r="X101" s="431"/>
      <c r="Y101" s="431"/>
      <c r="Z101" s="431"/>
      <c r="AA101" s="431"/>
      <c r="AB101" s="432"/>
    </row>
    <row r="102" spans="2:28" ht="18">
      <c r="B102" s="119"/>
      <c r="C102" s="1021" t="s">
        <v>881</v>
      </c>
      <c r="D102" s="1017"/>
      <c r="E102" s="1018"/>
      <c r="F102" s="1018"/>
      <c r="G102" s="1018"/>
      <c r="H102" s="1018"/>
      <c r="I102" s="1018"/>
      <c r="J102" s="1018"/>
      <c r="K102" s="1018"/>
      <c r="L102" s="1019"/>
      <c r="M102" s="108"/>
      <c r="O102" s="429"/>
      <c r="P102" s="431"/>
      <c r="Q102" s="431"/>
      <c r="R102" s="431"/>
      <c r="S102" s="431"/>
      <c r="T102" s="431"/>
      <c r="U102" s="431"/>
      <c r="V102" s="431"/>
      <c r="W102" s="431"/>
      <c r="X102" s="431"/>
      <c r="Y102" s="431"/>
      <c r="Z102" s="431"/>
      <c r="AA102" s="431"/>
      <c r="AB102" s="432"/>
    </row>
    <row r="103" spans="2:28" ht="18">
      <c r="B103" s="119"/>
      <c r="C103" s="1017" t="s">
        <v>865</v>
      </c>
      <c r="D103" s="1017"/>
      <c r="E103" s="1018"/>
      <c r="F103" s="1018"/>
      <c r="G103" s="1018"/>
      <c r="H103" s="1018"/>
      <c r="I103" s="1018"/>
      <c r="J103" s="1018"/>
      <c r="K103" s="1018"/>
      <c r="L103" s="1019"/>
      <c r="M103" s="108"/>
      <c r="O103" s="429"/>
      <c r="P103" s="431"/>
      <c r="Q103" s="431"/>
      <c r="R103" s="431"/>
      <c r="S103" s="431"/>
      <c r="T103" s="431"/>
      <c r="U103" s="431"/>
      <c r="V103" s="431"/>
      <c r="W103" s="431"/>
      <c r="X103" s="431"/>
      <c r="Y103" s="431"/>
      <c r="Z103" s="431"/>
      <c r="AA103" s="431"/>
      <c r="AB103" s="432"/>
    </row>
    <row r="104" spans="2:28" ht="18">
      <c r="B104" s="119"/>
      <c r="C104" s="1021" t="s">
        <v>875</v>
      </c>
      <c r="D104" s="1017"/>
      <c r="E104" s="1018"/>
      <c r="F104" s="1018"/>
      <c r="G104" s="1018"/>
      <c r="H104" s="1018"/>
      <c r="I104" s="1018"/>
      <c r="J104" s="1018"/>
      <c r="K104" s="1018"/>
      <c r="L104" s="1019"/>
      <c r="M104" s="108"/>
      <c r="O104" s="429"/>
      <c r="P104" s="431"/>
      <c r="Q104" s="431"/>
      <c r="R104" s="431"/>
      <c r="S104" s="431"/>
      <c r="T104" s="431"/>
      <c r="U104" s="431"/>
      <c r="V104" s="431"/>
      <c r="W104" s="431"/>
      <c r="X104" s="431"/>
      <c r="Y104" s="431"/>
      <c r="Z104" s="431"/>
      <c r="AA104" s="431"/>
      <c r="AB104" s="432"/>
    </row>
    <row r="105" spans="2:28" s="1029" customFormat="1" ht="18">
      <c r="B105" s="1023"/>
      <c r="C105" s="1024" t="s">
        <v>880</v>
      </c>
      <c r="D105" s="1025"/>
      <c r="E105" s="1026"/>
      <c r="F105" s="1026"/>
      <c r="G105" s="1026"/>
      <c r="H105" s="1026"/>
      <c r="I105" s="1026"/>
      <c r="J105" s="1026"/>
      <c r="K105" s="1026"/>
      <c r="L105" s="1027"/>
      <c r="M105" s="1028"/>
      <c r="O105" s="429"/>
      <c r="P105" s="431"/>
      <c r="Q105" s="431"/>
      <c r="R105" s="431"/>
      <c r="S105" s="431"/>
      <c r="T105" s="431"/>
      <c r="U105" s="431"/>
      <c r="V105" s="431"/>
      <c r="W105" s="431"/>
      <c r="X105" s="431"/>
      <c r="Y105" s="431"/>
      <c r="Z105" s="431"/>
      <c r="AA105" s="431"/>
      <c r="AB105" s="432"/>
    </row>
    <row r="106" spans="2:28" ht="18">
      <c r="B106" s="119"/>
      <c r="C106" s="1017" t="s">
        <v>866</v>
      </c>
      <c r="D106" s="1017"/>
      <c r="E106" s="1018"/>
      <c r="F106" s="1018"/>
      <c r="G106" s="1018"/>
      <c r="H106" s="1018"/>
      <c r="I106" s="1018"/>
      <c r="J106" s="1018"/>
      <c r="K106" s="1018"/>
      <c r="L106" s="1019"/>
      <c r="M106" s="108"/>
      <c r="O106" s="429"/>
      <c r="P106" s="431"/>
      <c r="Q106" s="431"/>
      <c r="R106" s="431"/>
      <c r="S106" s="431"/>
      <c r="T106" s="431"/>
      <c r="U106" s="431"/>
      <c r="V106" s="431"/>
      <c r="W106" s="431"/>
      <c r="X106" s="431"/>
      <c r="Y106" s="431"/>
      <c r="Z106" s="431"/>
      <c r="AA106" s="431"/>
      <c r="AB106" s="432"/>
    </row>
    <row r="107" spans="2:28" ht="18">
      <c r="B107" s="119"/>
      <c r="C107" s="1021" t="s">
        <v>876</v>
      </c>
      <c r="D107" s="1017"/>
      <c r="E107" s="1018"/>
      <c r="F107" s="1018"/>
      <c r="G107" s="1018"/>
      <c r="H107" s="1018"/>
      <c r="I107" s="1018"/>
      <c r="J107" s="1018"/>
      <c r="K107" s="1018"/>
      <c r="L107" s="1019"/>
      <c r="M107" s="108"/>
      <c r="O107" s="429"/>
      <c r="P107" s="431"/>
      <c r="Q107" s="431"/>
      <c r="R107" s="431"/>
      <c r="S107" s="431"/>
      <c r="T107" s="431"/>
      <c r="U107" s="431"/>
      <c r="V107" s="431"/>
      <c r="W107" s="431"/>
      <c r="X107" s="431"/>
      <c r="Y107" s="431"/>
      <c r="Z107" s="431"/>
      <c r="AA107" s="431"/>
      <c r="AB107" s="432"/>
    </row>
    <row r="108" spans="2:28" ht="18">
      <c r="B108" s="119"/>
      <c r="C108" s="1017" t="s">
        <v>867</v>
      </c>
      <c r="D108" s="1017"/>
      <c r="E108" s="1018"/>
      <c r="F108" s="1018"/>
      <c r="G108" s="1018"/>
      <c r="H108" s="1018"/>
      <c r="I108" s="1018"/>
      <c r="J108" s="1018"/>
      <c r="K108" s="1018"/>
      <c r="L108" s="1019"/>
      <c r="M108" s="108"/>
      <c r="O108" s="429"/>
      <c r="P108" s="431"/>
      <c r="Q108" s="431"/>
      <c r="R108" s="431"/>
      <c r="S108" s="431"/>
      <c r="T108" s="431"/>
      <c r="U108" s="431"/>
      <c r="V108" s="431"/>
      <c r="W108" s="431"/>
      <c r="X108" s="431"/>
      <c r="Y108" s="431"/>
      <c r="Z108" s="431"/>
      <c r="AA108" s="431"/>
      <c r="AB108" s="432"/>
    </row>
    <row r="109" spans="2:28" ht="22.9" customHeight="1" thickBot="1">
      <c r="B109" s="123"/>
      <c r="C109" s="1128"/>
      <c r="D109" s="1128"/>
      <c r="E109" s="1128"/>
      <c r="F109" s="1128"/>
      <c r="G109" s="57"/>
      <c r="H109" s="999"/>
      <c r="I109" s="999"/>
      <c r="J109" s="57"/>
      <c r="K109" s="57"/>
      <c r="L109" s="124"/>
      <c r="M109" s="125"/>
      <c r="O109" s="445"/>
      <c r="P109" s="446"/>
      <c r="Q109" s="446"/>
      <c r="R109" s="446"/>
      <c r="S109" s="446"/>
      <c r="T109" s="446"/>
      <c r="U109" s="446"/>
      <c r="V109" s="446"/>
      <c r="W109" s="446"/>
      <c r="X109" s="446"/>
      <c r="Y109" s="446"/>
      <c r="Z109" s="446"/>
      <c r="AA109" s="446"/>
      <c r="AB109" s="447"/>
    </row>
    <row r="110" spans="2:28" ht="22.9" customHeight="1">
      <c r="C110" s="106"/>
      <c r="D110" s="106"/>
      <c r="E110" s="107"/>
      <c r="F110" s="107"/>
      <c r="G110" s="107"/>
      <c r="H110" s="107"/>
      <c r="I110" s="107"/>
      <c r="J110" s="107"/>
      <c r="K110" s="107"/>
      <c r="L110" s="107"/>
    </row>
    <row r="111" spans="2:28" ht="12.75">
      <c r="C111" s="126" t="s">
        <v>77</v>
      </c>
      <c r="D111" s="106"/>
      <c r="E111" s="107"/>
      <c r="F111" s="107"/>
      <c r="G111" s="107"/>
      <c r="H111" s="107"/>
      <c r="I111" s="107"/>
      <c r="J111" s="107"/>
      <c r="K111" s="107"/>
      <c r="L111" s="97" t="s">
        <v>54</v>
      </c>
    </row>
    <row r="112" spans="2:28" ht="12.75">
      <c r="C112" s="127" t="s">
        <v>78</v>
      </c>
      <c r="D112" s="106"/>
      <c r="E112" s="107"/>
      <c r="F112" s="107"/>
      <c r="G112" s="107"/>
      <c r="H112" s="107"/>
      <c r="I112" s="107"/>
      <c r="J112" s="107"/>
      <c r="K112" s="107"/>
      <c r="L112" s="107"/>
    </row>
    <row r="113" spans="3:12" ht="12.75">
      <c r="C113" s="127" t="s">
        <v>79</v>
      </c>
      <c r="D113" s="106"/>
      <c r="E113" s="107"/>
      <c r="F113" s="107"/>
      <c r="G113" s="107"/>
      <c r="H113" s="107"/>
      <c r="I113" s="107"/>
      <c r="J113" s="107"/>
      <c r="K113" s="107"/>
      <c r="L113" s="107"/>
    </row>
    <row r="114" spans="3:12" ht="12.75">
      <c r="C114" s="127" t="s">
        <v>80</v>
      </c>
      <c r="D114" s="106"/>
      <c r="E114" s="107"/>
      <c r="F114" s="107"/>
      <c r="G114" s="107"/>
      <c r="H114" s="107"/>
      <c r="I114" s="107"/>
      <c r="J114" s="107"/>
      <c r="K114" s="107"/>
      <c r="L114" s="107"/>
    </row>
    <row r="115" spans="3:12" ht="12.75">
      <c r="C115" s="127" t="s">
        <v>81</v>
      </c>
      <c r="D115" s="106"/>
      <c r="E115" s="107"/>
      <c r="F115" s="107"/>
      <c r="G115" s="107"/>
      <c r="H115" s="107"/>
      <c r="I115" s="107"/>
      <c r="J115" s="107"/>
      <c r="K115" s="107"/>
      <c r="L115" s="107"/>
    </row>
    <row r="116" spans="3:12" ht="22.9" customHeight="1">
      <c r="C116" s="106"/>
      <c r="D116" s="106"/>
      <c r="E116" s="107"/>
      <c r="F116" s="107"/>
      <c r="G116" s="107"/>
      <c r="H116" s="107"/>
      <c r="I116" s="107"/>
      <c r="J116" s="107"/>
      <c r="K116" s="107"/>
      <c r="L116" s="107"/>
    </row>
    <row r="117" spans="3:12" ht="22.9" customHeight="1">
      <c r="C117" s="106"/>
      <c r="D117" s="106"/>
      <c r="E117" s="107"/>
      <c r="F117" s="107"/>
      <c r="G117" s="107"/>
      <c r="H117" s="107"/>
      <c r="I117" s="107"/>
      <c r="J117" s="107"/>
      <c r="K117" s="107"/>
      <c r="L117" s="107"/>
    </row>
    <row r="118" spans="3:12" ht="22.9" customHeight="1">
      <c r="C118" s="106"/>
      <c r="D118" s="106"/>
      <c r="E118" s="107"/>
      <c r="F118" s="107"/>
      <c r="G118" s="107"/>
      <c r="H118" s="107"/>
      <c r="I118" s="107"/>
      <c r="J118" s="107"/>
      <c r="K118" s="107"/>
      <c r="L118" s="107"/>
    </row>
    <row r="119" spans="3:12" ht="22.9" customHeight="1">
      <c r="C119" s="106"/>
      <c r="D119" s="106"/>
      <c r="E119" s="107"/>
      <c r="F119" s="107"/>
      <c r="G119" s="107"/>
      <c r="H119" s="107"/>
      <c r="I119" s="107"/>
      <c r="J119" s="107"/>
      <c r="K119" s="107"/>
      <c r="L119" s="107"/>
    </row>
    <row r="120" spans="3:12" ht="22.9" customHeight="1">
      <c r="F120" s="107"/>
      <c r="G120" s="107"/>
      <c r="H120" s="107"/>
      <c r="I120" s="107"/>
      <c r="J120" s="107"/>
      <c r="K120" s="107"/>
      <c r="L120" s="107"/>
    </row>
  </sheetData>
  <sheetProtection password="E059" sheet="1" objects="1" scenarios="1" insertRows="0"/>
  <mergeCells count="24">
    <mergeCell ref="L6:L7"/>
    <mergeCell ref="D9:L9"/>
    <mergeCell ref="C12:D12"/>
    <mergeCell ref="C31:L31"/>
    <mergeCell ref="C109:F109"/>
    <mergeCell ref="C32:E32"/>
    <mergeCell ref="C33:E33"/>
    <mergeCell ref="C50:E50"/>
    <mergeCell ref="C65:E65"/>
    <mergeCell ref="C79:E79"/>
    <mergeCell ref="C18:E18"/>
    <mergeCell ref="C15:D15"/>
    <mergeCell ref="C16:D16"/>
    <mergeCell ref="F15:G15"/>
    <mergeCell ref="H15:I15"/>
    <mergeCell ref="C38:D38"/>
    <mergeCell ref="C54:D54"/>
    <mergeCell ref="C68:D68"/>
    <mergeCell ref="F38:G38"/>
    <mergeCell ref="H38:I38"/>
    <mergeCell ref="C39:D39"/>
    <mergeCell ref="C53:D53"/>
    <mergeCell ref="F53:G53"/>
    <mergeCell ref="H53:I53"/>
  </mergeCells>
  <phoneticPr fontId="22" type="noConversion"/>
  <printOptions horizontalCentered="1" verticalCentered="1"/>
  <pageMargins left="0.35629921259842523" right="0.35629921259842523" top="0.60629921259842523" bottom="0.60629921259842523" header="0.5" footer="0.5"/>
  <pageSetup paperSize="9" scale="30" orientation="portrait" horizontalDpi="4294967292" verticalDpi="4294967292" r:id="rId1"/>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AI95"/>
  <sheetViews>
    <sheetView topLeftCell="L1" zoomScale="70" zoomScaleNormal="70" zoomScalePageLayoutView="70" workbookViewId="0">
      <selection activeCell="F102" sqref="F102"/>
    </sheetView>
  </sheetViews>
  <sheetFormatPr baseColWidth="10" defaultColWidth="10.77734375" defaultRowHeight="22.9" customHeight="1"/>
  <cols>
    <col min="1" max="2" width="3.21875" style="99" customWidth="1"/>
    <col min="3" max="3" width="13.5546875" style="99" customWidth="1"/>
    <col min="4" max="4" width="26.5546875" style="99" customWidth="1"/>
    <col min="5" max="6" width="13.44140625" style="100" customWidth="1"/>
    <col min="7" max="7" width="20" style="100" customWidth="1"/>
    <col min="8" max="8" width="13.44140625" style="100" customWidth="1"/>
    <col min="9" max="9" width="11.21875" style="100" customWidth="1"/>
    <col min="10" max="10" width="16" style="100" customWidth="1"/>
    <col min="11" max="19" width="15.77734375" style="100" customWidth="1"/>
    <col min="20" max="20" width="3.21875" style="99" customWidth="1"/>
    <col min="21" max="16384" width="10.77734375" style="99"/>
  </cols>
  <sheetData>
    <row r="2" spans="2:35" ht="22.9" customHeight="1">
      <c r="D2" s="221" t="s">
        <v>379</v>
      </c>
    </row>
    <row r="3" spans="2:35" ht="22.9" customHeight="1">
      <c r="D3" s="221" t="s">
        <v>380</v>
      </c>
    </row>
    <row r="4" spans="2:35" ht="22.9" customHeight="1" thickBot="1"/>
    <row r="5" spans="2:35" ht="9" customHeight="1">
      <c r="B5" s="101"/>
      <c r="C5" s="102"/>
      <c r="D5" s="102"/>
      <c r="E5" s="103"/>
      <c r="F5" s="103"/>
      <c r="G5" s="103"/>
      <c r="H5" s="103"/>
      <c r="I5" s="103"/>
      <c r="J5" s="103"/>
      <c r="K5" s="103"/>
      <c r="L5" s="103"/>
      <c r="M5" s="103"/>
      <c r="N5" s="103"/>
      <c r="O5" s="103"/>
      <c r="P5" s="103"/>
      <c r="Q5" s="103"/>
      <c r="R5" s="103"/>
      <c r="S5" s="103"/>
      <c r="T5" s="104"/>
      <c r="V5" s="426"/>
      <c r="W5" s="427"/>
      <c r="X5" s="427"/>
      <c r="Y5" s="427"/>
      <c r="Z5" s="427"/>
      <c r="AA5" s="427"/>
      <c r="AB5" s="427"/>
      <c r="AC5" s="427"/>
      <c r="AD5" s="427"/>
      <c r="AE5" s="427"/>
      <c r="AF5" s="427"/>
      <c r="AG5" s="427"/>
      <c r="AH5" s="427"/>
      <c r="AI5" s="428"/>
    </row>
    <row r="6" spans="2:35" ht="30" customHeight="1">
      <c r="B6" s="105"/>
      <c r="C6" s="69" t="s">
        <v>0</v>
      </c>
      <c r="D6" s="106"/>
      <c r="E6" s="107"/>
      <c r="F6" s="107"/>
      <c r="G6" s="107"/>
      <c r="H6" s="107"/>
      <c r="I6" s="107"/>
      <c r="J6" s="107"/>
      <c r="K6" s="107"/>
      <c r="L6" s="107"/>
      <c r="M6" s="107"/>
      <c r="N6" s="107"/>
      <c r="O6" s="107"/>
      <c r="P6" s="107"/>
      <c r="Q6" s="107"/>
      <c r="R6" s="107"/>
      <c r="S6" s="1105">
        <f>ejercicio</f>
        <v>2018</v>
      </c>
      <c r="T6" s="108"/>
      <c r="V6" s="429"/>
      <c r="W6" s="430" t="s">
        <v>707</v>
      </c>
      <c r="X6" s="431"/>
      <c r="Y6" s="431"/>
      <c r="Z6" s="431"/>
      <c r="AA6" s="431"/>
      <c r="AB6" s="431"/>
      <c r="AC6" s="431"/>
      <c r="AD6" s="431"/>
      <c r="AE6" s="431"/>
      <c r="AF6" s="431"/>
      <c r="AG6" s="431"/>
      <c r="AH6" s="431"/>
      <c r="AI6" s="432"/>
    </row>
    <row r="7" spans="2:35" ht="30" customHeight="1">
      <c r="B7" s="105"/>
      <c r="C7" s="69" t="s">
        <v>1</v>
      </c>
      <c r="D7" s="106"/>
      <c r="E7" s="107"/>
      <c r="F7" s="107"/>
      <c r="G7" s="107"/>
      <c r="H7" s="107"/>
      <c r="I7" s="107"/>
      <c r="J7" s="107"/>
      <c r="K7" s="107"/>
      <c r="L7" s="107"/>
      <c r="M7" s="107"/>
      <c r="N7" s="107"/>
      <c r="O7" s="107"/>
      <c r="P7" s="107"/>
      <c r="Q7" s="107"/>
      <c r="R7" s="107"/>
      <c r="S7" s="1105"/>
      <c r="T7" s="108"/>
      <c r="V7" s="429"/>
      <c r="W7" s="431"/>
      <c r="X7" s="431"/>
      <c r="Y7" s="431"/>
      <c r="Z7" s="431"/>
      <c r="AA7" s="431"/>
      <c r="AB7" s="431"/>
      <c r="AC7" s="431"/>
      <c r="AD7" s="431"/>
      <c r="AE7" s="431"/>
      <c r="AF7" s="431"/>
      <c r="AG7" s="431"/>
      <c r="AH7" s="431"/>
      <c r="AI7" s="432"/>
    </row>
    <row r="8" spans="2:35" ht="30" customHeight="1">
      <c r="B8" s="105"/>
      <c r="C8" s="109"/>
      <c r="D8" s="106"/>
      <c r="E8" s="107"/>
      <c r="F8" s="107"/>
      <c r="G8" s="107"/>
      <c r="H8" s="107"/>
      <c r="I8" s="107"/>
      <c r="J8" s="107"/>
      <c r="K8" s="107"/>
      <c r="L8" s="107"/>
      <c r="M8" s="107"/>
      <c r="N8" s="107"/>
      <c r="O8" s="107"/>
      <c r="P8" s="107"/>
      <c r="Q8" s="107"/>
      <c r="R8" s="107"/>
      <c r="S8" s="107"/>
      <c r="T8" s="108"/>
      <c r="V8" s="429"/>
      <c r="W8" s="431"/>
      <c r="X8" s="431"/>
      <c r="Y8" s="431"/>
      <c r="Z8" s="431"/>
      <c r="AA8" s="431"/>
      <c r="AB8" s="431"/>
      <c r="AC8" s="431"/>
      <c r="AD8" s="431"/>
      <c r="AE8" s="431"/>
      <c r="AF8" s="431"/>
      <c r="AG8" s="431"/>
      <c r="AH8" s="431"/>
      <c r="AI8" s="432"/>
    </row>
    <row r="9" spans="2:35" s="194" customFormat="1" ht="30" customHeight="1">
      <c r="B9" s="192"/>
      <c r="C9" s="56" t="s">
        <v>2</v>
      </c>
      <c r="D9" s="1129" t="str">
        <f>Entidad</f>
        <v>METROPOLITANO DE TENERIFE, S.A.</v>
      </c>
      <c r="E9" s="1129"/>
      <c r="F9" s="1129"/>
      <c r="G9" s="1129"/>
      <c r="H9" s="1129"/>
      <c r="I9" s="1129"/>
      <c r="J9" s="1129"/>
      <c r="K9" s="1129"/>
      <c r="L9" s="1129"/>
      <c r="M9" s="1129"/>
      <c r="N9" s="1129"/>
      <c r="O9" s="1129"/>
      <c r="P9" s="1129"/>
      <c r="Q9" s="1129"/>
      <c r="R9" s="1129"/>
      <c r="S9" s="1129"/>
      <c r="T9" s="193"/>
      <c r="V9" s="429"/>
      <c r="W9" s="431"/>
      <c r="X9" s="431"/>
      <c r="Y9" s="431"/>
      <c r="Z9" s="431"/>
      <c r="AA9" s="431"/>
      <c r="AB9" s="431"/>
      <c r="AC9" s="431"/>
      <c r="AD9" s="431"/>
      <c r="AE9" s="431"/>
      <c r="AF9" s="431"/>
      <c r="AG9" s="431"/>
      <c r="AH9" s="431"/>
      <c r="AI9" s="432"/>
    </row>
    <row r="10" spans="2:35" ht="7.15" customHeight="1">
      <c r="B10" s="105"/>
      <c r="C10" s="106"/>
      <c r="D10" s="106"/>
      <c r="E10" s="107"/>
      <c r="F10" s="107"/>
      <c r="G10" s="107"/>
      <c r="H10" s="107"/>
      <c r="I10" s="107"/>
      <c r="J10" s="107"/>
      <c r="K10" s="107"/>
      <c r="L10" s="107"/>
      <c r="M10" s="107"/>
      <c r="N10" s="107"/>
      <c r="O10" s="107"/>
      <c r="P10" s="107"/>
      <c r="Q10" s="107"/>
      <c r="R10" s="107"/>
      <c r="S10" s="107"/>
      <c r="T10" s="108"/>
      <c r="V10" s="429"/>
      <c r="W10" s="431"/>
      <c r="X10" s="431"/>
      <c r="Y10" s="431"/>
      <c r="Z10" s="431"/>
      <c r="AA10" s="431"/>
      <c r="AB10" s="431"/>
      <c r="AC10" s="431"/>
      <c r="AD10" s="431"/>
      <c r="AE10" s="431"/>
      <c r="AF10" s="431"/>
      <c r="AG10" s="431"/>
      <c r="AH10" s="431"/>
      <c r="AI10" s="432"/>
    </row>
    <row r="11" spans="2:35" s="117" customFormat="1" ht="30" customHeight="1">
      <c r="B11" s="113"/>
      <c r="C11" s="114" t="s">
        <v>739</v>
      </c>
      <c r="D11" s="114"/>
      <c r="E11" s="115"/>
      <c r="F11" s="115"/>
      <c r="G11" s="115"/>
      <c r="H11" s="115"/>
      <c r="I11" s="115"/>
      <c r="J11" s="115"/>
      <c r="K11" s="115"/>
      <c r="L11" s="115"/>
      <c r="M11" s="115"/>
      <c r="N11" s="115"/>
      <c r="O11" s="115"/>
      <c r="P11" s="115"/>
      <c r="Q11" s="115"/>
      <c r="R11" s="115"/>
      <c r="S11" s="115"/>
      <c r="T11" s="116"/>
      <c r="V11" s="429"/>
      <c r="W11" s="431"/>
      <c r="X11" s="431"/>
      <c r="Y11" s="431"/>
      <c r="Z11" s="431"/>
      <c r="AA11" s="431"/>
      <c r="AB11" s="431"/>
      <c r="AC11" s="431"/>
      <c r="AD11" s="431"/>
      <c r="AE11" s="431"/>
      <c r="AF11" s="431"/>
      <c r="AG11" s="431"/>
      <c r="AH11" s="431"/>
      <c r="AI11" s="432"/>
    </row>
    <row r="12" spans="2:35" s="117" customFormat="1" ht="30" customHeight="1">
      <c r="B12" s="113"/>
      <c r="C12" s="1170"/>
      <c r="D12" s="1170"/>
      <c r="E12" s="98"/>
      <c r="F12" s="98"/>
      <c r="G12" s="98"/>
      <c r="H12" s="98"/>
      <c r="I12" s="98"/>
      <c r="J12" s="98"/>
      <c r="K12" s="98"/>
      <c r="L12" s="98"/>
      <c r="M12" s="98"/>
      <c r="N12" s="98"/>
      <c r="O12" s="98"/>
      <c r="P12" s="98"/>
      <c r="Q12" s="98"/>
      <c r="R12" s="98"/>
      <c r="S12" s="98"/>
      <c r="T12" s="116"/>
      <c r="V12" s="429"/>
      <c r="W12" s="431"/>
      <c r="X12" s="431"/>
      <c r="Y12" s="431"/>
      <c r="Z12" s="431"/>
      <c r="AA12" s="431"/>
      <c r="AB12" s="431"/>
      <c r="AC12" s="431"/>
      <c r="AD12" s="431"/>
      <c r="AE12" s="431"/>
      <c r="AF12" s="431"/>
      <c r="AG12" s="431"/>
      <c r="AH12" s="431"/>
      <c r="AI12" s="432"/>
    </row>
    <row r="13" spans="2:35" ht="28.9" customHeight="1">
      <c r="B13" s="119"/>
      <c r="C13" s="68" t="s">
        <v>813</v>
      </c>
      <c r="D13" s="159"/>
      <c r="E13" s="98"/>
      <c r="F13" s="98"/>
      <c r="G13" s="98"/>
      <c r="H13" s="98"/>
      <c r="I13" s="98"/>
      <c r="J13" s="98"/>
      <c r="K13" s="98"/>
      <c r="L13" s="98"/>
      <c r="M13" s="98"/>
      <c r="N13" s="98"/>
      <c r="O13" s="98"/>
      <c r="P13" s="98"/>
      <c r="Q13" s="98"/>
      <c r="R13" s="98"/>
      <c r="S13" s="98"/>
      <c r="T13" s="108"/>
      <c r="V13" s="429"/>
      <c r="W13" s="431"/>
      <c r="X13" s="431"/>
      <c r="Y13" s="431"/>
      <c r="Z13" s="431"/>
      <c r="AA13" s="431"/>
      <c r="AB13" s="431"/>
      <c r="AC13" s="431"/>
      <c r="AD13" s="431"/>
      <c r="AE13" s="431"/>
      <c r="AF13" s="431"/>
      <c r="AG13" s="431"/>
      <c r="AH13" s="431"/>
      <c r="AI13" s="432"/>
    </row>
    <row r="14" spans="2:35" ht="9" customHeight="1">
      <c r="B14" s="119"/>
      <c r="C14" s="159"/>
      <c r="D14" s="159"/>
      <c r="E14" s="98"/>
      <c r="F14" s="98"/>
      <c r="G14" s="98"/>
      <c r="H14" s="98"/>
      <c r="I14" s="98"/>
      <c r="J14" s="98"/>
      <c r="K14" s="98"/>
      <c r="L14" s="98"/>
      <c r="M14" s="98"/>
      <c r="N14" s="98"/>
      <c r="O14" s="98"/>
      <c r="P14" s="98"/>
      <c r="Q14" s="98"/>
      <c r="R14" s="98"/>
      <c r="S14" s="98"/>
      <c r="T14" s="108"/>
      <c r="V14" s="429"/>
      <c r="W14" s="431"/>
      <c r="X14" s="431"/>
      <c r="Y14" s="431"/>
      <c r="Z14" s="431"/>
      <c r="AA14" s="431"/>
      <c r="AB14" s="431"/>
      <c r="AC14" s="431"/>
      <c r="AD14" s="431"/>
      <c r="AE14" s="431"/>
      <c r="AF14" s="431"/>
      <c r="AG14" s="431"/>
      <c r="AH14" s="431"/>
      <c r="AI14" s="432"/>
    </row>
    <row r="15" spans="2:35" s="247" customFormat="1" ht="42" customHeight="1">
      <c r="B15" s="248"/>
      <c r="C15" s="202" t="s">
        <v>478</v>
      </c>
      <c r="D15" s="249" t="s">
        <v>480</v>
      </c>
      <c r="E15" s="202" t="s">
        <v>693</v>
      </c>
      <c r="F15" s="202" t="s">
        <v>693</v>
      </c>
      <c r="G15" s="202" t="s">
        <v>482</v>
      </c>
      <c r="H15" s="202" t="s">
        <v>487</v>
      </c>
      <c r="I15" s="202" t="s">
        <v>489</v>
      </c>
      <c r="J15" s="202" t="s">
        <v>757</v>
      </c>
      <c r="K15" s="202" t="s">
        <v>484</v>
      </c>
      <c r="L15" s="202" t="s">
        <v>695</v>
      </c>
      <c r="M15" s="548" t="s">
        <v>708</v>
      </c>
      <c r="N15" s="202" t="s">
        <v>697</v>
      </c>
      <c r="O15" s="202" t="s">
        <v>696</v>
      </c>
      <c r="P15" s="888" t="s">
        <v>758</v>
      </c>
      <c r="Q15" s="202" t="s">
        <v>695</v>
      </c>
      <c r="R15" s="98"/>
      <c r="S15" s="98"/>
      <c r="T15" s="250"/>
      <c r="V15" s="429"/>
      <c r="W15" s="431"/>
      <c r="X15" s="431"/>
      <c r="Y15" s="431"/>
      <c r="Z15" s="431"/>
      <c r="AA15" s="431"/>
      <c r="AB15" s="431"/>
      <c r="AC15" s="431"/>
      <c r="AD15" s="431"/>
      <c r="AE15" s="431"/>
      <c r="AF15" s="431"/>
      <c r="AG15" s="431"/>
      <c r="AH15" s="431"/>
      <c r="AI15" s="432"/>
    </row>
    <row r="16" spans="2:35" s="247" customFormat="1" ht="24" customHeight="1">
      <c r="B16" s="248"/>
      <c r="C16" s="253" t="s">
        <v>479</v>
      </c>
      <c r="D16" s="254" t="s">
        <v>479</v>
      </c>
      <c r="E16" s="253" t="s">
        <v>481</v>
      </c>
      <c r="F16" s="253" t="s">
        <v>694</v>
      </c>
      <c r="G16" s="253" t="s">
        <v>483</v>
      </c>
      <c r="H16" s="253" t="s">
        <v>488</v>
      </c>
      <c r="I16" s="253" t="s">
        <v>735</v>
      </c>
      <c r="J16" s="253" t="s">
        <v>807</v>
      </c>
      <c r="K16" s="253" t="s">
        <v>485</v>
      </c>
      <c r="L16" s="253">
        <f>ejercicio-1</f>
        <v>2017</v>
      </c>
      <c r="M16" s="253">
        <f>ejercicio</f>
        <v>2018</v>
      </c>
      <c r="N16" s="253">
        <f>ejercicio</f>
        <v>2018</v>
      </c>
      <c r="O16" s="253">
        <f>ejercicio</f>
        <v>2018</v>
      </c>
      <c r="P16" s="253">
        <f>ejercicio</f>
        <v>2018</v>
      </c>
      <c r="Q16" s="253">
        <f>ejercicio</f>
        <v>2018</v>
      </c>
      <c r="R16" s="98"/>
      <c r="S16" s="98"/>
      <c r="T16" s="250"/>
      <c r="V16" s="429"/>
      <c r="W16" s="431"/>
      <c r="X16" s="431"/>
      <c r="Y16" s="431"/>
      <c r="Z16" s="431"/>
      <c r="AA16" s="431"/>
      <c r="AB16" s="431"/>
      <c r="AC16" s="431"/>
      <c r="AD16" s="431"/>
      <c r="AE16" s="431"/>
      <c r="AF16" s="431"/>
      <c r="AG16" s="431"/>
      <c r="AH16" s="431"/>
      <c r="AI16" s="432"/>
    </row>
    <row r="17" spans="2:35" ht="22.9" customHeight="1">
      <c r="B17" s="119"/>
      <c r="C17" s="545"/>
      <c r="D17" s="1088" t="s">
        <v>995</v>
      </c>
      <c r="E17" s="1089">
        <v>42957</v>
      </c>
      <c r="F17" s="1089">
        <v>43353</v>
      </c>
      <c r="G17" s="1090" t="s">
        <v>996</v>
      </c>
      <c r="H17" s="1092" t="s">
        <v>997</v>
      </c>
      <c r="I17" s="1091" t="s">
        <v>998</v>
      </c>
      <c r="J17" s="1091" t="s">
        <v>999</v>
      </c>
      <c r="K17" s="621">
        <v>3000000</v>
      </c>
      <c r="L17" s="621">
        <v>7245.1328108888893</v>
      </c>
      <c r="M17" s="896">
        <v>17945.449999994413</v>
      </c>
      <c r="N17" s="896">
        <v>7037.5828108888909</v>
      </c>
      <c r="O17" s="896">
        <v>0</v>
      </c>
      <c r="P17" s="759">
        <v>-18000</v>
      </c>
      <c r="Q17" s="617">
        <f>L17+M17-N17</f>
        <v>18152.999999994412</v>
      </c>
      <c r="R17" s="98"/>
      <c r="S17" s="98"/>
      <c r="T17" s="108"/>
      <c r="V17" s="429" t="s">
        <v>1014</v>
      </c>
      <c r="W17" s="431"/>
      <c r="X17" s="431"/>
      <c r="Y17" s="431"/>
      <c r="Z17" s="431"/>
      <c r="AA17" s="431"/>
      <c r="AB17" s="431"/>
      <c r="AC17" s="431"/>
      <c r="AD17" s="431"/>
      <c r="AE17" s="431"/>
      <c r="AF17" s="431"/>
      <c r="AG17" s="431"/>
      <c r="AH17" s="431"/>
      <c r="AI17" s="432"/>
    </row>
    <row r="18" spans="2:35" ht="22.9" customHeight="1">
      <c r="B18" s="119"/>
      <c r="C18" s="545"/>
      <c r="D18" s="539"/>
      <c r="E18" s="609"/>
      <c r="F18" s="609"/>
      <c r="G18" s="545"/>
      <c r="H18" s="609"/>
      <c r="I18" s="609"/>
      <c r="J18" s="609"/>
      <c r="K18" s="621"/>
      <c r="L18" s="621"/>
      <c r="M18" s="621"/>
      <c r="N18" s="621"/>
      <c r="O18" s="621"/>
      <c r="P18" s="759"/>
      <c r="Q18" s="618">
        <f t="shared" ref="Q18:Q41" si="0">L18+M18-N18</f>
        <v>0</v>
      </c>
      <c r="R18" s="98"/>
      <c r="S18" s="98"/>
      <c r="T18" s="108"/>
      <c r="V18" s="429"/>
      <c r="W18" s="431"/>
      <c r="X18" s="431"/>
      <c r="Y18" s="431"/>
      <c r="Z18" s="431"/>
      <c r="AA18" s="431"/>
      <c r="AB18" s="431"/>
      <c r="AC18" s="431"/>
      <c r="AD18" s="431"/>
      <c r="AE18" s="431"/>
      <c r="AF18" s="431"/>
      <c r="AG18" s="431"/>
      <c r="AH18" s="431"/>
      <c r="AI18" s="432"/>
    </row>
    <row r="19" spans="2:35" ht="22.9" customHeight="1">
      <c r="B19" s="119"/>
      <c r="C19" s="545"/>
      <c r="D19" s="539"/>
      <c r="E19" s="609" t="s">
        <v>682</v>
      </c>
      <c r="F19" s="609"/>
      <c r="G19" s="545"/>
      <c r="H19" s="609"/>
      <c r="I19" s="609"/>
      <c r="J19" s="609"/>
      <c r="K19" s="621"/>
      <c r="L19" s="621"/>
      <c r="M19" s="621"/>
      <c r="N19" s="621"/>
      <c r="O19" s="621"/>
      <c r="P19" s="759"/>
      <c r="Q19" s="618">
        <f t="shared" si="0"/>
        <v>0</v>
      </c>
      <c r="R19" s="98"/>
      <c r="S19" s="98"/>
      <c r="T19" s="108"/>
      <c r="V19" s="429"/>
      <c r="W19" s="431"/>
      <c r="X19" s="431" t="s">
        <v>1015</v>
      </c>
      <c r="Y19" s="1093">
        <v>0.33</v>
      </c>
      <c r="Z19" s="431"/>
      <c r="AA19" s="431"/>
      <c r="AB19" s="431"/>
      <c r="AC19" s="431"/>
      <c r="AD19" s="431"/>
      <c r="AE19" s="431"/>
      <c r="AF19" s="431"/>
      <c r="AG19" s="431"/>
      <c r="AH19" s="431"/>
      <c r="AI19" s="432"/>
    </row>
    <row r="20" spans="2:35" ht="22.9" customHeight="1">
      <c r="B20" s="119"/>
      <c r="C20" s="545"/>
      <c r="D20" s="539"/>
      <c r="E20" s="609"/>
      <c r="F20" s="609"/>
      <c r="G20" s="545"/>
      <c r="H20" s="609"/>
      <c r="I20" s="609"/>
      <c r="J20" s="609"/>
      <c r="K20" s="621"/>
      <c r="L20" s="621"/>
      <c r="M20" s="621"/>
      <c r="N20" s="621"/>
      <c r="O20" s="621"/>
      <c r="P20" s="759"/>
      <c r="Q20" s="618">
        <f t="shared" si="0"/>
        <v>0</v>
      </c>
      <c r="R20" s="98"/>
      <c r="S20" s="98"/>
      <c r="T20" s="108"/>
      <c r="V20" s="429"/>
      <c r="W20" s="431"/>
      <c r="X20" s="431" t="s">
        <v>1016</v>
      </c>
      <c r="Y20" s="1094">
        <v>0.19650000000000001</v>
      </c>
      <c r="Z20" s="431"/>
      <c r="AA20" s="431"/>
      <c r="AB20" s="431"/>
      <c r="AC20" s="431"/>
      <c r="AD20" s="431"/>
      <c r="AE20" s="431"/>
      <c r="AF20" s="431"/>
      <c r="AG20" s="431"/>
      <c r="AH20" s="431"/>
      <c r="AI20" s="432"/>
    </row>
    <row r="21" spans="2:35" ht="22.9" customHeight="1">
      <c r="B21" s="119"/>
      <c r="C21" s="545"/>
      <c r="D21" s="539"/>
      <c r="E21" s="609"/>
      <c r="F21" s="609"/>
      <c r="G21" s="545"/>
      <c r="H21" s="609"/>
      <c r="I21" s="609"/>
      <c r="J21" s="609"/>
      <c r="K21" s="621"/>
      <c r="L21" s="621"/>
      <c r="M21" s="621"/>
      <c r="N21" s="621"/>
      <c r="O21" s="621"/>
      <c r="P21" s="759"/>
      <c r="Q21" s="618">
        <f t="shared" si="0"/>
        <v>0</v>
      </c>
      <c r="R21" s="98"/>
      <c r="S21" s="98"/>
      <c r="T21" s="108"/>
      <c r="V21" s="429"/>
      <c r="W21" s="431"/>
      <c r="X21" s="431" t="s">
        <v>1017</v>
      </c>
      <c r="Y21" s="1094">
        <v>8.5000000000000006E-2</v>
      </c>
      <c r="Z21" s="431"/>
      <c r="AA21" s="431"/>
      <c r="AB21" s="431"/>
      <c r="AC21" s="431"/>
      <c r="AD21" s="431"/>
      <c r="AE21" s="431"/>
      <c r="AF21" s="431"/>
      <c r="AG21" s="431"/>
      <c r="AH21" s="431"/>
      <c r="AI21" s="432"/>
    </row>
    <row r="22" spans="2:35" ht="22.9" customHeight="1">
      <c r="B22" s="119"/>
      <c r="C22" s="545"/>
      <c r="D22" s="539"/>
      <c r="E22" s="609"/>
      <c r="F22" s="609"/>
      <c r="G22" s="545"/>
      <c r="H22" s="609"/>
      <c r="I22" s="609"/>
      <c r="J22" s="609"/>
      <c r="K22" s="621"/>
      <c r="L22" s="621"/>
      <c r="M22" s="621"/>
      <c r="N22" s="621"/>
      <c r="O22" s="621"/>
      <c r="P22" s="759"/>
      <c r="Q22" s="618">
        <f t="shared" si="0"/>
        <v>0</v>
      </c>
      <c r="R22" s="98"/>
      <c r="S22" s="98"/>
      <c r="T22" s="108"/>
      <c r="V22" s="429"/>
      <c r="W22" s="431"/>
      <c r="X22" s="431" t="s">
        <v>1018</v>
      </c>
      <c r="Y22" s="1094">
        <v>5.0999999999999997E-2</v>
      </c>
      <c r="Z22" s="431"/>
      <c r="AA22" s="431"/>
      <c r="AB22" s="431"/>
      <c r="AC22" s="431"/>
      <c r="AD22" s="431"/>
      <c r="AE22" s="431"/>
      <c r="AF22" s="431"/>
      <c r="AG22" s="431"/>
      <c r="AH22" s="431"/>
      <c r="AI22" s="432"/>
    </row>
    <row r="23" spans="2:35" ht="22.9" customHeight="1">
      <c r="B23" s="119"/>
      <c r="C23" s="545"/>
      <c r="D23" s="539"/>
      <c r="E23" s="609"/>
      <c r="F23" s="609"/>
      <c r="G23" s="545"/>
      <c r="H23" s="609"/>
      <c r="I23" s="609"/>
      <c r="J23" s="609"/>
      <c r="K23" s="621"/>
      <c r="L23" s="621"/>
      <c r="M23" s="621"/>
      <c r="N23" s="621"/>
      <c r="O23" s="621"/>
      <c r="P23" s="759"/>
      <c r="Q23" s="618">
        <f t="shared" si="0"/>
        <v>0</v>
      </c>
      <c r="R23" s="98"/>
      <c r="S23" s="98"/>
      <c r="T23" s="108"/>
      <c r="V23" s="429"/>
      <c r="W23" s="431"/>
      <c r="X23" s="431" t="s">
        <v>1019</v>
      </c>
      <c r="Y23" s="1094">
        <v>0.17</v>
      </c>
      <c r="Z23" s="431"/>
      <c r="AA23" s="431"/>
      <c r="AB23" s="431"/>
      <c r="AC23" s="431"/>
      <c r="AD23" s="431"/>
      <c r="AE23" s="431"/>
      <c r="AF23" s="431"/>
      <c r="AG23" s="431"/>
      <c r="AH23" s="431"/>
      <c r="AI23" s="432"/>
    </row>
    <row r="24" spans="2:35" ht="22.9" customHeight="1">
      <c r="B24" s="119"/>
      <c r="C24" s="545"/>
      <c r="D24" s="539"/>
      <c r="E24" s="609"/>
      <c r="F24" s="609"/>
      <c r="G24" s="545"/>
      <c r="H24" s="609"/>
      <c r="I24" s="609"/>
      <c r="J24" s="609"/>
      <c r="K24" s="621"/>
      <c r="L24" s="621"/>
      <c r="M24" s="621"/>
      <c r="N24" s="621"/>
      <c r="O24" s="621"/>
      <c r="P24" s="759"/>
      <c r="Q24" s="618">
        <f t="shared" si="0"/>
        <v>0</v>
      </c>
      <c r="R24" s="98"/>
      <c r="S24" s="98"/>
      <c r="T24" s="108"/>
      <c r="V24" s="429"/>
      <c r="W24" s="431"/>
      <c r="X24" s="431" t="s">
        <v>1020</v>
      </c>
      <c r="Y24" s="1093">
        <v>0.04</v>
      </c>
      <c r="Z24" s="431"/>
      <c r="AA24" s="431"/>
      <c r="AB24" s="431"/>
      <c r="AC24" s="431"/>
      <c r="AD24" s="431"/>
      <c r="AE24" s="431"/>
      <c r="AF24" s="431"/>
      <c r="AG24" s="431"/>
      <c r="AH24" s="431"/>
      <c r="AI24" s="432"/>
    </row>
    <row r="25" spans="2:35" ht="22.9" customHeight="1">
      <c r="B25" s="119"/>
      <c r="C25" s="545"/>
      <c r="D25" s="539"/>
      <c r="E25" s="609"/>
      <c r="F25" s="609"/>
      <c r="G25" s="545"/>
      <c r="H25" s="609"/>
      <c r="I25" s="609"/>
      <c r="J25" s="609"/>
      <c r="K25" s="621"/>
      <c r="L25" s="621"/>
      <c r="M25" s="621"/>
      <c r="N25" s="621"/>
      <c r="O25" s="621"/>
      <c r="P25" s="759"/>
      <c r="Q25" s="618">
        <f t="shared" si="0"/>
        <v>0</v>
      </c>
      <c r="R25" s="98"/>
      <c r="S25" s="98"/>
      <c r="T25" s="108"/>
      <c r="V25" s="429"/>
      <c r="W25" s="431"/>
      <c r="X25" s="431" t="s">
        <v>1021</v>
      </c>
      <c r="Y25" s="1094">
        <v>0.1275</v>
      </c>
      <c r="Z25" s="431"/>
      <c r="AA25" s="431"/>
      <c r="AB25" s="431"/>
      <c r="AC25" s="431"/>
      <c r="AD25" s="431"/>
      <c r="AE25" s="431"/>
      <c r="AF25" s="431"/>
      <c r="AG25" s="431"/>
      <c r="AH25" s="431"/>
      <c r="AI25" s="432"/>
    </row>
    <row r="26" spans="2:35" ht="22.9" customHeight="1">
      <c r="B26" s="119"/>
      <c r="C26" s="545"/>
      <c r="D26" s="539"/>
      <c r="E26" s="609"/>
      <c r="F26" s="609"/>
      <c r="G26" s="545"/>
      <c r="H26" s="609"/>
      <c r="I26" s="609"/>
      <c r="J26" s="609"/>
      <c r="K26" s="621"/>
      <c r="L26" s="621"/>
      <c r="M26" s="621"/>
      <c r="N26" s="621"/>
      <c r="O26" s="621"/>
      <c r="P26" s="759"/>
      <c r="Q26" s="618">
        <f t="shared" si="0"/>
        <v>0</v>
      </c>
      <c r="R26" s="98"/>
      <c r="S26" s="98"/>
      <c r="T26" s="108"/>
      <c r="V26" s="429"/>
      <c r="W26" s="431"/>
      <c r="X26" s="431"/>
      <c r="Y26" s="431"/>
      <c r="Z26" s="431"/>
      <c r="AA26" s="431"/>
      <c r="AB26" s="431"/>
      <c r="AC26" s="431"/>
      <c r="AD26" s="431"/>
      <c r="AE26" s="431"/>
      <c r="AF26" s="431"/>
      <c r="AG26" s="431"/>
      <c r="AH26" s="431"/>
      <c r="AI26" s="432"/>
    </row>
    <row r="27" spans="2:35" ht="22.9" customHeight="1">
      <c r="B27" s="119"/>
      <c r="C27" s="545"/>
      <c r="D27" s="539"/>
      <c r="E27" s="609"/>
      <c r="F27" s="609"/>
      <c r="G27" s="545"/>
      <c r="H27" s="609"/>
      <c r="I27" s="609"/>
      <c r="J27" s="609"/>
      <c r="K27" s="621"/>
      <c r="L27" s="621"/>
      <c r="M27" s="621"/>
      <c r="N27" s="621"/>
      <c r="O27" s="621"/>
      <c r="P27" s="759"/>
      <c r="Q27" s="618">
        <f t="shared" si="0"/>
        <v>0</v>
      </c>
      <c r="R27" s="98"/>
      <c r="S27" s="98"/>
      <c r="T27" s="108"/>
      <c r="V27" s="429" t="s">
        <v>1024</v>
      </c>
      <c r="W27" s="431"/>
      <c r="X27" s="431"/>
      <c r="Y27" s="431"/>
      <c r="Z27" s="431"/>
      <c r="AA27" s="431"/>
      <c r="AB27" s="431"/>
      <c r="AC27" s="431"/>
      <c r="AD27" s="431"/>
      <c r="AE27" s="431"/>
      <c r="AF27" s="431"/>
      <c r="AG27" s="431"/>
      <c r="AH27" s="431"/>
      <c r="AI27" s="432"/>
    </row>
    <row r="28" spans="2:35" ht="22.9" customHeight="1">
      <c r="B28" s="119"/>
      <c r="C28" s="545"/>
      <c r="D28" s="539"/>
      <c r="E28" s="609"/>
      <c r="F28" s="609"/>
      <c r="G28" s="545"/>
      <c r="H28" s="609"/>
      <c r="I28" s="609"/>
      <c r="J28" s="609"/>
      <c r="K28" s="621"/>
      <c r="L28" s="621"/>
      <c r="M28" s="621"/>
      <c r="N28" s="621"/>
      <c r="O28" s="621"/>
      <c r="P28" s="759"/>
      <c r="Q28" s="618">
        <f t="shared" si="0"/>
        <v>0</v>
      </c>
      <c r="R28" s="98"/>
      <c r="S28" s="98"/>
      <c r="T28" s="108"/>
      <c r="V28" s="429" t="s">
        <v>1023</v>
      </c>
      <c r="W28" s="431"/>
      <c r="X28" s="431"/>
      <c r="Y28" s="431"/>
      <c r="Z28" s="431"/>
      <c r="AA28" s="431"/>
      <c r="AB28" s="431"/>
      <c r="AC28" s="431"/>
      <c r="AD28" s="431"/>
      <c r="AE28" s="431"/>
      <c r="AF28" s="431"/>
      <c r="AG28" s="431"/>
      <c r="AH28" s="431"/>
      <c r="AI28" s="432"/>
    </row>
    <row r="29" spans="2:35" ht="22.9" customHeight="1">
      <c r="B29" s="119"/>
      <c r="C29" s="545"/>
      <c r="D29" s="539"/>
      <c r="E29" s="609"/>
      <c r="F29" s="609"/>
      <c r="G29" s="545"/>
      <c r="H29" s="609"/>
      <c r="I29" s="609"/>
      <c r="J29" s="609"/>
      <c r="K29" s="621"/>
      <c r="L29" s="621"/>
      <c r="M29" s="621"/>
      <c r="N29" s="621"/>
      <c r="O29" s="621"/>
      <c r="P29" s="759"/>
      <c r="Q29" s="618">
        <f t="shared" si="0"/>
        <v>0</v>
      </c>
      <c r="R29" s="98"/>
      <c r="S29" s="98"/>
      <c r="T29" s="108"/>
      <c r="V29" s="429" t="s">
        <v>1022</v>
      </c>
      <c r="W29" s="431"/>
      <c r="X29" s="431"/>
      <c r="Y29" s="431"/>
      <c r="Z29" s="431"/>
      <c r="AA29" s="431"/>
      <c r="AB29" s="431"/>
      <c r="AC29" s="431"/>
      <c r="AD29" s="431"/>
      <c r="AE29" s="431"/>
      <c r="AF29" s="431"/>
      <c r="AG29" s="431"/>
      <c r="AH29" s="431"/>
      <c r="AI29" s="432"/>
    </row>
    <row r="30" spans="2:35" ht="22.9" customHeight="1">
      <c r="B30" s="119"/>
      <c r="C30" s="545"/>
      <c r="D30" s="539"/>
      <c r="E30" s="609"/>
      <c r="F30" s="609"/>
      <c r="G30" s="545"/>
      <c r="H30" s="609"/>
      <c r="I30" s="609"/>
      <c r="J30" s="609"/>
      <c r="K30" s="621"/>
      <c r="L30" s="621"/>
      <c r="M30" s="621"/>
      <c r="N30" s="621"/>
      <c r="O30" s="621"/>
      <c r="P30" s="759"/>
      <c r="Q30" s="618">
        <f t="shared" si="0"/>
        <v>0</v>
      </c>
      <c r="R30" s="98"/>
      <c r="S30" s="98"/>
      <c r="T30" s="108"/>
      <c r="V30" s="429"/>
      <c r="W30" s="431"/>
      <c r="X30" s="431"/>
      <c r="Y30" s="431"/>
      <c r="Z30" s="431"/>
      <c r="AA30" s="431"/>
      <c r="AB30" s="431"/>
      <c r="AC30" s="431"/>
      <c r="AD30" s="431"/>
      <c r="AE30" s="431"/>
      <c r="AF30" s="431"/>
      <c r="AG30" s="431"/>
      <c r="AH30" s="431"/>
      <c r="AI30" s="432"/>
    </row>
    <row r="31" spans="2:35" ht="22.9" customHeight="1">
      <c r="B31" s="119"/>
      <c r="C31" s="545"/>
      <c r="D31" s="539"/>
      <c r="E31" s="609"/>
      <c r="F31" s="609"/>
      <c r="G31" s="545"/>
      <c r="H31" s="609"/>
      <c r="I31" s="609"/>
      <c r="J31" s="609"/>
      <c r="K31" s="621"/>
      <c r="L31" s="621"/>
      <c r="M31" s="621"/>
      <c r="N31" s="621"/>
      <c r="O31" s="621"/>
      <c r="P31" s="759"/>
      <c r="Q31" s="618">
        <f t="shared" si="0"/>
        <v>0</v>
      </c>
      <c r="R31" s="98"/>
      <c r="S31" s="98"/>
      <c r="T31" s="108"/>
      <c r="V31" s="429" t="s">
        <v>1025</v>
      </c>
      <c r="W31" s="431"/>
      <c r="X31" s="431"/>
      <c r="Y31" s="431"/>
      <c r="Z31" s="431"/>
      <c r="AA31" s="431"/>
      <c r="AB31" s="431"/>
      <c r="AC31" s="431"/>
      <c r="AD31" s="431"/>
      <c r="AE31" s="431"/>
      <c r="AF31" s="431"/>
      <c r="AG31" s="431"/>
      <c r="AH31" s="431"/>
      <c r="AI31" s="432"/>
    </row>
    <row r="32" spans="2:35" ht="22.9" customHeight="1">
      <c r="B32" s="119"/>
      <c r="C32" s="545"/>
      <c r="D32" s="539"/>
      <c r="E32" s="609"/>
      <c r="F32" s="609"/>
      <c r="G32" s="545"/>
      <c r="H32" s="609"/>
      <c r="I32" s="609"/>
      <c r="J32" s="609"/>
      <c r="K32" s="621"/>
      <c r="L32" s="621"/>
      <c r="M32" s="621"/>
      <c r="N32" s="621"/>
      <c r="O32" s="621"/>
      <c r="P32" s="759"/>
      <c r="Q32" s="618">
        <f t="shared" si="0"/>
        <v>0</v>
      </c>
      <c r="R32" s="98"/>
      <c r="S32" s="98"/>
      <c r="T32" s="108"/>
      <c r="V32" s="429"/>
      <c r="W32" s="431"/>
      <c r="X32" s="431"/>
      <c r="Y32" s="431"/>
      <c r="Z32" s="431"/>
      <c r="AA32" s="431"/>
      <c r="AB32" s="431"/>
      <c r="AC32" s="431"/>
      <c r="AD32" s="431"/>
      <c r="AE32" s="431"/>
      <c r="AF32" s="431"/>
      <c r="AG32" s="431"/>
      <c r="AH32" s="431"/>
      <c r="AI32" s="432"/>
    </row>
    <row r="33" spans="2:35" ht="22.9" customHeight="1">
      <c r="B33" s="119"/>
      <c r="C33" s="545"/>
      <c r="D33" s="539"/>
      <c r="E33" s="609"/>
      <c r="F33" s="609"/>
      <c r="G33" s="545"/>
      <c r="H33" s="609"/>
      <c r="I33" s="609"/>
      <c r="J33" s="609"/>
      <c r="K33" s="621"/>
      <c r="L33" s="621"/>
      <c r="M33" s="621"/>
      <c r="N33" s="621"/>
      <c r="O33" s="621"/>
      <c r="P33" s="759"/>
      <c r="Q33" s="618">
        <f t="shared" si="0"/>
        <v>0</v>
      </c>
      <c r="R33" s="98"/>
      <c r="S33" s="98"/>
      <c r="T33" s="108"/>
      <c r="V33" s="429"/>
      <c r="W33" s="431"/>
      <c r="X33" s="431"/>
      <c r="Y33" s="1096">
        <f>ejercicio</f>
        <v>2018</v>
      </c>
      <c r="Z33" s="431"/>
      <c r="AA33" s="431"/>
      <c r="AB33" s="431"/>
      <c r="AC33" s="431"/>
      <c r="AD33" s="431"/>
      <c r="AE33" s="431"/>
      <c r="AF33" s="431"/>
      <c r="AG33" s="431"/>
      <c r="AH33" s="431"/>
      <c r="AI33" s="432"/>
    </row>
    <row r="34" spans="2:35" ht="22.9" customHeight="1">
      <c r="B34" s="119"/>
      <c r="C34" s="545"/>
      <c r="D34" s="539"/>
      <c r="E34" s="609"/>
      <c r="F34" s="609"/>
      <c r="G34" s="545"/>
      <c r="H34" s="609"/>
      <c r="I34" s="609"/>
      <c r="J34" s="609"/>
      <c r="K34" s="621"/>
      <c r="L34" s="621"/>
      <c r="M34" s="621"/>
      <c r="N34" s="621"/>
      <c r="O34" s="621"/>
      <c r="P34" s="759"/>
      <c r="Q34" s="618">
        <f t="shared" si="0"/>
        <v>0</v>
      </c>
      <c r="R34" s="98"/>
      <c r="S34" s="98"/>
      <c r="T34" s="108"/>
      <c r="V34" s="429"/>
      <c r="W34" s="431"/>
      <c r="X34" s="431" t="s">
        <v>1026</v>
      </c>
      <c r="Y34" s="1097">
        <f>+'FC-3_CPyG'!G61</f>
        <v>-4508675.3104829993</v>
      </c>
      <c r="Z34" s="431"/>
      <c r="AA34" s="431"/>
      <c r="AB34" s="431"/>
      <c r="AC34" s="431"/>
      <c r="AD34" s="431"/>
      <c r="AE34" s="431"/>
      <c r="AF34" s="431"/>
      <c r="AG34" s="431"/>
      <c r="AH34" s="431"/>
      <c r="AI34" s="432"/>
    </row>
    <row r="35" spans="2:35" ht="22.9" customHeight="1">
      <c r="B35" s="119"/>
      <c r="C35" s="545"/>
      <c r="D35" s="539"/>
      <c r="E35" s="609"/>
      <c r="F35" s="609"/>
      <c r="G35" s="545"/>
      <c r="H35" s="609"/>
      <c r="I35" s="609"/>
      <c r="J35" s="609"/>
      <c r="K35" s="621"/>
      <c r="L35" s="621"/>
      <c r="M35" s="621"/>
      <c r="N35" s="621"/>
      <c r="O35" s="621"/>
      <c r="P35" s="759"/>
      <c r="Q35" s="618">
        <f t="shared" si="0"/>
        <v>0</v>
      </c>
      <c r="R35" s="98"/>
      <c r="S35" s="98"/>
      <c r="T35" s="108"/>
      <c r="V35" s="429"/>
      <c r="W35" s="431"/>
      <c r="X35" s="431" t="s">
        <v>1027</v>
      </c>
      <c r="Y35" s="1097">
        <f>+P42+P74+O74</f>
        <v>-5604520.4255987601</v>
      </c>
      <c r="Z35" s="431"/>
      <c r="AA35" s="431"/>
      <c r="AB35" s="431"/>
      <c r="AC35" s="431"/>
      <c r="AD35" s="431"/>
      <c r="AE35" s="431"/>
      <c r="AF35" s="431"/>
      <c r="AG35" s="431"/>
      <c r="AH35" s="431"/>
      <c r="AI35" s="432"/>
    </row>
    <row r="36" spans="2:35" ht="22.9" customHeight="1">
      <c r="B36" s="119"/>
      <c r="C36" s="545"/>
      <c r="D36" s="539"/>
      <c r="E36" s="609"/>
      <c r="F36" s="609"/>
      <c r="G36" s="545"/>
      <c r="H36" s="609"/>
      <c r="I36" s="609"/>
      <c r="J36" s="609"/>
      <c r="K36" s="621"/>
      <c r="L36" s="621"/>
      <c r="M36" s="621"/>
      <c r="N36" s="621"/>
      <c r="O36" s="621"/>
      <c r="P36" s="759"/>
      <c r="Q36" s="618">
        <f t="shared" si="0"/>
        <v>0</v>
      </c>
      <c r="R36" s="98"/>
      <c r="S36" s="98"/>
      <c r="T36" s="108"/>
      <c r="V36" s="429"/>
      <c r="W36" s="431"/>
      <c r="X36" s="431" t="s">
        <v>1028</v>
      </c>
      <c r="Y36" s="1097">
        <f>+Y35-Y34</f>
        <v>-1095845.1151157608</v>
      </c>
      <c r="Z36" s="1097">
        <f>+Y36+'FC-7_INF'!H26</f>
        <v>0</v>
      </c>
      <c r="AA36" s="431" t="s">
        <v>1029</v>
      </c>
      <c r="AB36" s="431"/>
      <c r="AC36" s="431"/>
      <c r="AD36" s="431"/>
      <c r="AE36" s="431"/>
      <c r="AF36" s="431"/>
      <c r="AG36" s="431"/>
      <c r="AH36" s="431"/>
      <c r="AI36" s="432"/>
    </row>
    <row r="37" spans="2:35" ht="22.9" customHeight="1">
      <c r="B37" s="119"/>
      <c r="C37" s="545"/>
      <c r="D37" s="539"/>
      <c r="E37" s="609"/>
      <c r="F37" s="609"/>
      <c r="G37" s="545"/>
      <c r="H37" s="609"/>
      <c r="I37" s="609"/>
      <c r="J37" s="609"/>
      <c r="K37" s="621"/>
      <c r="L37" s="621"/>
      <c r="M37" s="621"/>
      <c r="N37" s="621"/>
      <c r="O37" s="621"/>
      <c r="P37" s="759"/>
      <c r="Q37" s="618">
        <f t="shared" si="0"/>
        <v>0</v>
      </c>
      <c r="R37" s="98"/>
      <c r="S37" s="98"/>
      <c r="T37" s="108"/>
      <c r="V37" s="429"/>
      <c r="W37" s="431"/>
      <c r="X37" s="431"/>
      <c r="Y37" s="431"/>
      <c r="Z37" s="431"/>
      <c r="AA37" s="431"/>
      <c r="AB37" s="431"/>
      <c r="AC37" s="431"/>
      <c r="AD37" s="431"/>
      <c r="AE37" s="431"/>
      <c r="AF37" s="431"/>
      <c r="AG37" s="431"/>
      <c r="AH37" s="431"/>
      <c r="AI37" s="432"/>
    </row>
    <row r="38" spans="2:35" ht="22.9" customHeight="1">
      <c r="B38" s="119"/>
      <c r="C38" s="545"/>
      <c r="D38" s="539"/>
      <c r="E38" s="609"/>
      <c r="F38" s="609"/>
      <c r="G38" s="545"/>
      <c r="H38" s="609"/>
      <c r="I38" s="609"/>
      <c r="J38" s="609"/>
      <c r="K38" s="621"/>
      <c r="L38" s="621"/>
      <c r="M38" s="621"/>
      <c r="N38" s="621"/>
      <c r="O38" s="621"/>
      <c r="P38" s="759"/>
      <c r="Q38" s="618">
        <f t="shared" si="0"/>
        <v>0</v>
      </c>
      <c r="R38" s="98"/>
      <c r="S38" s="98"/>
      <c r="T38" s="108"/>
      <c r="V38" s="429"/>
      <c r="W38" s="431"/>
      <c r="X38" s="431"/>
      <c r="Y38" s="431"/>
      <c r="Z38" s="431"/>
      <c r="AA38" s="431"/>
      <c r="AB38" s="431"/>
      <c r="AC38" s="431"/>
      <c r="AD38" s="431"/>
      <c r="AE38" s="431"/>
      <c r="AF38" s="431"/>
      <c r="AG38" s="431"/>
      <c r="AH38" s="431"/>
      <c r="AI38" s="432"/>
    </row>
    <row r="39" spans="2:35" ht="22.9" customHeight="1">
      <c r="B39" s="119"/>
      <c r="C39" s="545"/>
      <c r="D39" s="539"/>
      <c r="E39" s="609"/>
      <c r="F39" s="609"/>
      <c r="G39" s="545"/>
      <c r="H39" s="609"/>
      <c r="I39" s="609"/>
      <c r="J39" s="609"/>
      <c r="K39" s="621"/>
      <c r="L39" s="621"/>
      <c r="M39" s="621"/>
      <c r="N39" s="621"/>
      <c r="O39" s="621"/>
      <c r="P39" s="759"/>
      <c r="Q39" s="618">
        <f t="shared" si="0"/>
        <v>0</v>
      </c>
      <c r="R39" s="98"/>
      <c r="S39" s="98"/>
      <c r="T39" s="108"/>
      <c r="V39" s="429"/>
      <c r="W39" s="431"/>
      <c r="X39" s="431"/>
      <c r="Y39" s="431"/>
      <c r="Z39" s="431"/>
      <c r="AA39" s="431"/>
      <c r="AB39" s="431"/>
      <c r="AC39" s="431"/>
      <c r="AD39" s="431"/>
      <c r="AE39" s="431"/>
      <c r="AF39" s="431"/>
      <c r="AG39" s="431"/>
      <c r="AH39" s="431"/>
      <c r="AI39" s="432"/>
    </row>
    <row r="40" spans="2:35" ht="22.9" customHeight="1">
      <c r="B40" s="119"/>
      <c r="C40" s="545"/>
      <c r="D40" s="540"/>
      <c r="E40" s="610"/>
      <c r="F40" s="610"/>
      <c r="G40" s="546"/>
      <c r="H40" s="610"/>
      <c r="I40" s="610"/>
      <c r="J40" s="610"/>
      <c r="K40" s="622"/>
      <c r="L40" s="622"/>
      <c r="M40" s="622"/>
      <c r="N40" s="622"/>
      <c r="O40" s="622"/>
      <c r="P40" s="760"/>
      <c r="Q40" s="619">
        <f t="shared" si="0"/>
        <v>0</v>
      </c>
      <c r="R40" s="98"/>
      <c r="S40" s="98"/>
      <c r="T40" s="108"/>
      <c r="V40" s="429"/>
      <c r="W40" s="431"/>
      <c r="X40" s="431"/>
      <c r="Y40" s="431"/>
      <c r="Z40" s="431"/>
      <c r="AA40" s="431"/>
      <c r="AB40" s="431"/>
      <c r="AC40" s="431"/>
      <c r="AD40" s="431"/>
      <c r="AE40" s="431"/>
      <c r="AF40" s="431"/>
      <c r="AG40" s="431"/>
      <c r="AH40" s="431"/>
      <c r="AI40" s="432"/>
    </row>
    <row r="41" spans="2:35" ht="22.9" customHeight="1">
      <c r="B41" s="119"/>
      <c r="C41" s="547"/>
      <c r="D41" s="541"/>
      <c r="E41" s="611"/>
      <c r="F41" s="611"/>
      <c r="G41" s="547"/>
      <c r="H41" s="611"/>
      <c r="I41" s="611"/>
      <c r="J41" s="611"/>
      <c r="K41" s="623"/>
      <c r="L41" s="623"/>
      <c r="M41" s="623"/>
      <c r="N41" s="623"/>
      <c r="O41" s="623"/>
      <c r="P41" s="761"/>
      <c r="Q41" s="620">
        <f t="shared" si="0"/>
        <v>0</v>
      </c>
      <c r="R41" s="98"/>
      <c r="S41" s="98"/>
      <c r="T41" s="108"/>
      <c r="V41" s="429"/>
      <c r="W41" s="431"/>
      <c r="X41" s="431"/>
      <c r="Y41" s="431"/>
      <c r="Z41" s="431"/>
      <c r="AA41" s="431"/>
      <c r="AB41" s="431"/>
      <c r="AC41" s="431"/>
      <c r="AD41" s="431"/>
      <c r="AE41" s="431"/>
      <c r="AF41" s="431"/>
      <c r="AG41" s="431"/>
      <c r="AH41" s="431"/>
      <c r="AI41" s="432"/>
    </row>
    <row r="42" spans="2:35" ht="22.9" customHeight="1" thickBot="1">
      <c r="B42" s="119"/>
      <c r="C42" s="221"/>
      <c r="D42" s="221"/>
      <c r="E42" s="222"/>
      <c r="F42" s="222"/>
      <c r="G42" s="222"/>
      <c r="H42" s="1193" t="s">
        <v>486</v>
      </c>
      <c r="I42" s="1194"/>
      <c r="J42" s="1195"/>
      <c r="K42" s="243">
        <f t="shared" ref="K42:N42" si="1">SUM(K17:K41)</f>
        <v>3000000</v>
      </c>
      <c r="L42" s="234">
        <f t="shared" si="1"/>
        <v>7245.1328108888893</v>
      </c>
      <c r="M42" s="242">
        <f>SUM(M17:M41)</f>
        <v>17945.449999994413</v>
      </c>
      <c r="N42" s="242">
        <f t="shared" si="1"/>
        <v>7037.5828108888909</v>
      </c>
      <c r="O42" s="243">
        <f>SUM(O17:O41)</f>
        <v>0</v>
      </c>
      <c r="P42" s="243">
        <f>SUM(P17:P41)</f>
        <v>-18000</v>
      </c>
      <c r="Q42" s="425">
        <f>SUM(Q17:Q41)</f>
        <v>18152.999999994412</v>
      </c>
      <c r="R42" s="98"/>
      <c r="S42" s="98"/>
      <c r="T42" s="108"/>
      <c r="V42" s="429"/>
      <c r="W42" s="431"/>
      <c r="X42" s="431"/>
      <c r="Y42" s="431"/>
      <c r="Z42" s="431"/>
      <c r="AA42" s="431"/>
      <c r="AB42" s="431"/>
      <c r="AC42" s="431"/>
      <c r="AD42" s="431"/>
      <c r="AE42" s="431"/>
      <c r="AF42" s="431"/>
      <c r="AG42" s="431"/>
      <c r="AH42" s="431"/>
      <c r="AI42" s="432"/>
    </row>
    <row r="43" spans="2:35" ht="22.9" customHeight="1">
      <c r="B43" s="119"/>
      <c r="C43" s="221"/>
      <c r="D43" s="221"/>
      <c r="E43" s="222"/>
      <c r="F43" s="222"/>
      <c r="G43" s="222"/>
      <c r="H43" s="879"/>
      <c r="I43" s="879"/>
      <c r="J43" s="879"/>
      <c r="K43" s="222"/>
      <c r="L43" s="222"/>
      <c r="M43" s="222"/>
      <c r="N43" s="222"/>
      <c r="O43" s="222"/>
      <c r="P43" s="222"/>
      <c r="Q43" s="222"/>
      <c r="R43" s="222"/>
      <c r="S43" s="98"/>
      <c r="T43" s="108"/>
      <c r="V43" s="429"/>
      <c r="W43" s="431"/>
      <c r="X43" s="431"/>
      <c r="Y43" s="431"/>
      <c r="Z43" s="431"/>
      <c r="AA43" s="431"/>
      <c r="AB43" s="431"/>
      <c r="AC43" s="431"/>
      <c r="AD43" s="431"/>
      <c r="AE43" s="431"/>
      <c r="AF43" s="431"/>
      <c r="AG43" s="431"/>
      <c r="AH43" s="431"/>
      <c r="AI43" s="432"/>
    </row>
    <row r="44" spans="2:35" ht="22.9" customHeight="1">
      <c r="B44" s="119"/>
      <c r="C44" s="221"/>
      <c r="D44" s="221"/>
      <c r="E44" s="222"/>
      <c r="F44" s="222"/>
      <c r="G44" s="222"/>
      <c r="H44" s="879"/>
      <c r="I44" s="879"/>
      <c r="J44" s="879"/>
      <c r="K44" s="222"/>
      <c r="L44" s="222"/>
      <c r="M44" s="222"/>
      <c r="N44" s="222"/>
      <c r="O44" s="222"/>
      <c r="P44" s="222"/>
      <c r="Q44" s="222"/>
      <c r="R44" s="222"/>
      <c r="S44" s="222"/>
      <c r="T44" s="108"/>
      <c r="V44" s="429"/>
      <c r="W44" s="431"/>
      <c r="X44" s="431"/>
      <c r="Y44" s="431"/>
      <c r="Z44" s="431"/>
      <c r="AA44" s="431"/>
      <c r="AB44" s="431"/>
      <c r="AC44" s="431"/>
      <c r="AD44" s="431"/>
      <c r="AE44" s="431"/>
      <c r="AF44" s="431"/>
      <c r="AG44" s="431"/>
      <c r="AH44" s="431"/>
      <c r="AI44" s="432"/>
    </row>
    <row r="45" spans="2:35" ht="22.9" customHeight="1">
      <c r="B45" s="119"/>
      <c r="C45" s="68" t="s">
        <v>812</v>
      </c>
      <c r="D45" s="762"/>
      <c r="E45" s="98"/>
      <c r="F45" s="98"/>
      <c r="G45" s="98"/>
      <c r="H45" s="98"/>
      <c r="I45" s="98"/>
      <c r="J45" s="98"/>
      <c r="K45" s="98"/>
      <c r="L45" s="98"/>
      <c r="M45" s="98"/>
      <c r="N45" s="98"/>
      <c r="O45" s="98"/>
      <c r="P45" s="98"/>
      <c r="Q45" s="98"/>
      <c r="R45" s="98"/>
      <c r="S45" s="98"/>
      <c r="T45" s="108"/>
      <c r="V45" s="429"/>
      <c r="W45" s="431"/>
      <c r="X45" s="431"/>
      <c r="Y45" s="431"/>
      <c r="Z45" s="431"/>
      <c r="AA45" s="431"/>
      <c r="AB45" s="431"/>
      <c r="AC45" s="431"/>
      <c r="AD45" s="431"/>
      <c r="AE45" s="431"/>
      <c r="AF45" s="431"/>
      <c r="AG45" s="431"/>
      <c r="AH45" s="431"/>
      <c r="AI45" s="432"/>
    </row>
    <row r="46" spans="2:35" ht="22.9" customHeight="1">
      <c r="B46" s="119"/>
      <c r="C46" s="762"/>
      <c r="D46" s="762"/>
      <c r="E46" s="98"/>
      <c r="F46" s="98"/>
      <c r="G46" s="98"/>
      <c r="H46" s="98"/>
      <c r="I46" s="98"/>
      <c r="J46" s="98"/>
      <c r="K46" s="98"/>
      <c r="L46" s="98"/>
      <c r="M46" s="98"/>
      <c r="N46" s="98"/>
      <c r="O46" s="98"/>
      <c r="P46" s="98"/>
      <c r="Q46" s="98"/>
      <c r="R46" s="98"/>
      <c r="S46" s="98"/>
      <c r="T46" s="108"/>
      <c r="V46" s="429"/>
      <c r="W46" s="431"/>
      <c r="X46" s="431"/>
      <c r="Y46" s="431"/>
      <c r="Z46" s="431"/>
      <c r="AA46" s="431"/>
      <c r="AB46" s="431"/>
      <c r="AC46" s="431"/>
      <c r="AD46" s="431"/>
      <c r="AE46" s="431"/>
      <c r="AF46" s="431"/>
      <c r="AG46" s="431"/>
      <c r="AH46" s="431"/>
      <c r="AI46" s="432"/>
    </row>
    <row r="47" spans="2:35" ht="39" customHeight="1">
      <c r="B47" s="119"/>
      <c r="C47" s="202" t="s">
        <v>478</v>
      </c>
      <c r="D47" s="249" t="s">
        <v>480</v>
      </c>
      <c r="E47" s="202" t="s">
        <v>693</v>
      </c>
      <c r="F47" s="202" t="s">
        <v>693</v>
      </c>
      <c r="G47" s="202" t="s">
        <v>482</v>
      </c>
      <c r="H47" s="202" t="s">
        <v>487</v>
      </c>
      <c r="I47" s="202" t="s">
        <v>489</v>
      </c>
      <c r="J47" s="202" t="s">
        <v>757</v>
      </c>
      <c r="K47" s="202" t="s">
        <v>484</v>
      </c>
      <c r="L47" s="202" t="s">
        <v>695</v>
      </c>
      <c r="M47" s="548" t="s">
        <v>708</v>
      </c>
      <c r="N47" s="202" t="s">
        <v>697</v>
      </c>
      <c r="O47" s="202" t="s">
        <v>696</v>
      </c>
      <c r="P47" s="888" t="s">
        <v>758</v>
      </c>
      <c r="Q47" s="202" t="s">
        <v>695</v>
      </c>
      <c r="R47" s="1178" t="s">
        <v>811</v>
      </c>
      <c r="S47" s="1179"/>
      <c r="T47" s="108"/>
      <c r="V47" s="429"/>
      <c r="W47" s="431"/>
      <c r="X47" s="431"/>
      <c r="Y47" s="431"/>
      <c r="Z47" s="431"/>
      <c r="AA47" s="431"/>
      <c r="AB47" s="431"/>
      <c r="AC47" s="431"/>
      <c r="AD47" s="431"/>
      <c r="AE47" s="431"/>
      <c r="AF47" s="431"/>
      <c r="AG47" s="431"/>
      <c r="AH47" s="431"/>
      <c r="AI47" s="432"/>
    </row>
    <row r="48" spans="2:35" ht="22.9" customHeight="1">
      <c r="B48" s="119"/>
      <c r="C48" s="253" t="s">
        <v>479</v>
      </c>
      <c r="D48" s="254" t="s">
        <v>479</v>
      </c>
      <c r="E48" s="253" t="s">
        <v>481</v>
      </c>
      <c r="F48" s="253" t="s">
        <v>694</v>
      </c>
      <c r="G48" s="253" t="s">
        <v>483</v>
      </c>
      <c r="H48" s="253" t="s">
        <v>488</v>
      </c>
      <c r="I48" s="253" t="s">
        <v>735</v>
      </c>
      <c r="J48" s="253" t="s">
        <v>807</v>
      </c>
      <c r="K48" s="253" t="s">
        <v>485</v>
      </c>
      <c r="L48" s="253">
        <f>ejercicio-1</f>
        <v>2017</v>
      </c>
      <c r="M48" s="253">
        <f>ejercicio</f>
        <v>2018</v>
      </c>
      <c r="N48" s="253">
        <f>ejercicio</f>
        <v>2018</v>
      </c>
      <c r="O48" s="253">
        <f>ejercicio</f>
        <v>2018</v>
      </c>
      <c r="P48" s="253">
        <f>ejercicio</f>
        <v>2018</v>
      </c>
      <c r="Q48" s="253">
        <f>ejercicio</f>
        <v>2018</v>
      </c>
      <c r="R48" s="422" t="s">
        <v>698</v>
      </c>
      <c r="S48" s="421" t="s">
        <v>699</v>
      </c>
      <c r="T48" s="108"/>
      <c r="V48" s="429"/>
      <c r="W48" s="431"/>
      <c r="X48" s="431"/>
      <c r="Y48" s="431"/>
      <c r="Z48" s="431"/>
      <c r="AA48" s="431"/>
      <c r="AB48" s="431"/>
      <c r="AC48" s="431"/>
      <c r="AD48" s="431"/>
      <c r="AE48" s="431"/>
      <c r="AF48" s="431"/>
      <c r="AG48" s="431"/>
      <c r="AH48" s="431"/>
      <c r="AI48" s="432"/>
    </row>
    <row r="49" spans="2:35" ht="22.9" customHeight="1">
      <c r="B49" s="119"/>
      <c r="C49" s="545"/>
      <c r="D49" s="539" t="s">
        <v>1000</v>
      </c>
      <c r="E49" s="1089">
        <v>37971</v>
      </c>
      <c r="F49" s="1089">
        <v>48745</v>
      </c>
      <c r="G49" s="545" t="s">
        <v>1002</v>
      </c>
      <c r="H49" s="609" t="s">
        <v>1005</v>
      </c>
      <c r="I49" s="1091" t="s">
        <v>1012</v>
      </c>
      <c r="J49" s="1090" t="s">
        <v>1013</v>
      </c>
      <c r="K49" s="621">
        <v>86600000</v>
      </c>
      <c r="L49" s="621">
        <v>80823780</v>
      </c>
      <c r="M49" s="896">
        <v>0</v>
      </c>
      <c r="N49" s="896">
        <v>1645400</v>
      </c>
      <c r="O49" s="896">
        <v>0</v>
      </c>
      <c r="P49" s="759">
        <v>-648879.36666666705</v>
      </c>
      <c r="Q49" s="617">
        <f>L49+M49-N49</f>
        <v>79178380</v>
      </c>
      <c r="R49" s="959">
        <v>2165000</v>
      </c>
      <c r="S49" s="960">
        <v>77013380</v>
      </c>
      <c r="T49" s="108"/>
      <c r="V49" s="429"/>
      <c r="W49" s="431"/>
      <c r="X49" s="431"/>
      <c r="Y49" s="431"/>
      <c r="Z49" s="431"/>
      <c r="AA49" s="431"/>
      <c r="AB49" s="431"/>
      <c r="AC49" s="431"/>
      <c r="AD49" s="431"/>
      <c r="AE49" s="431"/>
      <c r="AF49" s="431"/>
      <c r="AG49" s="431"/>
      <c r="AH49" s="431"/>
      <c r="AI49" s="432"/>
    </row>
    <row r="50" spans="2:35" ht="22.9" customHeight="1">
      <c r="B50" s="119"/>
      <c r="C50" s="545"/>
      <c r="D50" s="539" t="s">
        <v>1000</v>
      </c>
      <c r="E50" s="1089">
        <v>37971</v>
      </c>
      <c r="F50" s="1089">
        <v>48745</v>
      </c>
      <c r="G50" s="545" t="s">
        <v>1002</v>
      </c>
      <c r="H50" s="609" t="s">
        <v>1005</v>
      </c>
      <c r="I50" s="1091" t="s">
        <v>1012</v>
      </c>
      <c r="J50" s="1090" t="s">
        <v>1013</v>
      </c>
      <c r="K50" s="621">
        <v>11267000</v>
      </c>
      <c r="L50" s="621">
        <v>10515491.1</v>
      </c>
      <c r="M50" s="621">
        <v>0</v>
      </c>
      <c r="N50" s="621">
        <v>214073</v>
      </c>
      <c r="O50" s="621">
        <v>0</v>
      </c>
      <c r="P50" s="759">
        <v>-84421.753166666706</v>
      </c>
      <c r="Q50" s="618">
        <f t="shared" ref="Q50:Q73" si="2">L50+M50-N50</f>
        <v>10301418.1</v>
      </c>
      <c r="R50" s="961">
        <v>214073</v>
      </c>
      <c r="S50" s="960">
        <v>10087345.1</v>
      </c>
      <c r="T50" s="108"/>
      <c r="V50" s="429"/>
      <c r="W50" s="431"/>
      <c r="X50" s="431"/>
      <c r="Y50" s="431"/>
      <c r="Z50" s="431"/>
      <c r="AA50" s="431"/>
      <c r="AB50" s="431"/>
      <c r="AC50" s="431"/>
      <c r="AD50" s="431"/>
      <c r="AE50" s="431"/>
      <c r="AF50" s="431"/>
      <c r="AG50" s="431"/>
      <c r="AH50" s="431"/>
      <c r="AI50" s="432"/>
    </row>
    <row r="51" spans="2:35" ht="22.9" customHeight="1">
      <c r="B51" s="119"/>
      <c r="C51" s="545"/>
      <c r="D51" s="1088" t="s">
        <v>1004</v>
      </c>
      <c r="E51" s="1089">
        <v>39597</v>
      </c>
      <c r="F51" s="1089">
        <v>50389</v>
      </c>
      <c r="G51" s="1090" t="s">
        <v>1008</v>
      </c>
      <c r="H51" s="609" t="s">
        <v>1006</v>
      </c>
      <c r="I51" s="1091" t="s">
        <v>1012</v>
      </c>
      <c r="J51" s="1091" t="s">
        <v>1012</v>
      </c>
      <c r="K51" s="621" t="s">
        <v>932</v>
      </c>
      <c r="L51" s="621">
        <v>0</v>
      </c>
      <c r="M51" s="621">
        <v>0</v>
      </c>
      <c r="N51" s="621">
        <v>0</v>
      </c>
      <c r="O51" s="759">
        <v>-1163624.3463079699</v>
      </c>
      <c r="P51" s="759">
        <v>0</v>
      </c>
      <c r="Q51" s="618">
        <f t="shared" si="2"/>
        <v>0</v>
      </c>
      <c r="R51" s="961">
        <v>0</v>
      </c>
      <c r="S51" s="960">
        <v>0</v>
      </c>
      <c r="T51" s="108"/>
      <c r="V51" s="429"/>
      <c r="W51" s="431"/>
      <c r="X51" s="431"/>
      <c r="Y51" s="431"/>
      <c r="Z51" s="431"/>
      <c r="AA51" s="431"/>
      <c r="AB51" s="431"/>
      <c r="AC51" s="431"/>
      <c r="AD51" s="431"/>
      <c r="AE51" s="431"/>
      <c r="AF51" s="431"/>
      <c r="AG51" s="431"/>
      <c r="AH51" s="431"/>
      <c r="AI51" s="432"/>
    </row>
    <row r="52" spans="2:35" ht="22.9" customHeight="1">
      <c r="B52" s="119"/>
      <c r="C52" s="545"/>
      <c r="D52" s="1088" t="s">
        <v>1004</v>
      </c>
      <c r="E52" s="1089">
        <v>39597</v>
      </c>
      <c r="F52" s="1089">
        <v>50389</v>
      </c>
      <c r="G52" s="1090" t="s">
        <v>1010</v>
      </c>
      <c r="H52" s="609" t="s">
        <v>1006</v>
      </c>
      <c r="I52" s="1091" t="s">
        <v>1012</v>
      </c>
      <c r="J52" s="1091" t="s">
        <v>1012</v>
      </c>
      <c r="K52" s="621" t="s">
        <v>932</v>
      </c>
      <c r="L52" s="621">
        <v>0</v>
      </c>
      <c r="M52" s="621">
        <v>0</v>
      </c>
      <c r="N52" s="621">
        <v>0</v>
      </c>
      <c r="O52" s="759">
        <v>-1551499.13735496</v>
      </c>
      <c r="P52" s="759">
        <v>0</v>
      </c>
      <c r="Q52" s="618">
        <f t="shared" si="2"/>
        <v>0</v>
      </c>
      <c r="R52" s="961">
        <v>0</v>
      </c>
      <c r="S52" s="960">
        <v>0</v>
      </c>
      <c r="T52" s="108"/>
      <c r="V52" s="429"/>
      <c r="W52" s="431"/>
      <c r="X52" s="431"/>
      <c r="Y52" s="431"/>
      <c r="Z52" s="431"/>
      <c r="AA52" s="431"/>
      <c r="AB52" s="431"/>
      <c r="AC52" s="431"/>
      <c r="AD52" s="431"/>
      <c r="AE52" s="431"/>
      <c r="AF52" s="431"/>
      <c r="AG52" s="431"/>
      <c r="AH52" s="431"/>
      <c r="AI52" s="432"/>
    </row>
    <row r="53" spans="2:35" ht="22.9" customHeight="1">
      <c r="B53" s="119"/>
      <c r="C53" s="545"/>
      <c r="D53" s="1088" t="s">
        <v>1004</v>
      </c>
      <c r="E53" s="1089">
        <v>39597</v>
      </c>
      <c r="F53" s="1089">
        <v>50389</v>
      </c>
      <c r="G53" s="1090" t="s">
        <v>1009</v>
      </c>
      <c r="H53" s="609" t="s">
        <v>1006</v>
      </c>
      <c r="I53" s="1091" t="s">
        <v>1012</v>
      </c>
      <c r="J53" s="1091" t="s">
        <v>1012</v>
      </c>
      <c r="K53" s="621" t="s">
        <v>932</v>
      </c>
      <c r="L53" s="621">
        <v>0</v>
      </c>
      <c r="M53" s="621">
        <v>0</v>
      </c>
      <c r="N53" s="621">
        <v>0</v>
      </c>
      <c r="O53" s="759">
        <v>-1986389.0470795799</v>
      </c>
      <c r="P53" s="759">
        <v>0</v>
      </c>
      <c r="Q53" s="618">
        <f t="shared" si="2"/>
        <v>0</v>
      </c>
      <c r="R53" s="961">
        <v>0</v>
      </c>
      <c r="S53" s="960">
        <v>0</v>
      </c>
      <c r="T53" s="108"/>
      <c r="V53" s="429"/>
      <c r="W53" s="431"/>
      <c r="X53" s="431"/>
      <c r="Y53" s="431"/>
      <c r="Z53" s="431"/>
      <c r="AA53" s="431"/>
      <c r="AB53" s="431"/>
      <c r="AC53" s="431"/>
      <c r="AD53" s="431"/>
      <c r="AE53" s="431"/>
      <c r="AF53" s="431"/>
      <c r="AG53" s="431"/>
      <c r="AH53" s="431"/>
      <c r="AI53" s="432"/>
    </row>
    <row r="54" spans="2:35" ht="22.9" customHeight="1">
      <c r="B54" s="119"/>
      <c r="C54" s="545"/>
      <c r="D54" s="539" t="s">
        <v>1000</v>
      </c>
      <c r="E54" s="1089">
        <v>39597</v>
      </c>
      <c r="F54" s="1089">
        <v>50389</v>
      </c>
      <c r="G54" s="1090" t="s">
        <v>1013</v>
      </c>
      <c r="H54" s="609" t="s">
        <v>1005</v>
      </c>
      <c r="I54" s="1091" t="s">
        <v>1012</v>
      </c>
      <c r="J54" s="1091" t="s">
        <v>1012</v>
      </c>
      <c r="K54" s="621">
        <v>19777000</v>
      </c>
      <c r="L54" s="621">
        <v>14931635</v>
      </c>
      <c r="M54" s="621">
        <v>0</v>
      </c>
      <c r="N54" s="621">
        <v>791080</v>
      </c>
      <c r="O54" s="621">
        <v>-82905.637222916703</v>
      </c>
      <c r="P54" s="759">
        <v>-33143.657800000001</v>
      </c>
      <c r="Q54" s="618">
        <f t="shared" si="2"/>
        <v>14140555</v>
      </c>
      <c r="R54" s="961">
        <v>197770</v>
      </c>
      <c r="S54" s="960">
        <v>13942785</v>
      </c>
      <c r="T54" s="108"/>
      <c r="V54" s="429"/>
      <c r="W54" s="431"/>
      <c r="X54" s="431"/>
      <c r="Y54" s="431"/>
      <c r="Z54" s="431"/>
      <c r="AA54" s="431"/>
      <c r="AB54" s="431"/>
      <c r="AC54" s="431"/>
      <c r="AD54" s="431"/>
      <c r="AE54" s="431"/>
      <c r="AF54" s="431"/>
      <c r="AG54" s="431"/>
      <c r="AH54" s="431"/>
      <c r="AI54" s="432"/>
    </row>
    <row r="55" spans="2:35" ht="22.9" customHeight="1">
      <c r="B55" s="119"/>
      <c r="C55" s="545"/>
      <c r="D55" s="539" t="s">
        <v>1001</v>
      </c>
      <c r="E55" s="1089">
        <v>39744</v>
      </c>
      <c r="F55" s="1089">
        <v>44857</v>
      </c>
      <c r="G55" s="545" t="s">
        <v>1003</v>
      </c>
      <c r="H55" s="609" t="s">
        <v>1007</v>
      </c>
      <c r="I55" s="1091" t="s">
        <v>1012</v>
      </c>
      <c r="J55" s="1091" t="s">
        <v>1012</v>
      </c>
      <c r="K55" s="621">
        <v>3600000</v>
      </c>
      <c r="L55" s="621">
        <v>1444770.97</v>
      </c>
      <c r="M55" s="621">
        <v>0</v>
      </c>
      <c r="N55" s="621">
        <v>286215.91999999993</v>
      </c>
      <c r="O55" s="621">
        <v>-25761.279999999999</v>
      </c>
      <c r="P55" s="759">
        <v>0</v>
      </c>
      <c r="Q55" s="618">
        <f t="shared" si="2"/>
        <v>1158555.05</v>
      </c>
      <c r="R55" s="961">
        <v>291993</v>
      </c>
      <c r="S55" s="960">
        <v>866562.05</v>
      </c>
      <c r="T55" s="108"/>
      <c r="V55" s="429"/>
      <c r="W55" s="431"/>
      <c r="X55" s="431"/>
      <c r="Y55" s="431"/>
      <c r="Z55" s="431"/>
      <c r="AA55" s="431"/>
      <c r="AB55" s="431"/>
      <c r="AC55" s="431"/>
      <c r="AD55" s="431"/>
      <c r="AE55" s="431"/>
      <c r="AF55" s="431"/>
      <c r="AG55" s="431"/>
      <c r="AH55" s="431"/>
      <c r="AI55" s="432"/>
    </row>
    <row r="56" spans="2:35" ht="22.9" customHeight="1">
      <c r="B56" s="119"/>
      <c r="C56" s="545"/>
      <c r="D56" s="539" t="s">
        <v>1001</v>
      </c>
      <c r="E56" s="1089">
        <v>40141</v>
      </c>
      <c r="F56" s="1089">
        <v>45254</v>
      </c>
      <c r="G56" s="545" t="s">
        <v>1003</v>
      </c>
      <c r="H56" s="609" t="s">
        <v>1007</v>
      </c>
      <c r="I56" s="1091" t="s">
        <v>1012</v>
      </c>
      <c r="J56" s="1091" t="s">
        <v>1012</v>
      </c>
      <c r="K56" s="621">
        <v>1351296</v>
      </c>
      <c r="L56" s="621">
        <v>661235.35</v>
      </c>
      <c r="M56" s="621">
        <v>0</v>
      </c>
      <c r="N56" s="621">
        <v>107165.47999999998</v>
      </c>
      <c r="O56" s="621">
        <v>-9896.2000000000007</v>
      </c>
      <c r="P56" s="759">
        <v>0</v>
      </c>
      <c r="Q56" s="618">
        <f t="shared" si="2"/>
        <v>554069.87</v>
      </c>
      <c r="R56" s="961">
        <v>108938.97999999998</v>
      </c>
      <c r="S56" s="960">
        <v>445130.89</v>
      </c>
      <c r="T56" s="108"/>
      <c r="V56" s="429"/>
      <c r="W56" s="431"/>
      <c r="X56" s="431"/>
      <c r="Y56" s="431"/>
      <c r="Z56" s="431"/>
      <c r="AA56" s="431"/>
      <c r="AB56" s="431"/>
      <c r="AC56" s="431"/>
      <c r="AD56" s="431"/>
      <c r="AE56" s="431"/>
      <c r="AF56" s="431"/>
      <c r="AG56" s="431"/>
      <c r="AH56" s="431"/>
      <c r="AI56" s="432"/>
    </row>
    <row r="57" spans="2:35" ht="22.9" customHeight="1">
      <c r="B57" s="119"/>
      <c r="C57" s="545"/>
      <c r="D57" s="539" t="s">
        <v>1001</v>
      </c>
      <c r="E57" s="1089">
        <v>43465</v>
      </c>
      <c r="F57" s="1089">
        <v>46022</v>
      </c>
      <c r="G57" s="1090" t="s">
        <v>1011</v>
      </c>
      <c r="H57" s="609" t="s">
        <v>1007</v>
      </c>
      <c r="I57" s="1091" t="s">
        <v>1012</v>
      </c>
      <c r="J57" s="1091" t="s">
        <v>1012</v>
      </c>
      <c r="K57" s="621">
        <f>2945375.51+54.55</f>
        <v>2945430.0599999996</v>
      </c>
      <c r="L57" s="621">
        <v>0</v>
      </c>
      <c r="M57" s="621">
        <f>2945375.51+54.55</f>
        <v>2945430.0599999996</v>
      </c>
      <c r="N57" s="621">
        <v>0</v>
      </c>
      <c r="O57" s="621">
        <v>0</v>
      </c>
      <c r="P57" s="759">
        <v>0</v>
      </c>
      <c r="Q57" s="618">
        <f t="shared" si="2"/>
        <v>2945430.0599999996</v>
      </c>
      <c r="R57" s="961">
        <v>483973.44</v>
      </c>
      <c r="S57" s="960">
        <v>2461456.6199999996</v>
      </c>
      <c r="T57" s="108"/>
      <c r="V57" s="429"/>
      <c r="W57" s="431"/>
      <c r="X57" s="431"/>
      <c r="Y57" s="431"/>
      <c r="Z57" s="431"/>
      <c r="AA57" s="431"/>
      <c r="AB57" s="431"/>
      <c r="AC57" s="431"/>
      <c r="AD57" s="431"/>
      <c r="AE57" s="431"/>
      <c r="AF57" s="431"/>
      <c r="AG57" s="431"/>
      <c r="AH57" s="431"/>
      <c r="AI57" s="432"/>
    </row>
    <row r="58" spans="2:35" ht="22.9" customHeight="1">
      <c r="B58" s="119"/>
      <c r="C58" s="545"/>
      <c r="D58" s="539"/>
      <c r="E58" s="609"/>
      <c r="F58" s="609"/>
      <c r="G58" s="545"/>
      <c r="H58" s="609"/>
      <c r="I58" s="609"/>
      <c r="J58" s="609"/>
      <c r="K58" s="621"/>
      <c r="L58" s="621"/>
      <c r="M58" s="621"/>
      <c r="N58" s="621"/>
      <c r="O58" s="621"/>
      <c r="P58" s="759"/>
      <c r="Q58" s="618">
        <f t="shared" si="2"/>
        <v>0</v>
      </c>
      <c r="R58" s="961"/>
      <c r="S58" s="962"/>
      <c r="T58" s="108"/>
      <c r="V58" s="429"/>
      <c r="W58" s="431"/>
      <c r="X58" s="431"/>
      <c r="Y58" s="431"/>
      <c r="Z58" s="431"/>
      <c r="AA58" s="431"/>
      <c r="AB58" s="431"/>
      <c r="AC58" s="431"/>
      <c r="AD58" s="431"/>
      <c r="AE58" s="431"/>
      <c r="AF58" s="431"/>
      <c r="AG58" s="431"/>
      <c r="AH58" s="431"/>
      <c r="AI58" s="432"/>
    </row>
    <row r="59" spans="2:35" ht="22.9" customHeight="1">
      <c r="B59" s="119"/>
      <c r="C59" s="545"/>
      <c r="D59" s="539"/>
      <c r="E59" s="609"/>
      <c r="F59" s="609"/>
      <c r="G59" s="545"/>
      <c r="H59" s="609"/>
      <c r="I59" s="609"/>
      <c r="J59" s="609"/>
      <c r="K59" s="621"/>
      <c r="L59" s="621"/>
      <c r="M59" s="621"/>
      <c r="N59" s="621"/>
      <c r="O59" s="621"/>
      <c r="P59" s="759"/>
      <c r="Q59" s="618">
        <f t="shared" si="2"/>
        <v>0</v>
      </c>
      <c r="R59" s="961"/>
      <c r="S59" s="962"/>
      <c r="T59" s="108"/>
      <c r="V59" s="429"/>
      <c r="W59" s="431"/>
      <c r="X59" s="431"/>
      <c r="Y59" s="431"/>
      <c r="Z59" s="431"/>
      <c r="AA59" s="431"/>
      <c r="AB59" s="431"/>
      <c r="AC59" s="431"/>
      <c r="AD59" s="431"/>
      <c r="AE59" s="431"/>
      <c r="AF59" s="431"/>
      <c r="AG59" s="431"/>
      <c r="AH59" s="431"/>
      <c r="AI59" s="432"/>
    </row>
    <row r="60" spans="2:35" ht="22.9" customHeight="1">
      <c r="B60" s="119"/>
      <c r="C60" s="545"/>
      <c r="D60" s="539"/>
      <c r="E60" s="609"/>
      <c r="F60" s="609"/>
      <c r="G60" s="545"/>
      <c r="H60" s="609"/>
      <c r="I60" s="609"/>
      <c r="J60" s="609"/>
      <c r="K60" s="621"/>
      <c r="L60" s="621"/>
      <c r="M60" s="621"/>
      <c r="N60" s="621"/>
      <c r="O60" s="621"/>
      <c r="P60" s="759"/>
      <c r="Q60" s="618">
        <f t="shared" si="2"/>
        <v>0</v>
      </c>
      <c r="R60" s="961"/>
      <c r="S60" s="962"/>
      <c r="T60" s="108"/>
      <c r="V60" s="429"/>
      <c r="W60" s="431"/>
      <c r="X60" s="431"/>
      <c r="Y60" s="431"/>
      <c r="Z60" s="431"/>
      <c r="AA60" s="431"/>
      <c r="AB60" s="431"/>
      <c r="AC60" s="431"/>
      <c r="AD60" s="431"/>
      <c r="AE60" s="431"/>
      <c r="AF60" s="431"/>
      <c r="AG60" s="431"/>
      <c r="AH60" s="431"/>
      <c r="AI60" s="432"/>
    </row>
    <row r="61" spans="2:35" ht="22.9" customHeight="1">
      <c r="B61" s="119"/>
      <c r="C61" s="545"/>
      <c r="D61" s="539"/>
      <c r="E61" s="609"/>
      <c r="F61" s="609"/>
      <c r="G61" s="545"/>
      <c r="H61" s="609"/>
      <c r="I61" s="609"/>
      <c r="J61" s="609"/>
      <c r="K61" s="621"/>
      <c r="L61" s="621"/>
      <c r="M61" s="621"/>
      <c r="N61" s="621"/>
      <c r="O61" s="621"/>
      <c r="P61" s="759"/>
      <c r="Q61" s="618">
        <f t="shared" si="2"/>
        <v>0</v>
      </c>
      <c r="R61" s="961"/>
      <c r="S61" s="962"/>
      <c r="T61" s="108"/>
      <c r="V61" s="429"/>
      <c r="W61" s="431"/>
      <c r="X61" s="431"/>
      <c r="Y61" s="431"/>
      <c r="Z61" s="431"/>
      <c r="AA61" s="431"/>
      <c r="AB61" s="431"/>
      <c r="AC61" s="431"/>
      <c r="AD61" s="431"/>
      <c r="AE61" s="431"/>
      <c r="AF61" s="431"/>
      <c r="AG61" s="431"/>
      <c r="AH61" s="431"/>
      <c r="AI61" s="432"/>
    </row>
    <row r="62" spans="2:35" ht="22.9" customHeight="1">
      <c r="B62" s="119"/>
      <c r="C62" s="545"/>
      <c r="D62" s="539"/>
      <c r="E62" s="609"/>
      <c r="F62" s="609"/>
      <c r="G62" s="545"/>
      <c r="H62" s="609"/>
      <c r="I62" s="609"/>
      <c r="J62" s="609"/>
      <c r="K62" s="621"/>
      <c r="L62" s="621"/>
      <c r="M62" s="621"/>
      <c r="N62" s="621"/>
      <c r="O62" s="621"/>
      <c r="P62" s="759"/>
      <c r="Q62" s="618">
        <f t="shared" si="2"/>
        <v>0</v>
      </c>
      <c r="R62" s="961"/>
      <c r="S62" s="962"/>
      <c r="T62" s="108"/>
      <c r="V62" s="429"/>
      <c r="W62" s="431"/>
      <c r="X62" s="431"/>
      <c r="Y62" s="431"/>
      <c r="Z62" s="431"/>
      <c r="AA62" s="431"/>
      <c r="AB62" s="431"/>
      <c r="AC62" s="431"/>
      <c r="AD62" s="431"/>
      <c r="AE62" s="431"/>
      <c r="AF62" s="431"/>
      <c r="AG62" s="431"/>
      <c r="AH62" s="431"/>
      <c r="AI62" s="432"/>
    </row>
    <row r="63" spans="2:35" ht="22.9" customHeight="1">
      <c r="B63" s="119"/>
      <c r="C63" s="545"/>
      <c r="D63" s="539"/>
      <c r="E63" s="609"/>
      <c r="F63" s="609"/>
      <c r="G63" s="545"/>
      <c r="H63" s="609"/>
      <c r="I63" s="609"/>
      <c r="J63" s="609"/>
      <c r="K63" s="621"/>
      <c r="L63" s="621"/>
      <c r="M63" s="621"/>
      <c r="N63" s="621"/>
      <c r="O63" s="621"/>
      <c r="P63" s="759"/>
      <c r="Q63" s="618">
        <f t="shared" si="2"/>
        <v>0</v>
      </c>
      <c r="R63" s="961"/>
      <c r="S63" s="962"/>
      <c r="T63" s="108"/>
      <c r="V63" s="429"/>
      <c r="W63" s="431"/>
      <c r="X63" s="431"/>
      <c r="Y63" s="431"/>
      <c r="Z63" s="431"/>
      <c r="AA63" s="431"/>
      <c r="AB63" s="431"/>
      <c r="AC63" s="431"/>
      <c r="AD63" s="431"/>
      <c r="AE63" s="431"/>
      <c r="AF63" s="431"/>
      <c r="AG63" s="431"/>
      <c r="AH63" s="431"/>
      <c r="AI63" s="432"/>
    </row>
    <row r="64" spans="2:35" ht="22.9" customHeight="1">
      <c r="B64" s="119"/>
      <c r="C64" s="545"/>
      <c r="D64" s="539"/>
      <c r="E64" s="609"/>
      <c r="F64" s="609"/>
      <c r="G64" s="545"/>
      <c r="H64" s="609"/>
      <c r="I64" s="609"/>
      <c r="J64" s="609"/>
      <c r="K64" s="621"/>
      <c r="L64" s="621"/>
      <c r="M64" s="621"/>
      <c r="N64" s="621"/>
      <c r="O64" s="621"/>
      <c r="P64" s="759"/>
      <c r="Q64" s="618">
        <f t="shared" si="2"/>
        <v>0</v>
      </c>
      <c r="R64" s="961"/>
      <c r="S64" s="962"/>
      <c r="T64" s="108"/>
      <c r="V64" s="429"/>
      <c r="W64" s="431"/>
      <c r="X64" s="431"/>
      <c r="Y64" s="431"/>
      <c r="Z64" s="431"/>
      <c r="AA64" s="431"/>
      <c r="AB64" s="431"/>
      <c r="AC64" s="431"/>
      <c r="AD64" s="431"/>
      <c r="AE64" s="431"/>
      <c r="AF64" s="431"/>
      <c r="AG64" s="431"/>
      <c r="AH64" s="431"/>
      <c r="AI64" s="432"/>
    </row>
    <row r="65" spans="2:35" ht="22.9" customHeight="1">
      <c r="B65" s="119"/>
      <c r="C65" s="545"/>
      <c r="D65" s="539"/>
      <c r="E65" s="609"/>
      <c r="F65" s="609"/>
      <c r="G65" s="545"/>
      <c r="H65" s="609"/>
      <c r="I65" s="609"/>
      <c r="J65" s="609"/>
      <c r="K65" s="621"/>
      <c r="L65" s="621"/>
      <c r="M65" s="621"/>
      <c r="N65" s="621"/>
      <c r="O65" s="621"/>
      <c r="P65" s="759"/>
      <c r="Q65" s="618">
        <f t="shared" si="2"/>
        <v>0</v>
      </c>
      <c r="R65" s="961"/>
      <c r="S65" s="962"/>
      <c r="T65" s="108"/>
      <c r="V65" s="429"/>
      <c r="W65" s="431"/>
      <c r="X65" s="431"/>
      <c r="Y65" s="431"/>
      <c r="Z65" s="431"/>
      <c r="AA65" s="431"/>
      <c r="AB65" s="431"/>
      <c r="AC65" s="431"/>
      <c r="AD65" s="431"/>
      <c r="AE65" s="431"/>
      <c r="AF65" s="431"/>
      <c r="AG65" s="431"/>
      <c r="AH65" s="431"/>
      <c r="AI65" s="432"/>
    </row>
    <row r="66" spans="2:35" ht="22.9" customHeight="1">
      <c r="B66" s="119"/>
      <c r="C66" s="545"/>
      <c r="D66" s="539"/>
      <c r="E66" s="609"/>
      <c r="F66" s="609"/>
      <c r="G66" s="545"/>
      <c r="H66" s="609"/>
      <c r="I66" s="609"/>
      <c r="J66" s="609"/>
      <c r="K66" s="621"/>
      <c r="L66" s="621"/>
      <c r="M66" s="621"/>
      <c r="N66" s="621"/>
      <c r="O66" s="621"/>
      <c r="P66" s="759"/>
      <c r="Q66" s="618">
        <f t="shared" si="2"/>
        <v>0</v>
      </c>
      <c r="R66" s="961"/>
      <c r="S66" s="962"/>
      <c r="T66" s="108"/>
      <c r="V66" s="429"/>
      <c r="W66" s="431"/>
      <c r="X66" s="431"/>
      <c r="Y66" s="431"/>
      <c r="Z66" s="431"/>
      <c r="AA66" s="431"/>
      <c r="AB66" s="431"/>
      <c r="AC66" s="431"/>
      <c r="AD66" s="431"/>
      <c r="AE66" s="431"/>
      <c r="AF66" s="431"/>
      <c r="AG66" s="431"/>
      <c r="AH66" s="431"/>
      <c r="AI66" s="432"/>
    </row>
    <row r="67" spans="2:35" ht="22.9" customHeight="1">
      <c r="B67" s="119"/>
      <c r="C67" s="545"/>
      <c r="D67" s="539"/>
      <c r="E67" s="609"/>
      <c r="F67" s="609"/>
      <c r="G67" s="545"/>
      <c r="H67" s="609"/>
      <c r="I67" s="609"/>
      <c r="J67" s="609"/>
      <c r="K67" s="621"/>
      <c r="L67" s="621"/>
      <c r="M67" s="621"/>
      <c r="N67" s="621"/>
      <c r="O67" s="621"/>
      <c r="P67" s="759"/>
      <c r="Q67" s="618">
        <f t="shared" si="2"/>
        <v>0</v>
      </c>
      <c r="R67" s="961"/>
      <c r="S67" s="962"/>
      <c r="T67" s="108"/>
      <c r="V67" s="429"/>
      <c r="W67" s="431"/>
      <c r="X67" s="431"/>
      <c r="Y67" s="431"/>
      <c r="Z67" s="431"/>
      <c r="AA67" s="431"/>
      <c r="AB67" s="431"/>
      <c r="AC67" s="431"/>
      <c r="AD67" s="431"/>
      <c r="AE67" s="431"/>
      <c r="AF67" s="431"/>
      <c r="AG67" s="431"/>
      <c r="AH67" s="431"/>
      <c r="AI67" s="432"/>
    </row>
    <row r="68" spans="2:35" ht="22.9" customHeight="1">
      <c r="B68" s="119"/>
      <c r="C68" s="545"/>
      <c r="D68" s="539"/>
      <c r="E68" s="609"/>
      <c r="F68" s="609"/>
      <c r="G68" s="545"/>
      <c r="H68" s="609"/>
      <c r="I68" s="609"/>
      <c r="J68" s="609"/>
      <c r="K68" s="621"/>
      <c r="L68" s="621"/>
      <c r="M68" s="621"/>
      <c r="N68" s="621"/>
      <c r="O68" s="621"/>
      <c r="P68" s="759"/>
      <c r="Q68" s="618">
        <f t="shared" si="2"/>
        <v>0</v>
      </c>
      <c r="R68" s="961"/>
      <c r="S68" s="962"/>
      <c r="T68" s="108"/>
      <c r="V68" s="429"/>
      <c r="W68" s="431"/>
      <c r="X68" s="431"/>
      <c r="Y68" s="431"/>
      <c r="Z68" s="431"/>
      <c r="AA68" s="431"/>
      <c r="AB68" s="431"/>
      <c r="AC68" s="431"/>
      <c r="AD68" s="431"/>
      <c r="AE68" s="431"/>
      <c r="AF68" s="431"/>
      <c r="AG68" s="431"/>
      <c r="AH68" s="431"/>
      <c r="AI68" s="432"/>
    </row>
    <row r="69" spans="2:35" ht="22.9" customHeight="1">
      <c r="B69" s="119"/>
      <c r="C69" s="545"/>
      <c r="D69" s="539"/>
      <c r="E69" s="609"/>
      <c r="F69" s="609"/>
      <c r="G69" s="545"/>
      <c r="H69" s="609"/>
      <c r="I69" s="609"/>
      <c r="J69" s="609"/>
      <c r="K69" s="621"/>
      <c r="L69" s="621"/>
      <c r="M69" s="621"/>
      <c r="N69" s="621"/>
      <c r="O69" s="621"/>
      <c r="P69" s="759"/>
      <c r="Q69" s="618">
        <f t="shared" si="2"/>
        <v>0</v>
      </c>
      <c r="R69" s="961"/>
      <c r="S69" s="962"/>
      <c r="T69" s="108"/>
      <c r="V69" s="429"/>
      <c r="W69" s="431"/>
      <c r="X69" s="431"/>
      <c r="Y69" s="431"/>
      <c r="Z69" s="431"/>
      <c r="AA69" s="431"/>
      <c r="AB69" s="431"/>
      <c r="AC69" s="431"/>
      <c r="AD69" s="431"/>
      <c r="AE69" s="431"/>
      <c r="AF69" s="431"/>
      <c r="AG69" s="431"/>
      <c r="AH69" s="431"/>
      <c r="AI69" s="432"/>
    </row>
    <row r="70" spans="2:35" ht="22.9" customHeight="1">
      <c r="B70" s="119"/>
      <c r="C70" s="545"/>
      <c r="D70" s="539"/>
      <c r="E70" s="609"/>
      <c r="F70" s="609"/>
      <c r="G70" s="545"/>
      <c r="H70" s="609"/>
      <c r="I70" s="609"/>
      <c r="J70" s="609"/>
      <c r="K70" s="621"/>
      <c r="L70" s="621"/>
      <c r="M70" s="621"/>
      <c r="N70" s="621"/>
      <c r="O70" s="621"/>
      <c r="P70" s="759"/>
      <c r="Q70" s="618">
        <f t="shared" si="2"/>
        <v>0</v>
      </c>
      <c r="R70" s="961"/>
      <c r="S70" s="962"/>
      <c r="T70" s="108"/>
      <c r="V70" s="429"/>
      <c r="W70" s="431"/>
      <c r="X70" s="431"/>
      <c r="Y70" s="431"/>
      <c r="Z70" s="431"/>
      <c r="AA70" s="431"/>
      <c r="AB70" s="431"/>
      <c r="AC70" s="431"/>
      <c r="AD70" s="431"/>
      <c r="AE70" s="431"/>
      <c r="AF70" s="431"/>
      <c r="AG70" s="431"/>
      <c r="AH70" s="431"/>
      <c r="AI70" s="432"/>
    </row>
    <row r="71" spans="2:35" ht="22.9" customHeight="1">
      <c r="B71" s="119"/>
      <c r="C71" s="545"/>
      <c r="D71" s="539"/>
      <c r="E71" s="609"/>
      <c r="F71" s="609"/>
      <c r="G71" s="545"/>
      <c r="H71" s="609"/>
      <c r="I71" s="609"/>
      <c r="J71" s="609"/>
      <c r="K71" s="621"/>
      <c r="L71" s="621"/>
      <c r="M71" s="621"/>
      <c r="N71" s="621"/>
      <c r="O71" s="621"/>
      <c r="P71" s="759"/>
      <c r="Q71" s="618">
        <f t="shared" si="2"/>
        <v>0</v>
      </c>
      <c r="R71" s="961"/>
      <c r="S71" s="962"/>
      <c r="T71" s="108"/>
      <c r="V71" s="429"/>
      <c r="W71" s="431"/>
      <c r="X71" s="431"/>
      <c r="Y71" s="431"/>
      <c r="Z71" s="431"/>
      <c r="AA71" s="431"/>
      <c r="AB71" s="431"/>
      <c r="AC71" s="431"/>
      <c r="AD71" s="431"/>
      <c r="AE71" s="431"/>
      <c r="AF71" s="431"/>
      <c r="AG71" s="431"/>
      <c r="AH71" s="431"/>
      <c r="AI71" s="432"/>
    </row>
    <row r="72" spans="2:35" ht="22.9" customHeight="1">
      <c r="B72" s="119"/>
      <c r="C72" s="545"/>
      <c r="D72" s="540"/>
      <c r="E72" s="610"/>
      <c r="F72" s="610"/>
      <c r="G72" s="546"/>
      <c r="H72" s="610"/>
      <c r="I72" s="610"/>
      <c r="J72" s="610"/>
      <c r="K72" s="622"/>
      <c r="L72" s="622"/>
      <c r="M72" s="622"/>
      <c r="N72" s="622"/>
      <c r="O72" s="622"/>
      <c r="P72" s="760"/>
      <c r="Q72" s="619">
        <f t="shared" si="2"/>
        <v>0</v>
      </c>
      <c r="R72" s="961"/>
      <c r="S72" s="962"/>
      <c r="T72" s="108"/>
      <c r="V72" s="429"/>
      <c r="W72" s="431"/>
      <c r="X72" s="431"/>
      <c r="Y72" s="431"/>
      <c r="Z72" s="431"/>
      <c r="AA72" s="431"/>
      <c r="AB72" s="431"/>
      <c r="AC72" s="431"/>
      <c r="AD72" s="431"/>
      <c r="AE72" s="431"/>
      <c r="AF72" s="431"/>
      <c r="AG72" s="431"/>
      <c r="AH72" s="431"/>
      <c r="AI72" s="432"/>
    </row>
    <row r="73" spans="2:35" ht="22.9" customHeight="1">
      <c r="B73" s="119"/>
      <c r="C73" s="547"/>
      <c r="D73" s="541"/>
      <c r="E73" s="611"/>
      <c r="F73" s="611"/>
      <c r="G73" s="547"/>
      <c r="H73" s="611"/>
      <c r="I73" s="611"/>
      <c r="J73" s="611"/>
      <c r="K73" s="623"/>
      <c r="L73" s="623"/>
      <c r="M73" s="623"/>
      <c r="N73" s="623"/>
      <c r="O73" s="623"/>
      <c r="P73" s="761"/>
      <c r="Q73" s="620">
        <f t="shared" si="2"/>
        <v>0</v>
      </c>
      <c r="R73" s="963"/>
      <c r="S73" s="964"/>
      <c r="T73" s="108"/>
      <c r="V73" s="429"/>
      <c r="W73" s="431"/>
      <c r="X73" s="431"/>
      <c r="Y73" s="431"/>
      <c r="Z73" s="431"/>
      <c r="AA73" s="431"/>
      <c r="AB73" s="431"/>
      <c r="AC73" s="431"/>
      <c r="AD73" s="431"/>
      <c r="AE73" s="431"/>
      <c r="AF73" s="431"/>
      <c r="AG73" s="431"/>
      <c r="AH73" s="431"/>
      <c r="AI73" s="432"/>
    </row>
    <row r="74" spans="2:35" ht="22.9" customHeight="1" thickBot="1">
      <c r="B74" s="119"/>
      <c r="C74" s="221"/>
      <c r="D74" s="221"/>
      <c r="E74" s="222"/>
      <c r="F74" s="222"/>
      <c r="G74" s="222"/>
      <c r="H74" s="1193" t="s">
        <v>486</v>
      </c>
      <c r="I74" s="1194"/>
      <c r="J74" s="1195"/>
      <c r="K74" s="243">
        <f t="shared" ref="K74:L74" si="3">SUM(K49:K73)</f>
        <v>125540726.06</v>
      </c>
      <c r="L74" s="234">
        <f t="shared" si="3"/>
        <v>108376912.41999999</v>
      </c>
      <c r="M74" s="242">
        <f>SUM(M49:M73)</f>
        <v>2945430.0599999996</v>
      </c>
      <c r="N74" s="242">
        <f t="shared" ref="N74" si="4">SUM(N49:N73)</f>
        <v>3043934.4</v>
      </c>
      <c r="O74" s="243">
        <f>SUM(O49:O73)</f>
        <v>-4820075.6479654266</v>
      </c>
      <c r="P74" s="243">
        <f>SUM(P49:P73)</f>
        <v>-766444.77763333381</v>
      </c>
      <c r="Q74" s="425">
        <f>SUM(Q49:Q73)</f>
        <v>108278408.08</v>
      </c>
      <c r="R74" s="242">
        <f>SUM(R49:R73)</f>
        <v>3461748.42</v>
      </c>
      <c r="S74" s="179">
        <f>SUM(S49:S73)</f>
        <v>104816659.66</v>
      </c>
      <c r="T74" s="108"/>
      <c r="V74" s="429"/>
      <c r="W74" s="431"/>
      <c r="X74" s="431"/>
      <c r="Y74" s="431"/>
      <c r="Z74" s="431"/>
      <c r="AA74" s="431"/>
      <c r="AB74" s="431"/>
      <c r="AC74" s="431"/>
      <c r="AD74" s="431"/>
      <c r="AE74" s="431"/>
      <c r="AF74" s="431"/>
      <c r="AG74" s="431"/>
      <c r="AH74" s="431"/>
      <c r="AI74" s="432"/>
    </row>
    <row r="75" spans="2:35" ht="22.9" customHeight="1">
      <c r="B75" s="119"/>
      <c r="C75" s="221"/>
      <c r="D75" s="221"/>
      <c r="E75" s="222"/>
      <c r="F75" s="222"/>
      <c r="G75" s="222"/>
      <c r="H75" s="879"/>
      <c r="I75" s="879"/>
      <c r="J75" s="879"/>
      <c r="K75" s="222"/>
      <c r="L75" s="222"/>
      <c r="M75" s="222"/>
      <c r="N75" s="222"/>
      <c r="O75" s="222"/>
      <c r="P75" s="222"/>
      <c r="Q75" s="222"/>
      <c r="R75" s="222"/>
      <c r="S75" s="222"/>
      <c r="T75" s="108"/>
      <c r="V75" s="429"/>
      <c r="W75" s="431"/>
      <c r="X75" s="431"/>
      <c r="Y75" s="431"/>
      <c r="Z75" s="431"/>
      <c r="AA75" s="431"/>
      <c r="AB75" s="431"/>
      <c r="AC75" s="431"/>
      <c r="AD75" s="431"/>
      <c r="AE75" s="431"/>
      <c r="AF75" s="431"/>
      <c r="AG75" s="431"/>
      <c r="AH75" s="431"/>
      <c r="AI75" s="432"/>
    </row>
    <row r="76" spans="2:35" s="247" customFormat="1" ht="18" customHeight="1">
      <c r="B76" s="889"/>
      <c r="C76" s="890" t="s">
        <v>416</v>
      </c>
      <c r="D76" s="891"/>
      <c r="E76" s="892"/>
      <c r="F76" s="892"/>
      <c r="G76" s="892"/>
      <c r="H76" s="892"/>
      <c r="I76" s="892"/>
      <c r="J76" s="892"/>
      <c r="K76" s="892"/>
      <c r="L76" s="892"/>
      <c r="M76" s="892"/>
      <c r="N76" s="110"/>
      <c r="O76" s="110"/>
      <c r="P76" s="110"/>
      <c r="Q76" s="110"/>
      <c r="R76" s="110"/>
      <c r="S76" s="110"/>
      <c r="T76" s="250"/>
      <c r="V76" s="442"/>
      <c r="W76" s="443"/>
      <c r="X76" s="443"/>
      <c r="Y76" s="443"/>
      <c r="Z76" s="443"/>
      <c r="AA76" s="443"/>
      <c r="AB76" s="443"/>
      <c r="AC76" s="443"/>
      <c r="AD76" s="443"/>
      <c r="AE76" s="443"/>
      <c r="AF76" s="443"/>
      <c r="AG76" s="443"/>
      <c r="AH76" s="443"/>
      <c r="AI76" s="444"/>
    </row>
    <row r="77" spans="2:35" s="247" customFormat="1" ht="18" customHeight="1">
      <c r="B77" s="889"/>
      <c r="C77" s="891" t="s">
        <v>829</v>
      </c>
      <c r="D77" s="891"/>
      <c r="E77" s="892"/>
      <c r="F77" s="892"/>
      <c r="G77" s="892"/>
      <c r="H77" s="892"/>
      <c r="I77" s="892"/>
      <c r="J77" s="892"/>
      <c r="K77" s="892"/>
      <c r="L77" s="892"/>
      <c r="M77" s="892"/>
      <c r="N77" s="110"/>
      <c r="O77" s="110"/>
      <c r="P77" s="110"/>
      <c r="Q77" s="110"/>
      <c r="R77" s="110"/>
      <c r="S77" s="110"/>
      <c r="T77" s="250"/>
      <c r="V77" s="442"/>
      <c r="W77" s="443"/>
      <c r="X77" s="443"/>
      <c r="Y77" s="443"/>
      <c r="Z77" s="443"/>
      <c r="AA77" s="443"/>
      <c r="AB77" s="443"/>
      <c r="AC77" s="443"/>
      <c r="AD77" s="443"/>
      <c r="AE77" s="443"/>
      <c r="AF77" s="443"/>
      <c r="AG77" s="443"/>
      <c r="AH77" s="443"/>
      <c r="AI77" s="444"/>
    </row>
    <row r="78" spans="2:35" s="247" customFormat="1" ht="18" customHeight="1">
      <c r="B78" s="889"/>
      <c r="C78" s="891" t="s">
        <v>830</v>
      </c>
      <c r="D78" s="891"/>
      <c r="E78" s="892"/>
      <c r="F78" s="892"/>
      <c r="G78" s="892"/>
      <c r="H78" s="892"/>
      <c r="I78" s="892"/>
      <c r="J78" s="892"/>
      <c r="K78" s="892"/>
      <c r="L78" s="892"/>
      <c r="M78" s="892"/>
      <c r="N78" s="110"/>
      <c r="O78" s="110"/>
      <c r="P78" s="110"/>
      <c r="Q78" s="110"/>
      <c r="R78" s="110"/>
      <c r="S78" s="110"/>
      <c r="T78" s="250"/>
      <c r="V78" s="442"/>
      <c r="W78" s="443"/>
      <c r="X78" s="443"/>
      <c r="Y78" s="443"/>
      <c r="Z78" s="443"/>
      <c r="AA78" s="443"/>
      <c r="AB78" s="443"/>
      <c r="AC78" s="443"/>
      <c r="AD78" s="443"/>
      <c r="AE78" s="443"/>
      <c r="AF78" s="443"/>
      <c r="AG78" s="443"/>
      <c r="AH78" s="443"/>
      <c r="AI78" s="444"/>
    </row>
    <row r="79" spans="2:35" s="247" customFormat="1" ht="18" customHeight="1">
      <c r="B79" s="889"/>
      <c r="C79" s="893" t="s">
        <v>808</v>
      </c>
      <c r="D79" s="891"/>
      <c r="E79" s="892"/>
      <c r="F79" s="892"/>
      <c r="G79" s="892"/>
      <c r="H79" s="892"/>
      <c r="I79" s="892"/>
      <c r="J79" s="892"/>
      <c r="K79" s="892"/>
      <c r="L79" s="892"/>
      <c r="M79" s="892"/>
      <c r="N79" s="110"/>
      <c r="O79" s="110"/>
      <c r="P79" s="110"/>
      <c r="Q79" s="110"/>
      <c r="R79" s="110"/>
      <c r="S79" s="110"/>
      <c r="T79" s="250"/>
      <c r="V79" s="442"/>
      <c r="W79" s="443"/>
      <c r="X79" s="443"/>
      <c r="Y79" s="443"/>
      <c r="Z79" s="443"/>
      <c r="AA79" s="443"/>
      <c r="AB79" s="443"/>
      <c r="AC79" s="443"/>
      <c r="AD79" s="443"/>
      <c r="AE79" s="443"/>
      <c r="AF79" s="443"/>
      <c r="AG79" s="443"/>
      <c r="AH79" s="443"/>
      <c r="AI79" s="444"/>
    </row>
    <row r="80" spans="2:35" s="247" customFormat="1" ht="18" customHeight="1">
      <c r="B80" s="889"/>
      <c r="C80" s="247" t="s">
        <v>831</v>
      </c>
      <c r="D80" s="891"/>
      <c r="E80" s="892"/>
      <c r="F80" s="892"/>
      <c r="G80" s="892"/>
      <c r="H80" s="892"/>
      <c r="I80" s="892"/>
      <c r="J80" s="892"/>
      <c r="K80" s="892"/>
      <c r="L80" s="892"/>
      <c r="M80" s="892"/>
      <c r="N80" s="110"/>
      <c r="O80" s="110"/>
      <c r="P80" s="110"/>
      <c r="Q80" s="110"/>
      <c r="R80" s="110"/>
      <c r="S80" s="110"/>
      <c r="T80" s="250"/>
      <c r="V80" s="442"/>
      <c r="W80" s="443"/>
      <c r="X80" s="443"/>
      <c r="Y80" s="443"/>
      <c r="Z80" s="443"/>
      <c r="AA80" s="443"/>
      <c r="AB80" s="443"/>
      <c r="AC80" s="443"/>
      <c r="AD80" s="443"/>
      <c r="AE80" s="443"/>
      <c r="AF80" s="443"/>
      <c r="AG80" s="443"/>
      <c r="AH80" s="443"/>
      <c r="AI80" s="444"/>
    </row>
    <row r="81" spans="2:35" s="247" customFormat="1" ht="18" customHeight="1">
      <c r="B81" s="889"/>
      <c r="C81" s="894" t="s">
        <v>809</v>
      </c>
      <c r="D81" s="891"/>
      <c r="E81" s="895"/>
      <c r="F81" s="895"/>
      <c r="G81" s="895"/>
      <c r="H81" s="895"/>
      <c r="I81" s="895"/>
      <c r="J81" s="895"/>
      <c r="K81" s="895"/>
      <c r="L81" s="895"/>
      <c r="M81" s="895"/>
      <c r="N81" s="110"/>
      <c r="O81" s="110"/>
      <c r="P81" s="110"/>
      <c r="Q81" s="110"/>
      <c r="R81" s="110"/>
      <c r="S81" s="110"/>
      <c r="T81" s="250"/>
      <c r="V81" s="442"/>
      <c r="W81" s="443"/>
      <c r="X81" s="443"/>
      <c r="Y81" s="443"/>
      <c r="Z81" s="443"/>
      <c r="AA81" s="443"/>
      <c r="AB81" s="443"/>
      <c r="AC81" s="443"/>
      <c r="AD81" s="443"/>
      <c r="AE81" s="443"/>
      <c r="AF81" s="443"/>
      <c r="AG81" s="443"/>
      <c r="AH81" s="443"/>
      <c r="AI81" s="444"/>
    </row>
    <row r="82" spans="2:35" s="247" customFormat="1" ht="18" customHeight="1">
      <c r="B82" s="889"/>
      <c r="C82" s="894" t="s">
        <v>810</v>
      </c>
      <c r="D82" s="891"/>
      <c r="E82" s="895"/>
      <c r="F82" s="895"/>
      <c r="G82" s="895"/>
      <c r="H82" s="895"/>
      <c r="I82" s="895"/>
      <c r="J82" s="895"/>
      <c r="K82" s="895"/>
      <c r="L82" s="895"/>
      <c r="M82" s="895"/>
      <c r="N82" s="110"/>
      <c r="O82" s="110"/>
      <c r="P82" s="110"/>
      <c r="Q82" s="110"/>
      <c r="R82" s="110"/>
      <c r="S82" s="110"/>
      <c r="T82" s="250"/>
      <c r="V82" s="442"/>
      <c r="W82" s="443"/>
      <c r="X82" s="443"/>
      <c r="Y82" s="443"/>
      <c r="Z82" s="443"/>
      <c r="AA82" s="443"/>
      <c r="AB82" s="443"/>
      <c r="AC82" s="443"/>
      <c r="AD82" s="443"/>
      <c r="AE82" s="443"/>
      <c r="AF82" s="443"/>
      <c r="AG82" s="443"/>
      <c r="AH82" s="443"/>
      <c r="AI82" s="444"/>
    </row>
    <row r="83" spans="2:35" s="247" customFormat="1" ht="18" customHeight="1">
      <c r="B83" s="889"/>
      <c r="C83" s="894" t="s">
        <v>832</v>
      </c>
      <c r="D83" s="891"/>
      <c r="E83" s="895"/>
      <c r="F83" s="895"/>
      <c r="G83" s="895"/>
      <c r="H83" s="895"/>
      <c r="I83" s="895"/>
      <c r="J83" s="895"/>
      <c r="K83" s="895"/>
      <c r="L83" s="895"/>
      <c r="M83" s="895"/>
      <c r="N83" s="110"/>
      <c r="O83" s="110"/>
      <c r="P83" s="110"/>
      <c r="Q83" s="110"/>
      <c r="R83" s="110"/>
      <c r="S83" s="110"/>
      <c r="T83" s="250"/>
      <c r="V83" s="442"/>
      <c r="W83" s="443"/>
      <c r="X83" s="443"/>
      <c r="Y83" s="443"/>
      <c r="Z83" s="443"/>
      <c r="AA83" s="443"/>
      <c r="AB83" s="443"/>
      <c r="AC83" s="443"/>
      <c r="AD83" s="443"/>
      <c r="AE83" s="443"/>
      <c r="AF83" s="443"/>
      <c r="AG83" s="443"/>
      <c r="AH83" s="443"/>
      <c r="AI83" s="444"/>
    </row>
    <row r="84" spans="2:35" ht="22.9" customHeight="1" thickBot="1">
      <c r="B84" s="123"/>
      <c r="C84" s="1128"/>
      <c r="D84" s="1128"/>
      <c r="E84" s="57"/>
      <c r="F84" s="420"/>
      <c r="G84" s="57"/>
      <c r="H84" s="57"/>
      <c r="I84" s="57"/>
      <c r="J84" s="752"/>
      <c r="K84" s="57"/>
      <c r="L84" s="57"/>
      <c r="M84" s="423"/>
      <c r="N84" s="57"/>
      <c r="O84" s="57"/>
      <c r="P84" s="752"/>
      <c r="Q84" s="57"/>
      <c r="R84" s="57"/>
      <c r="S84" s="57"/>
      <c r="T84" s="125"/>
      <c r="V84" s="445"/>
      <c r="W84" s="446"/>
      <c r="X84" s="446"/>
      <c r="Y84" s="446"/>
      <c r="Z84" s="446"/>
      <c r="AA84" s="446"/>
      <c r="AB84" s="446"/>
      <c r="AC84" s="446"/>
      <c r="AD84" s="446"/>
      <c r="AE84" s="446"/>
      <c r="AF84" s="446"/>
      <c r="AG84" s="446"/>
      <c r="AH84" s="446"/>
      <c r="AI84" s="447"/>
    </row>
    <row r="85" spans="2:35" ht="22.9" customHeight="1">
      <c r="C85" s="106"/>
      <c r="D85" s="106"/>
      <c r="E85" s="107"/>
      <c r="F85" s="107"/>
      <c r="G85" s="107"/>
      <c r="H85" s="107"/>
      <c r="I85" s="107"/>
      <c r="J85" s="107"/>
      <c r="K85" s="107"/>
      <c r="L85" s="107"/>
      <c r="M85" s="107"/>
      <c r="N85" s="107"/>
      <c r="O85" s="107"/>
      <c r="P85" s="107"/>
      <c r="Q85" s="107"/>
      <c r="R85" s="107"/>
      <c r="S85" s="107"/>
    </row>
    <row r="86" spans="2:35" ht="12.75">
      <c r="C86" s="126" t="s">
        <v>77</v>
      </c>
      <c r="D86" s="106"/>
      <c r="E86" s="107"/>
      <c r="F86" s="107"/>
      <c r="G86" s="107"/>
      <c r="H86" s="107"/>
      <c r="I86" s="107"/>
      <c r="J86" s="107"/>
      <c r="K86" s="107"/>
      <c r="L86" s="107"/>
      <c r="M86" s="107"/>
      <c r="N86" s="107"/>
      <c r="O86" s="107"/>
      <c r="P86" s="107"/>
      <c r="Q86" s="107"/>
      <c r="R86" s="107"/>
      <c r="S86" s="97" t="s">
        <v>56</v>
      </c>
    </row>
    <row r="87" spans="2:35" ht="12.75">
      <c r="C87" s="127" t="s">
        <v>78</v>
      </c>
      <c r="D87" s="106"/>
      <c r="E87" s="107"/>
      <c r="F87" s="107"/>
      <c r="G87" s="107"/>
      <c r="H87" s="107"/>
      <c r="I87" s="107"/>
      <c r="J87" s="107"/>
      <c r="K87" s="107"/>
      <c r="L87" s="107"/>
      <c r="M87" s="107"/>
      <c r="N87" s="107"/>
      <c r="O87" s="107"/>
      <c r="P87" s="107"/>
      <c r="Q87" s="107"/>
      <c r="R87" s="107"/>
    </row>
    <row r="88" spans="2:35" ht="12.75">
      <c r="C88" s="127" t="s">
        <v>79</v>
      </c>
      <c r="D88" s="106"/>
      <c r="E88" s="107"/>
      <c r="F88" s="107"/>
      <c r="G88" s="107"/>
      <c r="H88" s="107"/>
      <c r="I88" s="107"/>
      <c r="J88" s="107"/>
      <c r="K88" s="107"/>
      <c r="L88" s="107"/>
      <c r="M88" s="107"/>
      <c r="N88" s="107"/>
      <c r="O88" s="107"/>
      <c r="P88" s="107"/>
      <c r="Q88" s="107"/>
      <c r="R88" s="107"/>
      <c r="S88" s="107"/>
    </row>
    <row r="89" spans="2:35" ht="12.75">
      <c r="C89" s="127" t="s">
        <v>80</v>
      </c>
      <c r="D89" s="106"/>
      <c r="E89" s="107"/>
      <c r="F89" s="107"/>
      <c r="G89" s="107"/>
      <c r="H89" s="107"/>
      <c r="I89" s="107"/>
      <c r="J89" s="107"/>
      <c r="K89" s="107"/>
      <c r="L89" s="107"/>
      <c r="M89" s="107"/>
      <c r="N89" s="107"/>
      <c r="O89" s="107"/>
      <c r="P89" s="107"/>
      <c r="Q89" s="107"/>
      <c r="R89" s="107"/>
      <c r="S89" s="107"/>
    </row>
    <row r="90" spans="2:35" ht="12.75">
      <c r="C90" s="127" t="s">
        <v>81</v>
      </c>
      <c r="D90" s="106"/>
      <c r="E90" s="107"/>
      <c r="F90" s="107"/>
      <c r="G90" s="107"/>
      <c r="H90" s="107"/>
      <c r="I90" s="107"/>
      <c r="J90" s="107"/>
      <c r="K90" s="107"/>
      <c r="L90" s="107"/>
      <c r="M90" s="107"/>
      <c r="N90" s="107"/>
      <c r="O90" s="107"/>
      <c r="P90" s="107"/>
      <c r="Q90" s="107"/>
      <c r="R90" s="107"/>
      <c r="S90" s="107"/>
    </row>
    <row r="91" spans="2:35" ht="22.9" customHeight="1">
      <c r="C91" s="106"/>
      <c r="D91" s="106"/>
      <c r="E91" s="107"/>
      <c r="F91" s="107"/>
      <c r="G91" s="107"/>
      <c r="H91" s="107"/>
      <c r="I91" s="107"/>
      <c r="J91" s="107"/>
      <c r="K91" s="107"/>
      <c r="L91" s="107"/>
      <c r="M91" s="107"/>
      <c r="N91" s="107"/>
      <c r="O91" s="107"/>
      <c r="P91" s="107"/>
      <c r="Q91" s="107"/>
      <c r="R91" s="107"/>
      <c r="S91" s="107"/>
    </row>
    <row r="92" spans="2:35" ht="22.9" customHeight="1">
      <c r="C92" s="106"/>
      <c r="D92" s="106"/>
      <c r="E92" s="107"/>
      <c r="F92" s="107"/>
      <c r="G92" s="107"/>
      <c r="H92" s="107"/>
      <c r="I92" s="107"/>
      <c r="J92" s="107"/>
      <c r="K92" s="107"/>
      <c r="L92" s="107"/>
      <c r="M92" s="107"/>
      <c r="N92" s="107"/>
      <c r="O92" s="107"/>
      <c r="P92" s="107"/>
      <c r="Q92" s="107"/>
      <c r="R92" s="107"/>
      <c r="S92" s="107"/>
    </row>
    <row r="93" spans="2:35" ht="22.9" customHeight="1">
      <c r="C93" s="106"/>
      <c r="D93" s="106"/>
      <c r="E93" s="107"/>
      <c r="F93" s="107"/>
      <c r="G93" s="107"/>
      <c r="H93" s="107"/>
      <c r="I93" s="107"/>
      <c r="J93" s="107"/>
      <c r="K93" s="107"/>
      <c r="L93" s="107"/>
      <c r="M93" s="107"/>
      <c r="N93" s="107"/>
      <c r="O93" s="107"/>
      <c r="P93" s="107"/>
      <c r="Q93" s="107"/>
      <c r="R93" s="107"/>
      <c r="S93" s="107"/>
    </row>
    <row r="94" spans="2:35" ht="22.9" customHeight="1">
      <c r="C94" s="106"/>
      <c r="D94" s="106"/>
      <c r="E94" s="107"/>
      <c r="F94" s="107"/>
      <c r="G94" s="107"/>
      <c r="H94" s="107"/>
      <c r="I94" s="107"/>
      <c r="J94" s="107"/>
      <c r="K94" s="107"/>
      <c r="L94" s="107"/>
      <c r="M94" s="107"/>
      <c r="N94" s="107"/>
      <c r="O94" s="107"/>
      <c r="P94" s="107"/>
      <c r="Q94" s="107"/>
      <c r="R94" s="107"/>
      <c r="S94" s="107"/>
    </row>
    <row r="95" spans="2:35" ht="22.9" customHeight="1">
      <c r="E95" s="107"/>
      <c r="F95" s="107"/>
      <c r="G95" s="107"/>
      <c r="H95" s="107"/>
      <c r="I95" s="107"/>
      <c r="J95" s="107"/>
      <c r="K95" s="107"/>
      <c r="L95" s="107"/>
      <c r="M95" s="107"/>
      <c r="N95" s="107"/>
      <c r="O95" s="107"/>
      <c r="P95" s="107"/>
      <c r="Q95" s="107"/>
      <c r="R95" s="107"/>
      <c r="S95" s="107"/>
    </row>
  </sheetData>
  <sheetProtection password="E059" sheet="1" objects="1" scenarios="1" insertRows="0"/>
  <mergeCells count="7">
    <mergeCell ref="S6:S7"/>
    <mergeCell ref="D9:S9"/>
    <mergeCell ref="C12:D12"/>
    <mergeCell ref="C84:D84"/>
    <mergeCell ref="R47:S47"/>
    <mergeCell ref="H42:J42"/>
    <mergeCell ref="H74:J74"/>
  </mergeCells>
  <phoneticPr fontId="22" type="noConversion"/>
  <printOptions horizontalCentered="1" verticalCentered="1"/>
  <pageMargins left="0.35629921259842523" right="0.35629921259842523" top="0.60629921259842523" bottom="0.60629921259842523" header="0.5" footer="0.5"/>
  <pageSetup paperSize="9" scale="29" orientation="portrait" horizontalDpi="4294967292" verticalDpi="4294967292" r:id="rId1"/>
  <drawing r:id="rId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AD35"/>
  <sheetViews>
    <sheetView zoomScale="70" zoomScaleNormal="70" zoomScalePageLayoutView="85" workbookViewId="0">
      <selection activeCell="F33" sqref="F33"/>
    </sheetView>
  </sheetViews>
  <sheetFormatPr baseColWidth="10" defaultColWidth="10.77734375" defaultRowHeight="22.9" customHeight="1"/>
  <cols>
    <col min="1" max="2" width="3.21875" style="99" customWidth="1"/>
    <col min="3" max="3" width="13.5546875" style="99" customWidth="1"/>
    <col min="4" max="4" width="33.44140625" style="99" customWidth="1"/>
    <col min="5" max="14" width="13.44140625" style="100" customWidth="1"/>
    <col min="15" max="15" width="3.21875" style="99" customWidth="1"/>
    <col min="16" max="16384" width="10.77734375" style="99"/>
  </cols>
  <sheetData>
    <row r="2" spans="2:30" ht="22.9" customHeight="1">
      <c r="D2" s="221" t="s">
        <v>379</v>
      </c>
    </row>
    <row r="3" spans="2:30" ht="22.9" customHeight="1">
      <c r="D3" s="221" t="s">
        <v>380</v>
      </c>
    </row>
    <row r="4" spans="2:30" ht="22.9" customHeight="1" thickBot="1"/>
    <row r="5" spans="2:30" ht="9" customHeight="1">
      <c r="B5" s="101"/>
      <c r="C5" s="102"/>
      <c r="D5" s="102"/>
      <c r="E5" s="103"/>
      <c r="F5" s="103"/>
      <c r="G5" s="103"/>
      <c r="H5" s="103"/>
      <c r="I5" s="103"/>
      <c r="J5" s="103"/>
      <c r="K5" s="103"/>
      <c r="L5" s="103"/>
      <c r="M5" s="103"/>
      <c r="N5" s="103"/>
      <c r="O5" s="104"/>
      <c r="Q5" s="451"/>
      <c r="R5" s="452"/>
      <c r="S5" s="452"/>
      <c r="T5" s="452"/>
      <c r="U5" s="452"/>
      <c r="V5" s="452"/>
      <c r="W5" s="452"/>
      <c r="X5" s="452"/>
      <c r="Y5" s="452"/>
      <c r="Z5" s="452"/>
      <c r="AA5" s="452"/>
      <c r="AB5" s="452"/>
      <c r="AC5" s="452"/>
      <c r="AD5" s="453"/>
    </row>
    <row r="6" spans="2:30" ht="30" customHeight="1">
      <c r="B6" s="105"/>
      <c r="C6" s="69" t="s">
        <v>0</v>
      </c>
      <c r="D6" s="106"/>
      <c r="E6" s="107"/>
      <c r="F6" s="107"/>
      <c r="G6" s="107"/>
      <c r="H6" s="107"/>
      <c r="I6" s="107"/>
      <c r="J6" s="107"/>
      <c r="K6" s="107"/>
      <c r="L6" s="107"/>
      <c r="M6" s="107"/>
      <c r="N6" s="1105">
        <f>ejercicio</f>
        <v>2018</v>
      </c>
      <c r="O6" s="108"/>
      <c r="Q6" s="454"/>
      <c r="R6" s="455" t="s">
        <v>707</v>
      </c>
      <c r="S6" s="455"/>
      <c r="T6" s="455"/>
      <c r="U6" s="455"/>
      <c r="V6" s="456"/>
      <c r="W6" s="456"/>
      <c r="X6" s="456"/>
      <c r="Y6" s="456"/>
      <c r="Z6" s="456"/>
      <c r="AA6" s="456"/>
      <c r="AB6" s="456"/>
      <c r="AC6" s="456"/>
      <c r="AD6" s="457"/>
    </row>
    <row r="7" spans="2:30" ht="30" customHeight="1">
      <c r="B7" s="105"/>
      <c r="C7" s="69" t="s">
        <v>1</v>
      </c>
      <c r="D7" s="106"/>
      <c r="E7" s="107"/>
      <c r="F7" s="107"/>
      <c r="G7" s="107"/>
      <c r="H7" s="107"/>
      <c r="I7" s="107"/>
      <c r="J7" s="107"/>
      <c r="K7" s="107"/>
      <c r="L7" s="107"/>
      <c r="M7" s="107"/>
      <c r="N7" s="1105"/>
      <c r="O7" s="108"/>
      <c r="Q7" s="454"/>
      <c r="R7" s="456"/>
      <c r="S7" s="456"/>
      <c r="T7" s="456"/>
      <c r="U7" s="456"/>
      <c r="V7" s="456"/>
      <c r="W7" s="456"/>
      <c r="X7" s="456"/>
      <c r="Y7" s="456"/>
      <c r="Z7" s="456"/>
      <c r="AA7" s="456"/>
      <c r="AB7" s="456"/>
      <c r="AC7" s="456"/>
      <c r="AD7" s="457"/>
    </row>
    <row r="8" spans="2:30" ht="30" customHeight="1">
      <c r="B8" s="105"/>
      <c r="C8" s="109"/>
      <c r="D8" s="106"/>
      <c r="E8" s="107"/>
      <c r="F8" s="107"/>
      <c r="G8" s="107"/>
      <c r="H8" s="107"/>
      <c r="I8" s="107"/>
      <c r="J8" s="107"/>
      <c r="K8" s="107"/>
      <c r="L8" s="107"/>
      <c r="M8" s="107"/>
      <c r="N8" s="110"/>
      <c r="O8" s="108"/>
      <c r="Q8" s="454"/>
      <c r="R8" s="456"/>
      <c r="S8" s="456"/>
      <c r="T8" s="456"/>
      <c r="U8" s="456"/>
      <c r="V8" s="456"/>
      <c r="W8" s="456"/>
      <c r="X8" s="456"/>
      <c r="Y8" s="456"/>
      <c r="Z8" s="456"/>
      <c r="AA8" s="456"/>
      <c r="AB8" s="456"/>
      <c r="AC8" s="456"/>
      <c r="AD8" s="457"/>
    </row>
    <row r="9" spans="2:30" s="194" customFormat="1" ht="30" customHeight="1">
      <c r="B9" s="192"/>
      <c r="C9" s="56" t="s">
        <v>2</v>
      </c>
      <c r="D9" s="1129" t="str">
        <f>Entidad</f>
        <v>METROPOLITANO DE TENERIFE, S.A.</v>
      </c>
      <c r="E9" s="1129"/>
      <c r="F9" s="1129"/>
      <c r="G9" s="1129"/>
      <c r="H9" s="1129"/>
      <c r="I9" s="1129"/>
      <c r="J9" s="1129"/>
      <c r="K9" s="1129"/>
      <c r="L9" s="1129"/>
      <c r="M9" s="1129"/>
      <c r="N9" s="1129"/>
      <c r="O9" s="193"/>
      <c r="Q9" s="454"/>
      <c r="R9" s="456"/>
      <c r="S9" s="456"/>
      <c r="T9" s="456"/>
      <c r="U9" s="456"/>
      <c r="V9" s="456"/>
      <c r="W9" s="456"/>
      <c r="X9" s="456"/>
      <c r="Y9" s="456"/>
      <c r="Z9" s="456"/>
      <c r="AA9" s="456"/>
      <c r="AB9" s="456"/>
      <c r="AC9" s="456"/>
      <c r="AD9" s="457"/>
    </row>
    <row r="10" spans="2:30" ht="7.15" customHeight="1">
      <c r="B10" s="105"/>
      <c r="C10" s="106"/>
      <c r="D10" s="106"/>
      <c r="E10" s="107"/>
      <c r="F10" s="107"/>
      <c r="G10" s="107"/>
      <c r="H10" s="107"/>
      <c r="I10" s="107"/>
      <c r="J10" s="107"/>
      <c r="K10" s="107"/>
      <c r="L10" s="107"/>
      <c r="M10" s="107"/>
      <c r="N10" s="107"/>
      <c r="O10" s="108"/>
      <c r="Q10" s="454"/>
      <c r="R10" s="456"/>
      <c r="S10" s="456"/>
      <c r="T10" s="456"/>
      <c r="U10" s="456"/>
      <c r="V10" s="456"/>
      <c r="W10" s="456"/>
      <c r="X10" s="456"/>
      <c r="Y10" s="456"/>
      <c r="Z10" s="456"/>
      <c r="AA10" s="456"/>
      <c r="AB10" s="456"/>
      <c r="AC10" s="456"/>
      <c r="AD10" s="457"/>
    </row>
    <row r="11" spans="2:30" s="117" customFormat="1" ht="30" customHeight="1">
      <c r="B11" s="113"/>
      <c r="C11" s="114" t="s">
        <v>476</v>
      </c>
      <c r="D11" s="114"/>
      <c r="E11" s="115"/>
      <c r="F11" s="115"/>
      <c r="G11" s="115"/>
      <c r="H11" s="115"/>
      <c r="I11" s="115"/>
      <c r="J11" s="115"/>
      <c r="K11" s="115"/>
      <c r="L11" s="115"/>
      <c r="M11" s="115"/>
      <c r="N11" s="115"/>
      <c r="O11" s="116"/>
      <c r="Q11" s="454"/>
      <c r="R11" s="456"/>
      <c r="S11" s="456"/>
      <c r="T11" s="456"/>
      <c r="U11" s="456"/>
      <c r="V11" s="456"/>
      <c r="W11" s="456"/>
      <c r="X11" s="456"/>
      <c r="Y11" s="456"/>
      <c r="Z11" s="456"/>
      <c r="AA11" s="456"/>
      <c r="AB11" s="456"/>
      <c r="AC11" s="456"/>
      <c r="AD11" s="457"/>
    </row>
    <row r="12" spans="2:30" s="117" customFormat="1" ht="30" customHeight="1">
      <c r="B12" s="113"/>
      <c r="C12" s="1170"/>
      <c r="D12" s="1170"/>
      <c r="E12" s="98"/>
      <c r="F12" s="98"/>
      <c r="G12" s="98"/>
      <c r="H12" s="98"/>
      <c r="I12" s="98"/>
      <c r="J12" s="98"/>
      <c r="K12" s="98"/>
      <c r="L12" s="98"/>
      <c r="M12" s="98"/>
      <c r="N12" s="98"/>
      <c r="O12" s="116"/>
      <c r="Q12" s="454"/>
      <c r="R12" s="456"/>
      <c r="S12" s="456"/>
      <c r="T12" s="456"/>
      <c r="U12" s="456"/>
      <c r="V12" s="456"/>
      <c r="W12" s="456"/>
      <c r="X12" s="456"/>
      <c r="Y12" s="456"/>
      <c r="Z12" s="456"/>
      <c r="AA12" s="456"/>
      <c r="AB12" s="456"/>
      <c r="AC12" s="456"/>
      <c r="AD12" s="457"/>
    </row>
    <row r="13" spans="2:30" s="117" customFormat="1" ht="19.149999999999999" customHeight="1">
      <c r="B13" s="113"/>
      <c r="C13" s="226"/>
      <c r="D13" s="229"/>
      <c r="E13" s="1196" t="s">
        <v>475</v>
      </c>
      <c r="F13" s="1197"/>
      <c r="G13" s="1197"/>
      <c r="H13" s="1197"/>
      <c r="I13" s="1197"/>
      <c r="J13" s="1197"/>
      <c r="K13" s="1197"/>
      <c r="L13" s="1197"/>
      <c r="M13" s="1197"/>
      <c r="N13" s="1198"/>
      <c r="O13" s="116"/>
      <c r="Q13" s="454"/>
      <c r="R13" s="456"/>
      <c r="S13" s="456"/>
      <c r="T13" s="456"/>
      <c r="U13" s="456"/>
      <c r="V13" s="456"/>
      <c r="W13" s="456"/>
      <c r="X13" s="456"/>
      <c r="Y13" s="456"/>
      <c r="Z13" s="456"/>
      <c r="AA13" s="456"/>
      <c r="AB13" s="456"/>
      <c r="AC13" s="456"/>
      <c r="AD13" s="457"/>
    </row>
    <row r="14" spans="2:30" s="194" customFormat="1" ht="19.149999999999999" customHeight="1">
      <c r="B14" s="192"/>
      <c r="C14" s="1199" t="s">
        <v>457</v>
      </c>
      <c r="D14" s="1200"/>
      <c r="E14" s="244">
        <f>ejercicio</f>
        <v>2018</v>
      </c>
      <c r="F14" s="245">
        <f>ejercicio+1</f>
        <v>2019</v>
      </c>
      <c r="G14" s="245">
        <f>ejercicio+2</f>
        <v>2020</v>
      </c>
      <c r="H14" s="245">
        <f>ejercicio+3</f>
        <v>2021</v>
      </c>
      <c r="I14" s="245">
        <f>ejercicio+4</f>
        <v>2022</v>
      </c>
      <c r="J14" s="245">
        <f>ejercicio+5</f>
        <v>2023</v>
      </c>
      <c r="K14" s="245">
        <f>ejercicio+6</f>
        <v>2024</v>
      </c>
      <c r="L14" s="245">
        <f>ejercicio+7</f>
        <v>2025</v>
      </c>
      <c r="M14" s="245">
        <f>ejercicio+8</f>
        <v>2026</v>
      </c>
      <c r="N14" s="246">
        <f>ejercicio+9</f>
        <v>2027</v>
      </c>
      <c r="O14" s="193"/>
      <c r="Q14" s="454"/>
      <c r="R14" s="456"/>
      <c r="S14" s="456"/>
      <c r="T14" s="456"/>
      <c r="U14" s="456"/>
      <c r="V14" s="456"/>
      <c r="W14" s="456"/>
      <c r="X14" s="456"/>
      <c r="Y14" s="456"/>
      <c r="Z14" s="456"/>
      <c r="AA14" s="456"/>
      <c r="AB14" s="456"/>
      <c r="AC14" s="456"/>
      <c r="AD14" s="457"/>
    </row>
    <row r="15" spans="2:30" s="122" customFormat="1" ht="22.9" customHeight="1">
      <c r="B15" s="119"/>
      <c r="C15" s="187" t="s">
        <v>465</v>
      </c>
      <c r="D15" s="188"/>
      <c r="E15" s="502">
        <v>0</v>
      </c>
      <c r="F15" s="503">
        <v>0</v>
      </c>
      <c r="G15" s="503">
        <v>0</v>
      </c>
      <c r="H15" s="503">
        <v>0</v>
      </c>
      <c r="I15" s="503">
        <v>0</v>
      </c>
      <c r="J15" s="503">
        <v>0</v>
      </c>
      <c r="K15" s="503">
        <v>0</v>
      </c>
      <c r="L15" s="503">
        <v>0</v>
      </c>
      <c r="M15" s="503">
        <v>0</v>
      </c>
      <c r="N15" s="503">
        <v>0</v>
      </c>
      <c r="O15" s="120"/>
      <c r="Q15" s="454"/>
      <c r="R15" s="456"/>
      <c r="S15" s="456"/>
      <c r="T15" s="456"/>
      <c r="U15" s="456"/>
      <c r="V15" s="456"/>
      <c r="W15" s="456"/>
      <c r="X15" s="456"/>
      <c r="Y15" s="456"/>
      <c r="Z15" s="456"/>
      <c r="AA15" s="456"/>
      <c r="AB15" s="456"/>
      <c r="AC15" s="456"/>
      <c r="AD15" s="457"/>
    </row>
    <row r="16" spans="2:30" s="122" customFormat="1" ht="22.9" customHeight="1">
      <c r="B16" s="119"/>
      <c r="C16" s="187" t="s">
        <v>466</v>
      </c>
      <c r="D16" s="188"/>
      <c r="E16" s="513">
        <v>2657743.5828108881</v>
      </c>
      <c r="F16" s="514">
        <v>2662598</v>
      </c>
      <c r="G16" s="514">
        <v>3280580.5</v>
      </c>
      <c r="H16" s="514">
        <v>3955862.8</v>
      </c>
      <c r="I16" s="514">
        <v>3329514</v>
      </c>
      <c r="J16" s="514">
        <v>3769915.5</v>
      </c>
      <c r="K16" s="514">
        <v>4505954</v>
      </c>
      <c r="L16" s="514">
        <v>5192041</v>
      </c>
      <c r="M16" s="514">
        <v>5859819.7000000002</v>
      </c>
      <c r="N16" s="598">
        <v>6918572.2000000002</v>
      </c>
      <c r="O16" s="120"/>
      <c r="Q16" s="454"/>
      <c r="R16" s="456"/>
      <c r="S16" s="456"/>
      <c r="T16" s="456"/>
      <c r="U16" s="456"/>
      <c r="V16" s="456"/>
      <c r="W16" s="456"/>
      <c r="X16" s="456"/>
      <c r="Y16" s="456"/>
      <c r="Z16" s="456"/>
      <c r="AA16" s="456"/>
      <c r="AB16" s="456"/>
      <c r="AC16" s="456"/>
      <c r="AD16" s="457"/>
    </row>
    <row r="17" spans="1:30" s="122" customFormat="1" ht="22.9" customHeight="1">
      <c r="B17" s="119"/>
      <c r="C17" s="187" t="s">
        <v>467</v>
      </c>
      <c r="D17" s="188"/>
      <c r="E17" s="513">
        <v>0</v>
      </c>
      <c r="F17" s="514">
        <v>0</v>
      </c>
      <c r="G17" s="514">
        <v>0</v>
      </c>
      <c r="H17" s="514">
        <v>0</v>
      </c>
      <c r="I17" s="514">
        <v>0</v>
      </c>
      <c r="J17" s="514">
        <v>0</v>
      </c>
      <c r="K17" s="514">
        <v>0</v>
      </c>
      <c r="L17" s="514">
        <v>0</v>
      </c>
      <c r="M17" s="514">
        <v>0</v>
      </c>
      <c r="N17" s="514">
        <v>0</v>
      </c>
      <c r="O17" s="120"/>
      <c r="Q17" s="454"/>
      <c r="R17" s="456"/>
      <c r="S17" s="456"/>
      <c r="T17" s="456"/>
      <c r="U17" s="456"/>
      <c r="V17" s="456"/>
      <c r="W17" s="456"/>
      <c r="X17" s="456"/>
      <c r="Y17" s="456"/>
      <c r="Z17" s="456"/>
      <c r="AA17" s="456"/>
      <c r="AB17" s="456"/>
      <c r="AC17" s="456"/>
      <c r="AD17" s="457"/>
    </row>
    <row r="18" spans="1:30" ht="22.9" customHeight="1">
      <c r="B18" s="119"/>
      <c r="C18" s="162" t="s">
        <v>468</v>
      </c>
      <c r="D18" s="163"/>
      <c r="E18" s="506">
        <v>0</v>
      </c>
      <c r="F18" s="507">
        <v>0</v>
      </c>
      <c r="G18" s="507">
        <v>0</v>
      </c>
      <c r="H18" s="507">
        <v>0</v>
      </c>
      <c r="I18" s="507">
        <v>0</v>
      </c>
      <c r="J18" s="507">
        <v>0</v>
      </c>
      <c r="K18" s="507">
        <v>0</v>
      </c>
      <c r="L18" s="507">
        <v>0</v>
      </c>
      <c r="M18" s="507">
        <v>0</v>
      </c>
      <c r="N18" s="507">
        <v>0</v>
      </c>
      <c r="O18" s="108"/>
      <c r="Q18" s="454"/>
      <c r="R18" s="456"/>
      <c r="S18" s="456"/>
      <c r="T18" s="456"/>
      <c r="U18" s="456"/>
      <c r="V18" s="456"/>
      <c r="W18" s="456"/>
      <c r="X18" s="456"/>
      <c r="Y18" s="456"/>
      <c r="Z18" s="456"/>
      <c r="AA18" s="456"/>
      <c r="AB18" s="456"/>
      <c r="AC18" s="456"/>
      <c r="AD18" s="457"/>
    </row>
    <row r="19" spans="1:30" ht="22.9" customHeight="1">
      <c r="B19" s="119"/>
      <c r="C19" s="164" t="s">
        <v>469</v>
      </c>
      <c r="D19" s="165"/>
      <c r="E19" s="510">
        <v>966443.75999999989</v>
      </c>
      <c r="F19" s="511">
        <v>1525280.57</v>
      </c>
      <c r="G19" s="511">
        <v>892811.23</v>
      </c>
      <c r="H19" s="511">
        <v>901130.22</v>
      </c>
      <c r="I19" s="511">
        <v>864361.16999999993</v>
      </c>
      <c r="J19" s="511">
        <v>592717.11</v>
      </c>
      <c r="K19" s="511">
        <v>483975.83999999997</v>
      </c>
      <c r="L19" s="511">
        <v>38153.989999999991</v>
      </c>
      <c r="M19" s="511">
        <v>2945375.51</v>
      </c>
      <c r="N19" s="600">
        <v>0</v>
      </c>
      <c r="O19" s="108"/>
      <c r="Q19" s="454"/>
      <c r="R19" s="456"/>
      <c r="S19" s="456"/>
      <c r="T19" s="456"/>
      <c r="U19" s="456"/>
      <c r="V19" s="456"/>
      <c r="W19" s="456"/>
      <c r="X19" s="456"/>
      <c r="Y19" s="456"/>
      <c r="Z19" s="456"/>
      <c r="AA19" s="456"/>
      <c r="AB19" s="456"/>
      <c r="AC19" s="456"/>
      <c r="AD19" s="457"/>
    </row>
    <row r="20" spans="1:30" s="122" customFormat="1" ht="22.9" customHeight="1" thickBot="1">
      <c r="A20" s="194"/>
      <c r="B20" s="192"/>
      <c r="C20" s="166" t="s">
        <v>477</v>
      </c>
      <c r="D20" s="167"/>
      <c r="E20" s="243">
        <f>SUM(E15:E19)</f>
        <v>3624187.3428108878</v>
      </c>
      <c r="F20" s="234">
        <f t="shared" ref="F20:N20" si="0">SUM(F15:F19)</f>
        <v>4187878.5700000003</v>
      </c>
      <c r="G20" s="234">
        <f t="shared" si="0"/>
        <v>4173391.73</v>
      </c>
      <c r="H20" s="234">
        <f t="shared" si="0"/>
        <v>4856993.0199999996</v>
      </c>
      <c r="I20" s="234">
        <f t="shared" si="0"/>
        <v>4193875.17</v>
      </c>
      <c r="J20" s="234">
        <f t="shared" si="0"/>
        <v>4362632.6100000003</v>
      </c>
      <c r="K20" s="234">
        <f t="shared" si="0"/>
        <v>4989929.84</v>
      </c>
      <c r="L20" s="234">
        <f t="shared" si="0"/>
        <v>5230194.99</v>
      </c>
      <c r="M20" s="234">
        <f t="shared" si="0"/>
        <v>8805195.2100000009</v>
      </c>
      <c r="N20" s="242">
        <f t="shared" si="0"/>
        <v>6918572.2000000002</v>
      </c>
      <c r="O20" s="120"/>
      <c r="Q20" s="454"/>
      <c r="R20" s="456"/>
      <c r="S20" s="456"/>
      <c r="T20" s="456"/>
      <c r="U20" s="456"/>
      <c r="V20" s="456"/>
      <c r="W20" s="456"/>
      <c r="X20" s="456"/>
      <c r="Y20" s="456"/>
      <c r="Z20" s="456"/>
      <c r="AA20" s="456"/>
      <c r="AB20" s="456"/>
      <c r="AC20" s="456"/>
      <c r="AD20" s="457"/>
    </row>
    <row r="21" spans="1:30" ht="22.9" customHeight="1">
      <c r="B21" s="119"/>
      <c r="C21" s="221"/>
      <c r="D21" s="221"/>
      <c r="E21" s="222"/>
      <c r="F21" s="222"/>
      <c r="G21" s="222"/>
      <c r="H21" s="222"/>
      <c r="I21" s="222"/>
      <c r="J21" s="222"/>
      <c r="K21" s="222"/>
      <c r="L21" s="222"/>
      <c r="M21" s="222"/>
      <c r="N21" s="224"/>
      <c r="O21" s="108"/>
      <c r="Q21" s="454"/>
      <c r="R21" s="456"/>
      <c r="S21" s="456"/>
      <c r="T21" s="456"/>
      <c r="U21" s="456"/>
      <c r="V21" s="456"/>
      <c r="W21" s="456"/>
      <c r="X21" s="456"/>
      <c r="Y21" s="456"/>
      <c r="Z21" s="456"/>
      <c r="AA21" s="456"/>
      <c r="AB21" s="456"/>
      <c r="AC21" s="456"/>
      <c r="AD21" s="457"/>
    </row>
    <row r="22" spans="1:30" ht="22.9" customHeight="1">
      <c r="B22" s="119"/>
      <c r="C22" s="175" t="s">
        <v>883</v>
      </c>
      <c r="D22" s="173"/>
      <c r="E22" s="174"/>
      <c r="F22" s="174"/>
      <c r="G22" s="174"/>
      <c r="H22" s="174"/>
      <c r="I22" s="174"/>
      <c r="J22" s="174"/>
      <c r="K22" s="174"/>
      <c r="L22" s="174"/>
      <c r="M22" s="174"/>
      <c r="N22" s="98"/>
      <c r="O22" s="108"/>
      <c r="Q22" s="454"/>
      <c r="R22" s="456"/>
      <c r="S22" s="456"/>
      <c r="T22" s="456"/>
      <c r="U22" s="456"/>
      <c r="V22" s="456"/>
      <c r="W22" s="456"/>
      <c r="X22" s="456"/>
      <c r="Y22" s="456"/>
      <c r="Z22" s="456"/>
      <c r="AA22" s="456"/>
      <c r="AB22" s="456"/>
      <c r="AC22" s="456"/>
      <c r="AD22" s="457"/>
    </row>
    <row r="23" spans="1:30" ht="18">
      <c r="B23" s="119"/>
      <c r="C23" s="237" t="s">
        <v>474</v>
      </c>
      <c r="D23" s="173"/>
      <c r="E23" s="174"/>
      <c r="F23" s="174"/>
      <c r="G23" s="174"/>
      <c r="H23" s="174"/>
      <c r="I23" s="174"/>
      <c r="J23" s="174"/>
      <c r="K23" s="174"/>
      <c r="L23" s="174"/>
      <c r="M23" s="174"/>
      <c r="N23" s="98"/>
      <c r="O23" s="108"/>
      <c r="Q23" s="454"/>
      <c r="R23" s="456"/>
      <c r="S23" s="456"/>
      <c r="T23" s="456"/>
      <c r="U23" s="456"/>
      <c r="V23" s="456"/>
      <c r="W23" s="456"/>
      <c r="X23" s="456"/>
      <c r="Y23" s="456"/>
      <c r="Z23" s="456"/>
      <c r="AA23" s="456"/>
      <c r="AB23" s="456"/>
      <c r="AC23" s="456"/>
      <c r="AD23" s="457"/>
    </row>
    <row r="24" spans="1:30" ht="22.9" customHeight="1" thickBot="1">
      <c r="B24" s="123"/>
      <c r="C24" s="1128"/>
      <c r="D24" s="1128"/>
      <c r="E24" s="57"/>
      <c r="F24" s="57"/>
      <c r="G24" s="57"/>
      <c r="H24" s="57"/>
      <c r="I24" s="57"/>
      <c r="J24" s="57"/>
      <c r="K24" s="57"/>
      <c r="L24" s="57"/>
      <c r="M24" s="57"/>
      <c r="N24" s="124"/>
      <c r="O24" s="125"/>
      <c r="Q24" s="448"/>
      <c r="R24" s="449"/>
      <c r="S24" s="449"/>
      <c r="T24" s="449"/>
      <c r="U24" s="449"/>
      <c r="V24" s="449"/>
      <c r="W24" s="449"/>
      <c r="X24" s="449"/>
      <c r="Y24" s="449"/>
      <c r="Z24" s="449"/>
      <c r="AA24" s="449"/>
      <c r="AB24" s="449"/>
      <c r="AC24" s="449"/>
      <c r="AD24" s="450"/>
    </row>
    <row r="25" spans="1:30" ht="22.9" customHeight="1">
      <c r="C25" s="106"/>
      <c r="D25" s="106"/>
      <c r="E25" s="107"/>
      <c r="F25" s="107"/>
      <c r="G25" s="107"/>
      <c r="H25" s="107"/>
      <c r="I25" s="107"/>
      <c r="J25" s="107"/>
      <c r="K25" s="107"/>
      <c r="L25" s="107"/>
      <c r="M25" s="107"/>
      <c r="N25" s="107"/>
    </row>
    <row r="26" spans="1:30" ht="12.75">
      <c r="C26" s="126" t="s">
        <v>77</v>
      </c>
      <c r="D26" s="106"/>
      <c r="E26" s="107"/>
      <c r="F26" s="107"/>
      <c r="G26" s="107"/>
      <c r="H26" s="107"/>
      <c r="I26" s="107"/>
      <c r="J26" s="107"/>
      <c r="K26" s="107"/>
      <c r="L26" s="107"/>
      <c r="M26" s="107"/>
      <c r="N26" s="97" t="s">
        <v>60</v>
      </c>
    </row>
    <row r="27" spans="1:30" ht="12.75">
      <c r="C27" s="127" t="s">
        <v>78</v>
      </c>
      <c r="D27" s="106"/>
      <c r="E27" s="107"/>
      <c r="F27" s="107"/>
      <c r="G27" s="107"/>
      <c r="H27" s="107"/>
      <c r="I27" s="107"/>
      <c r="J27" s="107"/>
      <c r="K27" s="107"/>
      <c r="L27" s="107"/>
      <c r="M27" s="107"/>
      <c r="N27" s="107"/>
    </row>
    <row r="28" spans="1:30" ht="12.75">
      <c r="C28" s="127" t="s">
        <v>79</v>
      </c>
      <c r="D28" s="106"/>
      <c r="E28" s="107"/>
      <c r="F28" s="107"/>
      <c r="G28" s="107"/>
      <c r="H28" s="107"/>
      <c r="I28" s="107"/>
      <c r="J28" s="107"/>
      <c r="K28" s="107"/>
      <c r="L28" s="107"/>
      <c r="M28" s="107"/>
      <c r="N28" s="107"/>
    </row>
    <row r="29" spans="1:30" ht="12.75">
      <c r="C29" s="127" t="s">
        <v>80</v>
      </c>
      <c r="D29" s="106"/>
      <c r="E29" s="107"/>
      <c r="F29" s="107"/>
      <c r="G29" s="107"/>
      <c r="H29" s="107"/>
      <c r="I29" s="107"/>
      <c r="J29" s="107"/>
      <c r="K29" s="107"/>
      <c r="L29" s="107"/>
      <c r="M29" s="107"/>
      <c r="N29" s="107"/>
    </row>
    <row r="30" spans="1:30" ht="12.75">
      <c r="C30" s="127" t="s">
        <v>81</v>
      </c>
      <c r="D30" s="106"/>
      <c r="E30" s="107"/>
      <c r="F30" s="107"/>
      <c r="G30" s="107"/>
      <c r="H30" s="107"/>
      <c r="I30" s="107"/>
      <c r="J30" s="107"/>
      <c r="K30" s="107"/>
      <c r="L30" s="107"/>
      <c r="M30" s="107"/>
      <c r="N30" s="107"/>
    </row>
    <row r="31" spans="1:30" ht="22.9" customHeight="1">
      <c r="C31" s="106"/>
      <c r="D31" s="106"/>
      <c r="E31" s="107"/>
      <c r="F31" s="107"/>
      <c r="G31" s="107"/>
      <c r="H31" s="107"/>
      <c r="I31" s="107"/>
      <c r="J31" s="107"/>
      <c r="K31" s="107"/>
      <c r="L31" s="107"/>
      <c r="M31" s="107"/>
      <c r="N31" s="107"/>
    </row>
    <row r="32" spans="1:30" ht="22.9" customHeight="1">
      <c r="C32" s="106"/>
      <c r="D32" s="106"/>
      <c r="E32" s="107"/>
      <c r="F32" s="107"/>
      <c r="G32" s="107"/>
      <c r="H32" s="107"/>
      <c r="I32" s="107"/>
      <c r="J32" s="107"/>
      <c r="K32" s="107"/>
      <c r="L32" s="107"/>
      <c r="M32" s="107"/>
      <c r="N32" s="107"/>
    </row>
    <row r="33" spans="3:14" ht="22.9" customHeight="1">
      <c r="C33" s="106"/>
      <c r="D33" s="106"/>
      <c r="E33" s="107"/>
      <c r="F33" s="107"/>
      <c r="G33" s="107"/>
      <c r="H33" s="107"/>
      <c r="I33" s="107"/>
      <c r="J33" s="107"/>
      <c r="K33" s="107"/>
      <c r="L33" s="107"/>
      <c r="M33" s="107"/>
      <c r="N33" s="107"/>
    </row>
    <row r="34" spans="3:14" ht="22.9" customHeight="1">
      <c r="C34" s="106"/>
      <c r="D34" s="106"/>
      <c r="E34" s="107"/>
      <c r="F34" s="107"/>
      <c r="G34" s="107"/>
      <c r="H34" s="107"/>
      <c r="I34" s="107"/>
      <c r="J34" s="107"/>
      <c r="K34" s="107"/>
      <c r="L34" s="107"/>
      <c r="M34" s="107"/>
      <c r="N34" s="107"/>
    </row>
    <row r="35" spans="3:14" ht="22.9" customHeight="1">
      <c r="E35" s="107"/>
      <c r="F35" s="107"/>
      <c r="G35" s="107"/>
      <c r="H35" s="107"/>
      <c r="I35" s="107"/>
      <c r="J35" s="107"/>
      <c r="K35" s="107"/>
      <c r="L35" s="107"/>
      <c r="M35" s="107"/>
      <c r="N35" s="107"/>
    </row>
  </sheetData>
  <sheetProtection password="E059" sheet="1" objects="1" scenarios="1"/>
  <mergeCells count="6">
    <mergeCell ref="C24:D24"/>
    <mergeCell ref="N6:N7"/>
    <mergeCell ref="D9:N9"/>
    <mergeCell ref="C12:D12"/>
    <mergeCell ref="E13:N13"/>
    <mergeCell ref="C14:D14"/>
  </mergeCells>
  <phoneticPr fontId="22" type="noConversion"/>
  <printOptions horizontalCentered="1" verticalCentered="1"/>
  <pageMargins left="0.35629921259842523" right="0.35629921259842523" top="0.60629921259842523" bottom="0.60629921259842523" header="0.5" footer="0.5"/>
  <pageSetup paperSize="9" scale="43" orientation="portrait" horizontalDpi="4294967292" verticalDpi="4294967292" r:id="rId1"/>
  <drawing r:id="rId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Y47"/>
  <sheetViews>
    <sheetView zoomScale="70" zoomScaleNormal="70" zoomScalePageLayoutView="70" workbookViewId="0">
      <selection activeCell="Q35" sqref="Q35"/>
    </sheetView>
  </sheetViews>
  <sheetFormatPr baseColWidth="10" defaultColWidth="10.77734375" defaultRowHeight="22.9" customHeight="1"/>
  <cols>
    <col min="1" max="2" width="3.21875" style="99" customWidth="1"/>
    <col min="3" max="3" width="13.5546875" style="99" customWidth="1"/>
    <col min="4" max="4" width="14.44140625" style="99" customWidth="1"/>
    <col min="5" max="5" width="26.77734375" style="100" customWidth="1"/>
    <col min="6" max="9" width="13.44140625" style="100" customWidth="1"/>
    <col min="10" max="10" width="3.21875" style="99" customWidth="1"/>
    <col min="11" max="16384" width="10.77734375" style="99"/>
  </cols>
  <sheetData>
    <row r="2" spans="2:25" ht="22.9" customHeight="1">
      <c r="D2" s="221" t="s">
        <v>379</v>
      </c>
    </row>
    <row r="3" spans="2:25" ht="22.9" customHeight="1">
      <c r="D3" s="221" t="s">
        <v>380</v>
      </c>
    </row>
    <row r="4" spans="2:25" ht="22.9" customHeight="1" thickBot="1"/>
    <row r="5" spans="2:25" ht="9" customHeight="1">
      <c r="B5" s="101"/>
      <c r="C5" s="102"/>
      <c r="D5" s="102"/>
      <c r="E5" s="103"/>
      <c r="F5" s="103"/>
      <c r="G5" s="103"/>
      <c r="H5" s="103"/>
      <c r="I5" s="103"/>
      <c r="J5" s="104"/>
      <c r="L5" s="426"/>
      <c r="M5" s="427"/>
      <c r="N5" s="427"/>
      <c r="O5" s="427"/>
      <c r="P5" s="427"/>
      <c r="Q5" s="427"/>
      <c r="R5" s="427"/>
      <c r="S5" s="427"/>
      <c r="T5" s="427"/>
      <c r="U5" s="427"/>
      <c r="V5" s="427"/>
      <c r="W5" s="427"/>
      <c r="X5" s="427"/>
      <c r="Y5" s="428"/>
    </row>
    <row r="6" spans="2:25" ht="30" customHeight="1">
      <c r="B6" s="105"/>
      <c r="C6" s="69" t="s">
        <v>0</v>
      </c>
      <c r="D6" s="106"/>
      <c r="E6" s="107"/>
      <c r="F6" s="107"/>
      <c r="G6" s="107"/>
      <c r="H6" s="107"/>
      <c r="I6" s="1105">
        <f>ejercicio</f>
        <v>2018</v>
      </c>
      <c r="J6" s="108"/>
      <c r="L6" s="429"/>
      <c r="M6" s="430" t="s">
        <v>707</v>
      </c>
      <c r="N6" s="431"/>
      <c r="O6" s="431"/>
      <c r="P6" s="431"/>
      <c r="Q6" s="431"/>
      <c r="R6" s="431"/>
      <c r="S6" s="431"/>
      <c r="T6" s="431"/>
      <c r="U6" s="431"/>
      <c r="V6" s="431"/>
      <c r="W6" s="431"/>
      <c r="X6" s="431"/>
      <c r="Y6" s="432"/>
    </row>
    <row r="7" spans="2:25" ht="30" customHeight="1">
      <c r="B7" s="105"/>
      <c r="C7" s="69" t="s">
        <v>1</v>
      </c>
      <c r="D7" s="106"/>
      <c r="E7" s="107"/>
      <c r="F7" s="107"/>
      <c r="G7" s="107"/>
      <c r="H7" s="107"/>
      <c r="I7" s="1105"/>
      <c r="J7" s="108"/>
      <c r="L7" s="429"/>
      <c r="M7" s="431"/>
      <c r="N7" s="431"/>
      <c r="O7" s="431"/>
      <c r="P7" s="431"/>
      <c r="Q7" s="431"/>
      <c r="R7" s="431"/>
      <c r="S7" s="431"/>
      <c r="T7" s="431"/>
      <c r="U7" s="431"/>
      <c r="V7" s="431"/>
      <c r="W7" s="431"/>
      <c r="X7" s="431"/>
      <c r="Y7" s="432"/>
    </row>
    <row r="8" spans="2:25" ht="30" customHeight="1">
      <c r="B8" s="105"/>
      <c r="C8" s="109"/>
      <c r="D8" s="106"/>
      <c r="E8" s="107"/>
      <c r="F8" s="107"/>
      <c r="G8" s="107"/>
      <c r="H8" s="107"/>
      <c r="I8" s="110"/>
      <c r="J8" s="108"/>
      <c r="L8" s="429"/>
      <c r="M8" s="431"/>
      <c r="N8" s="431"/>
      <c r="O8" s="431"/>
      <c r="P8" s="431"/>
      <c r="Q8" s="431"/>
      <c r="R8" s="431"/>
      <c r="S8" s="431"/>
      <c r="T8" s="431"/>
      <c r="U8" s="431"/>
      <c r="V8" s="431"/>
      <c r="W8" s="431"/>
      <c r="X8" s="431"/>
      <c r="Y8" s="432"/>
    </row>
    <row r="9" spans="2:25" s="194" customFormat="1" ht="30" customHeight="1">
      <c r="B9" s="192"/>
      <c r="C9" s="56" t="s">
        <v>2</v>
      </c>
      <c r="D9" s="1129" t="str">
        <f>Entidad</f>
        <v>METROPOLITANO DE TENERIFE, S.A.</v>
      </c>
      <c r="E9" s="1129"/>
      <c r="F9" s="1129"/>
      <c r="G9" s="1129"/>
      <c r="H9" s="1129"/>
      <c r="I9" s="1129"/>
      <c r="J9" s="193"/>
      <c r="L9" s="429"/>
      <c r="M9" s="431"/>
      <c r="N9" s="431"/>
      <c r="O9" s="431"/>
      <c r="P9" s="431"/>
      <c r="Q9" s="431"/>
      <c r="R9" s="431"/>
      <c r="S9" s="431"/>
      <c r="T9" s="431"/>
      <c r="U9" s="431"/>
      <c r="V9" s="431"/>
      <c r="W9" s="431"/>
      <c r="X9" s="431"/>
      <c r="Y9" s="432"/>
    </row>
    <row r="10" spans="2:25" ht="7.15" customHeight="1">
      <c r="B10" s="105"/>
      <c r="C10" s="106"/>
      <c r="D10" s="106"/>
      <c r="E10" s="107"/>
      <c r="F10" s="107"/>
      <c r="G10" s="107"/>
      <c r="H10" s="107"/>
      <c r="I10" s="107"/>
      <c r="J10" s="108"/>
      <c r="L10" s="429"/>
      <c r="M10" s="431"/>
      <c r="N10" s="431"/>
      <c r="O10" s="431"/>
      <c r="P10" s="431"/>
      <c r="Q10" s="431"/>
      <c r="R10" s="431"/>
      <c r="S10" s="431"/>
      <c r="T10" s="431"/>
      <c r="U10" s="431"/>
      <c r="V10" s="431"/>
      <c r="W10" s="431"/>
      <c r="X10" s="431"/>
      <c r="Y10" s="432"/>
    </row>
    <row r="11" spans="2:25" s="117" customFormat="1" ht="30" customHeight="1">
      <c r="B11" s="113"/>
      <c r="C11" s="114" t="s">
        <v>456</v>
      </c>
      <c r="D11" s="114"/>
      <c r="E11" s="115"/>
      <c r="F11" s="115"/>
      <c r="G11" s="115"/>
      <c r="H11" s="115"/>
      <c r="I11" s="115"/>
      <c r="J11" s="116"/>
      <c r="L11" s="429"/>
      <c r="M11" s="431"/>
      <c r="N11" s="431"/>
      <c r="O11" s="431"/>
      <c r="P11" s="431"/>
      <c r="Q11" s="431"/>
      <c r="R11" s="431"/>
      <c r="S11" s="431"/>
      <c r="T11" s="431"/>
      <c r="U11" s="431"/>
      <c r="V11" s="431"/>
      <c r="W11" s="431"/>
      <c r="X11" s="431"/>
      <c r="Y11" s="432"/>
    </row>
    <row r="12" spans="2:25" s="117" customFormat="1" ht="30" customHeight="1">
      <c r="B12" s="113"/>
      <c r="C12" s="1170"/>
      <c r="D12" s="1170"/>
      <c r="E12" s="98"/>
      <c r="F12" s="98"/>
      <c r="G12" s="98"/>
      <c r="H12" s="98"/>
      <c r="I12" s="98"/>
      <c r="J12" s="116"/>
      <c r="L12" s="429"/>
      <c r="M12" s="431"/>
      <c r="N12" s="431"/>
      <c r="O12" s="431"/>
      <c r="P12" s="431"/>
      <c r="Q12" s="431"/>
      <c r="R12" s="431"/>
      <c r="S12" s="431"/>
      <c r="T12" s="431"/>
      <c r="U12" s="431"/>
      <c r="V12" s="431"/>
      <c r="W12" s="431"/>
      <c r="X12" s="431"/>
      <c r="Y12" s="432"/>
    </row>
    <row r="13" spans="2:25" s="117" customFormat="1" ht="16.149999999999999" customHeight="1">
      <c r="B13" s="113"/>
      <c r="C13" s="226"/>
      <c r="D13" s="229"/>
      <c r="E13" s="230"/>
      <c r="F13" s="227" t="s">
        <v>458</v>
      </c>
      <c r="G13" s="1201" t="s">
        <v>463</v>
      </c>
      <c r="H13" s="1202"/>
      <c r="I13" s="1203"/>
      <c r="J13" s="116"/>
      <c r="L13" s="429"/>
      <c r="M13" s="431"/>
      <c r="N13" s="431"/>
      <c r="O13" s="431"/>
      <c r="P13" s="431"/>
      <c r="Q13" s="431"/>
      <c r="R13" s="431"/>
      <c r="S13" s="431"/>
      <c r="T13" s="431"/>
      <c r="U13" s="431"/>
      <c r="V13" s="431"/>
      <c r="W13" s="431"/>
      <c r="X13" s="431"/>
      <c r="Y13" s="432"/>
    </row>
    <row r="14" spans="2:25" s="117" customFormat="1" ht="16.149999999999999" customHeight="1">
      <c r="B14" s="113"/>
      <c r="C14" s="228"/>
      <c r="D14" s="231"/>
      <c r="E14" s="232"/>
      <c r="F14" s="210" t="s">
        <v>459</v>
      </c>
      <c r="G14" s="227" t="s">
        <v>460</v>
      </c>
      <c r="H14" s="227" t="s">
        <v>461</v>
      </c>
      <c r="I14" s="227" t="s">
        <v>462</v>
      </c>
      <c r="J14" s="116"/>
      <c r="L14" s="429"/>
      <c r="M14" s="431"/>
      <c r="N14" s="431"/>
      <c r="O14" s="431"/>
      <c r="P14" s="431"/>
      <c r="Q14" s="431"/>
      <c r="R14" s="431"/>
      <c r="S14" s="431"/>
      <c r="T14" s="431"/>
      <c r="U14" s="431"/>
      <c r="V14" s="431"/>
      <c r="W14" s="431"/>
      <c r="X14" s="431"/>
      <c r="Y14" s="432"/>
    </row>
    <row r="15" spans="2:25" s="194" customFormat="1" ht="16.149999999999999" customHeight="1">
      <c r="B15" s="192"/>
      <c r="C15" s="1199" t="s">
        <v>457</v>
      </c>
      <c r="D15" s="1200"/>
      <c r="E15" s="1204"/>
      <c r="F15" s="205">
        <f>ejercicio</f>
        <v>2018</v>
      </c>
      <c r="G15" s="205">
        <f>ejercicio+1</f>
        <v>2019</v>
      </c>
      <c r="H15" s="205">
        <f>ejercicio+1</f>
        <v>2019</v>
      </c>
      <c r="I15" s="205">
        <f>ejercicio+1</f>
        <v>2019</v>
      </c>
      <c r="J15" s="193"/>
      <c r="L15" s="429"/>
      <c r="M15" s="431"/>
      <c r="N15" s="431"/>
      <c r="O15" s="431"/>
      <c r="P15" s="431"/>
      <c r="Q15" s="431"/>
      <c r="R15" s="431"/>
      <c r="S15" s="431"/>
      <c r="T15" s="431"/>
      <c r="U15" s="431"/>
      <c r="V15" s="431"/>
      <c r="W15" s="431"/>
      <c r="X15" s="431"/>
      <c r="Y15" s="432"/>
    </row>
    <row r="16" spans="2:25" s="194" customFormat="1" ht="7.9" customHeight="1">
      <c r="B16" s="192"/>
      <c r="C16" s="69"/>
      <c r="D16" s="69"/>
      <c r="E16" s="191"/>
      <c r="F16" s="191"/>
      <c r="G16" s="191"/>
      <c r="H16" s="191"/>
      <c r="I16" s="191"/>
      <c r="J16" s="193"/>
      <c r="L16" s="429"/>
      <c r="M16" s="431"/>
      <c r="N16" s="431"/>
      <c r="O16" s="431"/>
      <c r="P16" s="431"/>
      <c r="Q16" s="431"/>
      <c r="R16" s="431"/>
      <c r="S16" s="431"/>
      <c r="T16" s="431"/>
      <c r="U16" s="431"/>
      <c r="V16" s="431"/>
      <c r="W16" s="431"/>
      <c r="X16" s="431"/>
      <c r="Y16" s="432"/>
    </row>
    <row r="17" spans="1:25" s="122" customFormat="1" ht="22.9" customHeight="1" thickBot="1">
      <c r="A17" s="194"/>
      <c r="B17" s="192"/>
      <c r="C17" s="166" t="s">
        <v>464</v>
      </c>
      <c r="D17" s="167"/>
      <c r="E17" s="235"/>
      <c r="F17" s="549">
        <f>+'FC-10_DEUDAS'!Q42</f>
        <v>18152.999999994412</v>
      </c>
      <c r="G17" s="550">
        <f>+F17</f>
        <v>18152.999999994412</v>
      </c>
      <c r="H17" s="551"/>
      <c r="I17" s="597"/>
      <c r="J17" s="120"/>
      <c r="L17" s="429"/>
      <c r="M17" s="431"/>
      <c r="N17" s="431"/>
      <c r="O17" s="431"/>
      <c r="P17" s="431"/>
      <c r="Q17" s="431"/>
      <c r="R17" s="431"/>
      <c r="S17" s="431"/>
      <c r="T17" s="431"/>
      <c r="U17" s="431"/>
      <c r="V17" s="431"/>
      <c r="W17" s="431"/>
      <c r="X17" s="431"/>
      <c r="Y17" s="432"/>
    </row>
    <row r="18" spans="1:25" s="122" customFormat="1" ht="9" customHeight="1">
      <c r="A18" s="194"/>
      <c r="B18" s="192"/>
      <c r="C18" s="32"/>
      <c r="D18" s="32"/>
      <c r="E18" s="32"/>
      <c r="F18" s="238"/>
      <c r="G18" s="239"/>
      <c r="H18" s="240"/>
      <c r="I18" s="241"/>
      <c r="J18" s="120"/>
      <c r="L18" s="429"/>
      <c r="M18" s="431"/>
      <c r="N18" s="431"/>
      <c r="O18" s="431"/>
      <c r="P18" s="431"/>
      <c r="Q18" s="431"/>
      <c r="R18" s="431"/>
      <c r="S18" s="431"/>
      <c r="T18" s="431"/>
      <c r="U18" s="431"/>
      <c r="V18" s="431"/>
      <c r="W18" s="431"/>
      <c r="X18" s="431"/>
      <c r="Y18" s="432"/>
    </row>
    <row r="19" spans="1:25" s="122" customFormat="1" ht="22.9" customHeight="1" thickBot="1">
      <c r="A19" s="194"/>
      <c r="B19" s="192"/>
      <c r="C19" s="166" t="s">
        <v>290</v>
      </c>
      <c r="D19" s="167"/>
      <c r="E19" s="235"/>
      <c r="F19" s="179">
        <f>SUM(F20:F24)</f>
        <v>108278408.08</v>
      </c>
      <c r="G19" s="233">
        <f t="shared" ref="G19:I19" si="0">SUM(G20:G24)</f>
        <v>73452.040000000008</v>
      </c>
      <c r="H19" s="234">
        <f t="shared" si="0"/>
        <v>73026.63</v>
      </c>
      <c r="I19" s="242">
        <f t="shared" si="0"/>
        <v>73078.429999999993</v>
      </c>
      <c r="J19" s="120"/>
      <c r="L19" s="429"/>
      <c r="M19" s="431"/>
      <c r="N19" s="431"/>
      <c r="O19" s="431"/>
      <c r="P19" s="431"/>
      <c r="Q19" s="431"/>
      <c r="R19" s="431"/>
      <c r="S19" s="431"/>
      <c r="T19" s="431"/>
      <c r="U19" s="431"/>
      <c r="V19" s="431"/>
      <c r="W19" s="431"/>
      <c r="X19" s="431"/>
      <c r="Y19" s="432"/>
    </row>
    <row r="20" spans="1:25" s="122" customFormat="1" ht="22.9" customHeight="1">
      <c r="B20" s="119"/>
      <c r="C20" s="187" t="s">
        <v>465</v>
      </c>
      <c r="D20" s="188"/>
      <c r="E20" s="190"/>
      <c r="F20" s="535"/>
      <c r="G20" s="552"/>
      <c r="H20" s="514"/>
      <c r="I20" s="598"/>
      <c r="J20" s="120"/>
      <c r="L20" s="429"/>
      <c r="M20" s="431"/>
      <c r="N20" s="431"/>
      <c r="O20" s="431"/>
      <c r="P20" s="431"/>
      <c r="Q20" s="431"/>
      <c r="R20" s="431"/>
      <c r="S20" s="431"/>
      <c r="T20" s="431"/>
      <c r="U20" s="431"/>
      <c r="V20" s="431"/>
      <c r="W20" s="431"/>
      <c r="X20" s="431"/>
      <c r="Y20" s="432"/>
    </row>
    <row r="21" spans="1:25" s="122" customFormat="1" ht="22.9" customHeight="1">
      <c r="B21" s="119"/>
      <c r="C21" s="187" t="s">
        <v>466</v>
      </c>
      <c r="D21" s="188"/>
      <c r="E21" s="190"/>
      <c r="F21" s="535">
        <f>+'FC-10_DEUDAS'!Q49+'FC-10_DEUDAS'!Q50+'FC-10_DEUDAS'!Q54</f>
        <v>103620353.09999999</v>
      </c>
      <c r="G21" s="552">
        <v>0</v>
      </c>
      <c r="H21" s="514">
        <v>0</v>
      </c>
      <c r="I21" s="598">
        <v>0</v>
      </c>
      <c r="J21" s="120"/>
      <c r="L21" s="429"/>
      <c r="M21" s="431"/>
      <c r="N21" s="431"/>
      <c r="O21" s="431"/>
      <c r="P21" s="431"/>
      <c r="Q21" s="431"/>
      <c r="R21" s="431"/>
      <c r="S21" s="431"/>
      <c r="T21" s="431"/>
      <c r="U21" s="431"/>
      <c r="V21" s="431"/>
      <c r="W21" s="431"/>
      <c r="X21" s="431"/>
      <c r="Y21" s="432"/>
    </row>
    <row r="22" spans="1:25" s="122" customFormat="1" ht="22.9" customHeight="1">
      <c r="B22" s="119"/>
      <c r="C22" s="187" t="s">
        <v>467</v>
      </c>
      <c r="D22" s="188"/>
      <c r="E22" s="190"/>
      <c r="F22" s="535"/>
      <c r="G22" s="552"/>
      <c r="H22" s="514"/>
      <c r="I22" s="598"/>
      <c r="J22" s="120"/>
      <c r="L22" s="429"/>
      <c r="M22" s="431"/>
      <c r="N22" s="431"/>
      <c r="O22" s="431"/>
      <c r="P22" s="431"/>
      <c r="Q22" s="431"/>
      <c r="R22" s="431"/>
      <c r="S22" s="431"/>
      <c r="T22" s="431"/>
      <c r="U22" s="431"/>
      <c r="V22" s="431"/>
      <c r="W22" s="431"/>
      <c r="X22" s="431"/>
      <c r="Y22" s="432"/>
    </row>
    <row r="23" spans="1:25" ht="22.9" customHeight="1">
      <c r="B23" s="119"/>
      <c r="C23" s="162" t="s">
        <v>468</v>
      </c>
      <c r="D23" s="163"/>
      <c r="E23" s="182"/>
      <c r="F23" s="536"/>
      <c r="G23" s="553"/>
      <c r="H23" s="507"/>
      <c r="I23" s="599"/>
      <c r="J23" s="108"/>
      <c r="L23" s="429"/>
      <c r="M23" s="431"/>
      <c r="N23" s="431"/>
      <c r="O23" s="431"/>
      <c r="P23" s="431"/>
      <c r="Q23" s="431"/>
      <c r="R23" s="431"/>
      <c r="S23" s="431"/>
      <c r="T23" s="431"/>
      <c r="U23" s="431"/>
      <c r="V23" s="431"/>
      <c r="W23" s="431"/>
      <c r="X23" s="431"/>
      <c r="Y23" s="432"/>
    </row>
    <row r="24" spans="1:25" ht="22.9" customHeight="1">
      <c r="B24" s="119"/>
      <c r="C24" s="164" t="s">
        <v>469</v>
      </c>
      <c r="D24" s="165"/>
      <c r="E24" s="183"/>
      <c r="F24" s="538">
        <f>+'FC-10_DEUDAS'!Q55+'FC-10_DEUDAS'!Q56+'FC-10_DEUDAS'!Q57</f>
        <v>4658054.9799999995</v>
      </c>
      <c r="G24" s="554">
        <f>9010.11+24110.61+40331.32</f>
        <v>73452.040000000008</v>
      </c>
      <c r="H24" s="511">
        <f>9022.44+23672.87+40331.32</f>
        <v>73026.63</v>
      </c>
      <c r="I24" s="600">
        <f>9034.79+23712.32+40331.32</f>
        <v>73078.429999999993</v>
      </c>
      <c r="J24" s="108"/>
      <c r="L24" s="429"/>
      <c r="M24" s="431"/>
      <c r="N24" s="431"/>
      <c r="O24" s="431"/>
      <c r="P24" s="431"/>
      <c r="Q24" s="431"/>
      <c r="R24" s="431"/>
      <c r="S24" s="431"/>
      <c r="T24" s="431"/>
      <c r="U24" s="431"/>
      <c r="V24" s="431"/>
      <c r="W24" s="431"/>
      <c r="X24" s="431"/>
      <c r="Y24" s="432"/>
    </row>
    <row r="25" spans="1:25" ht="7.9" customHeight="1">
      <c r="B25" s="105"/>
      <c r="C25" s="1180"/>
      <c r="D25" s="1180"/>
      <c r="E25" s="1180"/>
      <c r="F25" s="1180"/>
      <c r="G25" s="1180"/>
      <c r="H25" s="1180"/>
      <c r="I25" s="1180"/>
      <c r="J25" s="108"/>
      <c r="L25" s="429"/>
      <c r="M25" s="431"/>
      <c r="N25" s="431"/>
      <c r="O25" s="431"/>
      <c r="P25" s="431"/>
      <c r="Q25" s="431"/>
      <c r="R25" s="431"/>
      <c r="S25" s="431"/>
      <c r="T25" s="431"/>
      <c r="U25" s="431"/>
      <c r="V25" s="431"/>
      <c r="W25" s="431"/>
      <c r="X25" s="431"/>
      <c r="Y25" s="432"/>
    </row>
    <row r="26" spans="1:25" s="122" customFormat="1" ht="22.9" customHeight="1" thickBot="1">
      <c r="A26" s="194"/>
      <c r="B26" s="192"/>
      <c r="C26" s="166" t="s">
        <v>470</v>
      </c>
      <c r="D26" s="167"/>
      <c r="E26" s="235"/>
      <c r="F26" s="179">
        <f>+SUM(F27:F28)</f>
        <v>0</v>
      </c>
      <c r="G26" s="233">
        <f>SUM(G27:G28)</f>
        <v>0</v>
      </c>
      <c r="H26" s="234">
        <f>SUM(H27:H28)</f>
        <v>0</v>
      </c>
      <c r="I26" s="242">
        <f>SUM(I27:I28)</f>
        <v>0</v>
      </c>
      <c r="J26" s="120"/>
      <c r="L26" s="429"/>
      <c r="M26" s="431"/>
      <c r="N26" s="431"/>
      <c r="O26" s="431"/>
      <c r="P26" s="431"/>
      <c r="Q26" s="431"/>
      <c r="R26" s="431"/>
      <c r="S26" s="431"/>
      <c r="T26" s="431"/>
      <c r="U26" s="431"/>
      <c r="V26" s="431"/>
      <c r="W26" s="431"/>
      <c r="X26" s="431"/>
      <c r="Y26" s="432"/>
    </row>
    <row r="27" spans="1:25" s="122" customFormat="1" ht="22.9" customHeight="1">
      <c r="B27" s="119"/>
      <c r="C27" s="187" t="s">
        <v>471</v>
      </c>
      <c r="D27" s="188"/>
      <c r="E27" s="190"/>
      <c r="F27" s="535"/>
      <c r="G27" s="601"/>
      <c r="H27" s="602"/>
      <c r="I27" s="598"/>
      <c r="J27" s="120"/>
      <c r="L27" s="429"/>
      <c r="M27" s="431"/>
      <c r="N27" s="431"/>
      <c r="O27" s="431"/>
      <c r="P27" s="431"/>
      <c r="Q27" s="431"/>
      <c r="R27" s="431"/>
      <c r="S27" s="431"/>
      <c r="T27" s="431"/>
      <c r="U27" s="431"/>
      <c r="V27" s="431"/>
      <c r="W27" s="431"/>
      <c r="X27" s="431"/>
      <c r="Y27" s="432"/>
    </row>
    <row r="28" spans="1:25" ht="22.9" customHeight="1">
      <c r="B28" s="119"/>
      <c r="C28" s="164" t="s">
        <v>472</v>
      </c>
      <c r="D28" s="165"/>
      <c r="E28" s="183"/>
      <c r="F28" s="538"/>
      <c r="G28" s="603"/>
      <c r="H28" s="604"/>
      <c r="I28" s="605"/>
      <c r="J28" s="108"/>
      <c r="L28" s="429"/>
      <c r="M28" s="431"/>
      <c r="N28" s="431"/>
      <c r="O28" s="431"/>
      <c r="P28" s="431"/>
      <c r="Q28" s="431"/>
      <c r="R28" s="431"/>
      <c r="S28" s="431"/>
      <c r="T28" s="431"/>
      <c r="U28" s="431"/>
      <c r="V28" s="431"/>
      <c r="W28" s="431"/>
      <c r="X28" s="431"/>
      <c r="Y28" s="432"/>
    </row>
    <row r="29" spans="1:25" ht="7.9" customHeight="1">
      <c r="B29" s="105"/>
      <c r="C29" s="1180"/>
      <c r="D29" s="1180"/>
      <c r="E29" s="1180"/>
      <c r="F29" s="1180"/>
      <c r="G29" s="1180"/>
      <c r="H29" s="1180"/>
      <c r="I29" s="1180"/>
      <c r="J29" s="108"/>
      <c r="L29" s="429"/>
      <c r="M29" s="431"/>
      <c r="N29" s="431"/>
      <c r="O29" s="431"/>
      <c r="P29" s="431"/>
      <c r="Q29" s="431"/>
      <c r="R29" s="431"/>
      <c r="S29" s="431"/>
      <c r="T29" s="431"/>
      <c r="U29" s="431"/>
      <c r="V29" s="431"/>
      <c r="W29" s="431"/>
      <c r="X29" s="431"/>
      <c r="Y29" s="432"/>
    </row>
    <row r="30" spans="1:25" ht="22.9" customHeight="1" thickBot="1">
      <c r="B30" s="119"/>
      <c r="C30" s="166" t="s">
        <v>473</v>
      </c>
      <c r="D30" s="167"/>
      <c r="E30" s="235"/>
      <c r="F30" s="179">
        <f>SUM(F31:F32)</f>
        <v>0</v>
      </c>
      <c r="G30" s="233">
        <f>SUM(G31:G32)</f>
        <v>0</v>
      </c>
      <c r="H30" s="234">
        <f>SUM(H31:H32)</f>
        <v>0</v>
      </c>
      <c r="I30" s="242">
        <f>SUM(I31:I32)</f>
        <v>0</v>
      </c>
      <c r="J30" s="108"/>
      <c r="L30" s="429"/>
      <c r="M30" s="431"/>
      <c r="N30" s="431"/>
      <c r="O30" s="431"/>
      <c r="P30" s="431"/>
      <c r="Q30" s="431"/>
      <c r="R30" s="431"/>
      <c r="S30" s="431"/>
      <c r="T30" s="431"/>
      <c r="U30" s="431"/>
      <c r="V30" s="431"/>
      <c r="W30" s="431"/>
      <c r="X30" s="431"/>
      <c r="Y30" s="432"/>
    </row>
    <row r="31" spans="1:25" ht="22.9" customHeight="1">
      <c r="B31" s="119"/>
      <c r="C31" s="187" t="s">
        <v>471</v>
      </c>
      <c r="D31" s="188"/>
      <c r="E31" s="190"/>
      <c r="F31" s="535"/>
      <c r="G31" s="606"/>
      <c r="H31" s="607"/>
      <c r="I31" s="608"/>
      <c r="J31" s="108"/>
      <c r="L31" s="429"/>
      <c r="M31" s="431"/>
      <c r="N31" s="431"/>
      <c r="O31" s="431"/>
      <c r="P31" s="431"/>
      <c r="Q31" s="431"/>
      <c r="R31" s="431"/>
      <c r="S31" s="431"/>
      <c r="T31" s="431"/>
      <c r="U31" s="431"/>
      <c r="V31" s="431"/>
      <c r="W31" s="431"/>
      <c r="X31" s="431"/>
      <c r="Y31" s="432"/>
    </row>
    <row r="32" spans="1:25" ht="22.9" customHeight="1">
      <c r="B32" s="119"/>
      <c r="C32" s="164" t="s">
        <v>472</v>
      </c>
      <c r="D32" s="165"/>
      <c r="E32" s="183"/>
      <c r="F32" s="538"/>
      <c r="G32" s="603"/>
      <c r="H32" s="604"/>
      <c r="I32" s="605"/>
      <c r="J32" s="108"/>
      <c r="L32" s="429"/>
      <c r="M32" s="431"/>
      <c r="N32" s="431"/>
      <c r="O32" s="431"/>
      <c r="P32" s="431"/>
      <c r="Q32" s="431"/>
      <c r="R32" s="431"/>
      <c r="S32" s="431"/>
      <c r="T32" s="431"/>
      <c r="U32" s="431"/>
      <c r="V32" s="431"/>
      <c r="W32" s="431"/>
      <c r="X32" s="431"/>
      <c r="Y32" s="432"/>
    </row>
    <row r="33" spans="2:25" ht="22.9" customHeight="1">
      <c r="B33" s="119"/>
      <c r="C33" s="221"/>
      <c r="D33" s="221"/>
      <c r="E33" s="222"/>
      <c r="F33" s="223"/>
      <c r="G33" s="222"/>
      <c r="H33" s="222"/>
      <c r="I33" s="224"/>
      <c r="J33" s="108"/>
      <c r="L33" s="429"/>
      <c r="M33" s="431"/>
      <c r="N33" s="431"/>
      <c r="O33" s="431"/>
      <c r="P33" s="431"/>
      <c r="Q33" s="431"/>
      <c r="R33" s="431"/>
      <c r="S33" s="431"/>
      <c r="T33" s="431"/>
      <c r="U33" s="431"/>
      <c r="V33" s="431"/>
      <c r="W33" s="431"/>
      <c r="X33" s="431"/>
      <c r="Y33" s="432"/>
    </row>
    <row r="34" spans="2:25" ht="22.9" customHeight="1">
      <c r="B34" s="119"/>
      <c r="C34" s="175" t="s">
        <v>416</v>
      </c>
      <c r="D34" s="173"/>
      <c r="E34" s="174"/>
      <c r="F34" s="174"/>
      <c r="G34" s="174"/>
      <c r="H34" s="174"/>
      <c r="I34" s="98"/>
      <c r="J34" s="108"/>
      <c r="L34" s="429"/>
      <c r="M34" s="431"/>
      <c r="N34" s="431"/>
      <c r="O34" s="431"/>
      <c r="P34" s="431"/>
      <c r="Q34" s="431"/>
      <c r="R34" s="431"/>
      <c r="S34" s="431"/>
      <c r="T34" s="431"/>
      <c r="U34" s="431"/>
      <c r="V34" s="431"/>
      <c r="W34" s="431"/>
      <c r="X34" s="431"/>
      <c r="Y34" s="432"/>
    </row>
    <row r="35" spans="2:25" ht="18">
      <c r="B35" s="119"/>
      <c r="C35" s="237" t="s">
        <v>474</v>
      </c>
      <c r="D35" s="173"/>
      <c r="E35" s="174"/>
      <c r="F35" s="174"/>
      <c r="G35" s="174"/>
      <c r="H35" s="174"/>
      <c r="I35" s="98"/>
      <c r="J35" s="108"/>
      <c r="L35" s="429"/>
      <c r="M35" s="431"/>
      <c r="N35" s="431"/>
      <c r="O35" s="431"/>
      <c r="P35" s="431"/>
      <c r="Q35" s="431"/>
      <c r="R35" s="431"/>
      <c r="S35" s="431"/>
      <c r="T35" s="431"/>
      <c r="U35" s="431"/>
      <c r="V35" s="431"/>
      <c r="W35" s="431"/>
      <c r="X35" s="431"/>
      <c r="Y35" s="432"/>
    </row>
    <row r="36" spans="2:25" ht="22.9" customHeight="1" thickBot="1">
      <c r="B36" s="123"/>
      <c r="C36" s="1128"/>
      <c r="D36" s="1128"/>
      <c r="E36" s="1128"/>
      <c r="F36" s="1128"/>
      <c r="G36" s="57"/>
      <c r="H36" s="57"/>
      <c r="I36" s="124"/>
      <c r="J36" s="125"/>
      <c r="L36" s="445"/>
      <c r="M36" s="446"/>
      <c r="N36" s="446"/>
      <c r="O36" s="446"/>
      <c r="P36" s="446"/>
      <c r="Q36" s="446"/>
      <c r="R36" s="446"/>
      <c r="S36" s="446"/>
      <c r="T36" s="446"/>
      <c r="U36" s="446"/>
      <c r="V36" s="446"/>
      <c r="W36" s="446"/>
      <c r="X36" s="446"/>
      <c r="Y36" s="447"/>
    </row>
    <row r="37" spans="2:25" ht="22.9" customHeight="1">
      <c r="C37" s="106"/>
      <c r="D37" s="106"/>
      <c r="E37" s="107"/>
      <c r="F37" s="107"/>
      <c r="G37" s="107"/>
      <c r="H37" s="107"/>
      <c r="I37" s="107"/>
    </row>
    <row r="38" spans="2:25" ht="12.75">
      <c r="C38" s="126" t="s">
        <v>77</v>
      </c>
      <c r="D38" s="106"/>
      <c r="E38" s="107"/>
      <c r="F38" s="107"/>
      <c r="G38" s="107"/>
      <c r="H38" s="107"/>
      <c r="I38" s="97" t="s">
        <v>58</v>
      </c>
    </row>
    <row r="39" spans="2:25" ht="12.75">
      <c r="C39" s="127" t="s">
        <v>78</v>
      </c>
      <c r="D39" s="106"/>
      <c r="E39" s="107"/>
      <c r="F39" s="107"/>
      <c r="G39" s="107"/>
      <c r="H39" s="107"/>
      <c r="I39" s="107"/>
    </row>
    <row r="40" spans="2:25" ht="12.75">
      <c r="C40" s="127" t="s">
        <v>79</v>
      </c>
      <c r="D40" s="106"/>
      <c r="E40" s="107"/>
      <c r="F40" s="107"/>
      <c r="G40" s="107"/>
      <c r="H40" s="107"/>
      <c r="I40" s="107"/>
    </row>
    <row r="41" spans="2:25" ht="12.75">
      <c r="C41" s="127" t="s">
        <v>80</v>
      </c>
      <c r="D41" s="106"/>
      <c r="E41" s="107"/>
      <c r="F41" s="107"/>
      <c r="G41" s="107"/>
      <c r="H41" s="107"/>
      <c r="I41" s="107"/>
    </row>
    <row r="42" spans="2:25" ht="12.75">
      <c r="C42" s="127" t="s">
        <v>81</v>
      </c>
      <c r="D42" s="106"/>
      <c r="E42" s="107"/>
      <c r="F42" s="107"/>
      <c r="G42" s="107"/>
      <c r="H42" s="107"/>
      <c r="I42" s="107"/>
    </row>
    <row r="43" spans="2:25" ht="22.9" customHeight="1">
      <c r="C43" s="106"/>
      <c r="D43" s="106"/>
      <c r="E43" s="107"/>
      <c r="F43" s="107"/>
      <c r="G43" s="107"/>
      <c r="H43" s="107"/>
      <c r="I43" s="107"/>
    </row>
    <row r="44" spans="2:25" ht="22.9" customHeight="1">
      <c r="C44" s="106"/>
      <c r="D44" s="106"/>
      <c r="E44" s="107"/>
      <c r="F44" s="107"/>
      <c r="G44" s="107"/>
      <c r="H44" s="107"/>
      <c r="I44" s="107"/>
    </row>
    <row r="45" spans="2:25" ht="22.9" customHeight="1">
      <c r="C45" s="106"/>
      <c r="D45" s="106"/>
      <c r="E45" s="107"/>
      <c r="F45" s="107"/>
      <c r="G45" s="107"/>
      <c r="H45" s="107"/>
      <c r="I45" s="107"/>
    </row>
    <row r="46" spans="2:25" ht="22.9" customHeight="1">
      <c r="C46" s="106"/>
      <c r="D46" s="106"/>
      <c r="E46" s="107"/>
      <c r="F46" s="107"/>
      <c r="G46" s="107"/>
      <c r="H46" s="107"/>
      <c r="I46" s="107"/>
    </row>
    <row r="47" spans="2:25" ht="22.9" customHeight="1">
      <c r="F47" s="107"/>
      <c r="G47" s="107"/>
      <c r="H47" s="107"/>
      <c r="I47" s="107"/>
    </row>
  </sheetData>
  <sheetProtection password="E059" sheet="1" objects="1" scenarios="1"/>
  <mergeCells count="8">
    <mergeCell ref="C36:F36"/>
    <mergeCell ref="G13:I13"/>
    <mergeCell ref="C15:E15"/>
    <mergeCell ref="C29:I29"/>
    <mergeCell ref="I6:I7"/>
    <mergeCell ref="D9:I9"/>
    <mergeCell ref="C12:D12"/>
    <mergeCell ref="C25:I25"/>
  </mergeCells>
  <phoneticPr fontId="22" type="noConversion"/>
  <printOptions horizontalCentered="1" verticalCentered="1"/>
  <pageMargins left="0.36000000000000004" right="0.36000000000000004" top="0.6100000000000001" bottom="0.6100000000000001" header="0.5" footer="0.5"/>
  <pageSetup paperSize="9" scale="70" orientation="portrait" horizontalDpi="4294967292" verticalDpi="4294967292" r:id="rId1"/>
  <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Z76"/>
  <sheetViews>
    <sheetView zoomScale="70" zoomScaleNormal="70" zoomScalePageLayoutView="70" workbookViewId="0">
      <selection activeCell="G76" sqref="G76"/>
    </sheetView>
  </sheetViews>
  <sheetFormatPr baseColWidth="10" defaultColWidth="10.77734375" defaultRowHeight="22.9" customHeight="1"/>
  <cols>
    <col min="1" max="2" width="3.21875" style="99" customWidth="1"/>
    <col min="3" max="3" width="5.21875" style="99" customWidth="1"/>
    <col min="4" max="4" width="18.77734375" style="99" customWidth="1"/>
    <col min="5" max="5" width="13.21875" style="99" customWidth="1"/>
    <col min="6" max="10" width="18.77734375" style="100" customWidth="1"/>
    <col min="11" max="11" width="3.21875" style="99" customWidth="1"/>
    <col min="12" max="16384" width="10.77734375" style="99"/>
  </cols>
  <sheetData>
    <row r="2" spans="2:26" ht="22.9" customHeight="1">
      <c r="E2" s="221" t="s">
        <v>379</v>
      </c>
    </row>
    <row r="3" spans="2:26" ht="22.9" customHeight="1">
      <c r="E3" s="221" t="s">
        <v>380</v>
      </c>
    </row>
    <row r="4" spans="2:26" ht="22.9" customHeight="1" thickBot="1"/>
    <row r="5" spans="2:26" ht="9" customHeight="1">
      <c r="B5" s="101"/>
      <c r="C5" s="102"/>
      <c r="D5" s="102"/>
      <c r="E5" s="102"/>
      <c r="F5" s="103"/>
      <c r="G5" s="103"/>
      <c r="H5" s="103"/>
      <c r="I5" s="103"/>
      <c r="J5" s="103"/>
      <c r="K5" s="104"/>
      <c r="M5" s="451"/>
      <c r="N5" s="452"/>
      <c r="O5" s="452"/>
      <c r="P5" s="452"/>
      <c r="Q5" s="452"/>
      <c r="R5" s="452"/>
      <c r="S5" s="452"/>
      <c r="T5" s="452"/>
      <c r="U5" s="452"/>
      <c r="V5" s="452"/>
      <c r="W5" s="452"/>
      <c r="X5" s="452"/>
      <c r="Y5" s="452"/>
      <c r="Z5" s="453"/>
    </row>
    <row r="6" spans="2:26" ht="30" customHeight="1">
      <c r="B6" s="105"/>
      <c r="C6" s="69" t="s">
        <v>0</v>
      </c>
      <c r="D6" s="106"/>
      <c r="E6" s="107"/>
      <c r="F6" s="107"/>
      <c r="G6" s="107"/>
      <c r="H6" s="107"/>
      <c r="I6" s="107"/>
      <c r="J6" s="1105">
        <f>ejercicio</f>
        <v>2018</v>
      </c>
      <c r="K6" s="108"/>
      <c r="M6" s="454"/>
      <c r="N6" s="455" t="s">
        <v>707</v>
      </c>
      <c r="O6" s="455"/>
      <c r="P6" s="455"/>
      <c r="Q6" s="455"/>
      <c r="R6" s="456"/>
      <c r="S6" s="456"/>
      <c r="T6" s="456"/>
      <c r="U6" s="456"/>
      <c r="V6" s="456"/>
      <c r="W6" s="456"/>
      <c r="X6" s="456"/>
      <c r="Y6" s="456"/>
      <c r="Z6" s="457"/>
    </row>
    <row r="7" spans="2:26" ht="30" customHeight="1">
      <c r="B7" s="105"/>
      <c r="C7" s="69" t="s">
        <v>1</v>
      </c>
      <c r="D7" s="106"/>
      <c r="E7" s="107"/>
      <c r="F7" s="107"/>
      <c r="G7" s="107"/>
      <c r="H7" s="107"/>
      <c r="I7" s="107"/>
      <c r="J7" s="1105"/>
      <c r="K7" s="108"/>
      <c r="M7" s="454"/>
      <c r="N7" s="456"/>
      <c r="O7" s="456"/>
      <c r="P7" s="456"/>
      <c r="Q7" s="456"/>
      <c r="R7" s="456"/>
      <c r="S7" s="456"/>
      <c r="T7" s="456"/>
      <c r="U7" s="456"/>
      <c r="V7" s="456"/>
      <c r="W7" s="456"/>
      <c r="X7" s="456"/>
      <c r="Y7" s="456"/>
      <c r="Z7" s="457"/>
    </row>
    <row r="8" spans="2:26" ht="30" customHeight="1">
      <c r="B8" s="105"/>
      <c r="C8" s="109"/>
      <c r="D8" s="106"/>
      <c r="E8" s="107"/>
      <c r="F8" s="107"/>
      <c r="G8" s="107"/>
      <c r="H8" s="107"/>
      <c r="I8" s="107"/>
      <c r="J8" s="110"/>
      <c r="K8" s="108"/>
      <c r="M8" s="454"/>
      <c r="N8" s="456"/>
      <c r="O8" s="456"/>
      <c r="P8" s="456"/>
      <c r="Q8" s="456"/>
      <c r="R8" s="456"/>
      <c r="S8" s="456"/>
      <c r="T8" s="456"/>
      <c r="U8" s="456"/>
      <c r="V8" s="456"/>
      <c r="W8" s="456"/>
      <c r="X8" s="456"/>
      <c r="Y8" s="456"/>
      <c r="Z8" s="457"/>
    </row>
    <row r="9" spans="2:26" s="194" customFormat="1" ht="30" customHeight="1">
      <c r="B9" s="192"/>
      <c r="C9" s="56" t="s">
        <v>2</v>
      </c>
      <c r="D9" s="264"/>
      <c r="E9" s="1129" t="str">
        <f>Entidad</f>
        <v>METROPOLITANO DE TENERIFE, S.A.</v>
      </c>
      <c r="F9" s="1129"/>
      <c r="G9" s="1129"/>
      <c r="H9" s="1129"/>
      <c r="I9" s="1129"/>
      <c r="J9" s="1129"/>
      <c r="K9" s="108"/>
      <c r="M9" s="454"/>
      <c r="N9" s="456"/>
      <c r="O9" s="456"/>
      <c r="P9" s="456"/>
      <c r="Q9" s="456"/>
      <c r="R9" s="456"/>
      <c r="S9" s="456"/>
      <c r="T9" s="456"/>
      <c r="U9" s="456"/>
      <c r="V9" s="456"/>
      <c r="W9" s="456"/>
      <c r="X9" s="456"/>
      <c r="Y9" s="456"/>
      <c r="Z9" s="457"/>
    </row>
    <row r="10" spans="2:26" ht="7.15" customHeight="1">
      <c r="B10" s="105"/>
      <c r="C10" s="106"/>
      <c r="D10" s="106"/>
      <c r="E10" s="107"/>
      <c r="F10" s="107"/>
      <c r="G10" s="107"/>
      <c r="H10" s="107"/>
      <c r="I10" s="107"/>
      <c r="J10" s="106"/>
      <c r="K10" s="108"/>
      <c r="M10" s="454"/>
      <c r="N10" s="456"/>
      <c r="O10" s="456"/>
      <c r="P10" s="456"/>
      <c r="Q10" s="456"/>
      <c r="R10" s="456"/>
      <c r="S10" s="456"/>
      <c r="T10" s="456"/>
      <c r="U10" s="456"/>
      <c r="V10" s="456"/>
      <c r="W10" s="456"/>
      <c r="X10" s="456"/>
      <c r="Y10" s="456"/>
      <c r="Z10" s="457"/>
    </row>
    <row r="11" spans="2:26" s="117" customFormat="1" ht="30" customHeight="1">
      <c r="B11" s="113"/>
      <c r="C11" s="114" t="s">
        <v>490</v>
      </c>
      <c r="D11" s="114"/>
      <c r="E11" s="115"/>
      <c r="F11" s="115"/>
      <c r="G11" s="115"/>
      <c r="H11" s="115"/>
      <c r="I11" s="115"/>
      <c r="J11" s="115"/>
      <c r="K11" s="108"/>
      <c r="M11" s="454"/>
      <c r="N11" s="456"/>
      <c r="O11" s="456"/>
      <c r="P11" s="456"/>
      <c r="Q11" s="456"/>
      <c r="R11" s="456"/>
      <c r="S11" s="456"/>
      <c r="T11" s="456"/>
      <c r="U11" s="456"/>
      <c r="V11" s="456"/>
      <c r="W11" s="456"/>
      <c r="X11" s="456"/>
      <c r="Y11" s="456"/>
      <c r="Z11" s="457"/>
    </row>
    <row r="12" spans="2:26" s="117" customFormat="1" ht="30" customHeight="1">
      <c r="B12" s="113"/>
      <c r="C12" s="1170"/>
      <c r="D12" s="1170"/>
      <c r="E12" s="98"/>
      <c r="F12" s="98"/>
      <c r="G12" s="98"/>
      <c r="H12" s="98"/>
      <c r="I12" s="98"/>
      <c r="J12" s="263"/>
      <c r="K12" s="108"/>
      <c r="M12" s="454"/>
      <c r="N12" s="456"/>
      <c r="O12" s="456"/>
      <c r="P12" s="456"/>
      <c r="Q12" s="456"/>
      <c r="R12" s="456"/>
      <c r="S12" s="456"/>
      <c r="T12" s="456"/>
      <c r="U12" s="456"/>
      <c r="V12" s="456"/>
      <c r="W12" s="456"/>
      <c r="X12" s="456"/>
      <c r="Y12" s="456"/>
      <c r="Z12" s="457"/>
    </row>
    <row r="13" spans="2:26" ht="28.9" customHeight="1">
      <c r="B13" s="119"/>
      <c r="C13" s="68" t="s">
        <v>515</v>
      </c>
      <c r="D13" s="159"/>
      <c r="E13" s="98"/>
      <c r="F13" s="98"/>
      <c r="G13" s="98"/>
      <c r="H13" s="98"/>
      <c r="I13" s="98"/>
      <c r="J13" s="106"/>
      <c r="K13" s="108"/>
      <c r="M13" s="454"/>
      <c r="N13" s="456"/>
      <c r="O13" s="456"/>
      <c r="P13" s="456"/>
      <c r="Q13" s="456"/>
      <c r="R13" s="456"/>
      <c r="S13" s="456"/>
      <c r="T13" s="456"/>
      <c r="U13" s="456"/>
      <c r="V13" s="456"/>
      <c r="W13" s="456"/>
      <c r="X13" s="456"/>
      <c r="Y13" s="456"/>
      <c r="Z13" s="457"/>
    </row>
    <row r="14" spans="2:26" ht="25.15" customHeight="1">
      <c r="B14" s="119"/>
      <c r="C14" s="624" t="s">
        <v>524</v>
      </c>
      <c r="D14" s="625"/>
      <c r="E14" s="159"/>
      <c r="F14" s="98"/>
      <c r="G14" s="98"/>
      <c r="H14" s="98"/>
      <c r="I14" s="98"/>
      <c r="J14" s="98"/>
      <c r="K14" s="108"/>
      <c r="M14" s="454"/>
      <c r="N14" s="456"/>
      <c r="O14" s="456"/>
      <c r="P14" s="456"/>
      <c r="Q14" s="456"/>
      <c r="R14" s="456"/>
      <c r="S14" s="456"/>
      <c r="T14" s="456"/>
      <c r="U14" s="456"/>
      <c r="V14" s="456"/>
      <c r="W14" s="456"/>
      <c r="X14" s="456"/>
      <c r="Y14" s="456"/>
      <c r="Z14" s="457"/>
    </row>
    <row r="15" spans="2:26" ht="22.9" customHeight="1">
      <c r="B15" s="119"/>
      <c r="C15" s="555" t="s">
        <v>683</v>
      </c>
      <c r="D15" s="221" t="s">
        <v>491</v>
      </c>
      <c r="F15" s="98"/>
      <c r="G15" s="98"/>
      <c r="H15" s="98"/>
      <c r="I15" s="98"/>
      <c r="J15" s="98"/>
      <c r="K15" s="108"/>
      <c r="M15" s="454"/>
      <c r="N15" s="456"/>
      <c r="O15" s="456"/>
      <c r="P15" s="456"/>
      <c r="Q15" s="456"/>
      <c r="R15" s="456"/>
      <c r="S15" s="456"/>
      <c r="T15" s="456"/>
      <c r="U15" s="456"/>
      <c r="V15" s="456"/>
      <c r="W15" s="456"/>
      <c r="X15" s="456"/>
      <c r="Y15" s="456"/>
      <c r="Z15" s="457"/>
    </row>
    <row r="16" spans="2:26" ht="9" customHeight="1">
      <c r="B16" s="119"/>
      <c r="C16" s="158"/>
      <c r="D16" s="221"/>
      <c r="F16" s="98"/>
      <c r="G16" s="98"/>
      <c r="H16" s="98"/>
      <c r="I16" s="98"/>
      <c r="J16" s="98"/>
      <c r="K16" s="108"/>
      <c r="M16" s="454"/>
      <c r="N16" s="456"/>
      <c r="O16" s="456"/>
      <c r="P16" s="456"/>
      <c r="Q16" s="456"/>
      <c r="R16" s="456"/>
      <c r="S16" s="456"/>
      <c r="T16" s="456"/>
      <c r="U16" s="456"/>
      <c r="V16" s="456"/>
      <c r="W16" s="456"/>
      <c r="X16" s="456"/>
      <c r="Y16" s="456"/>
      <c r="Z16" s="457"/>
    </row>
    <row r="17" spans="2:26" ht="22.9" customHeight="1">
      <c r="B17" s="119"/>
      <c r="C17" s="555"/>
      <c r="D17" s="221" t="s">
        <v>492</v>
      </c>
      <c r="F17" s="98"/>
      <c r="G17" s="98"/>
      <c r="H17" s="98"/>
      <c r="I17" s="98"/>
      <c r="J17" s="98"/>
      <c r="K17" s="108"/>
      <c r="M17" s="454"/>
      <c r="N17" s="456"/>
      <c r="O17" s="456"/>
      <c r="P17" s="456"/>
      <c r="Q17" s="456"/>
      <c r="R17" s="456"/>
      <c r="S17" s="456"/>
      <c r="T17" s="456"/>
      <c r="U17" s="456"/>
      <c r="V17" s="456"/>
      <c r="W17" s="456"/>
      <c r="X17" s="456"/>
      <c r="Y17" s="456"/>
      <c r="Z17" s="457"/>
    </row>
    <row r="18" spans="2:26" ht="10.15" customHeight="1">
      <c r="B18" s="119"/>
      <c r="C18" s="158"/>
      <c r="D18" s="221"/>
      <c r="F18" s="98"/>
      <c r="G18" s="98"/>
      <c r="H18" s="98"/>
      <c r="I18" s="98"/>
      <c r="J18" s="98"/>
      <c r="K18" s="108"/>
      <c r="M18" s="454"/>
      <c r="N18" s="456"/>
      <c r="O18" s="456"/>
      <c r="P18" s="456"/>
      <c r="Q18" s="456"/>
      <c r="R18" s="456"/>
      <c r="S18" s="456"/>
      <c r="T18" s="456"/>
      <c r="U18" s="456"/>
      <c r="V18" s="456"/>
      <c r="W18" s="456"/>
      <c r="X18" s="456"/>
      <c r="Y18" s="456"/>
      <c r="Z18" s="457"/>
    </row>
    <row r="19" spans="2:26" ht="22.9" customHeight="1">
      <c r="B19" s="119"/>
      <c r="C19" s="555"/>
      <c r="D19" s="221" t="s">
        <v>493</v>
      </c>
      <c r="F19" s="98"/>
      <c r="G19" s="98"/>
      <c r="H19" s="98"/>
      <c r="I19" s="98"/>
      <c r="J19" s="98"/>
      <c r="K19" s="108"/>
      <c r="M19" s="454"/>
      <c r="N19" s="456"/>
      <c r="O19" s="456"/>
      <c r="P19" s="456"/>
      <c r="Q19" s="456"/>
      <c r="R19" s="456"/>
      <c r="S19" s="456"/>
      <c r="T19" s="456"/>
      <c r="U19" s="456"/>
      <c r="V19" s="456"/>
      <c r="W19" s="456"/>
      <c r="X19" s="456"/>
      <c r="Y19" s="456"/>
      <c r="Z19" s="457"/>
    </row>
    <row r="20" spans="2:26" ht="9" customHeight="1">
      <c r="B20" s="119"/>
      <c r="C20" s="158"/>
      <c r="D20" s="221"/>
      <c r="F20" s="98"/>
      <c r="G20" s="98"/>
      <c r="H20" s="98"/>
      <c r="I20" s="98"/>
      <c r="J20" s="98"/>
      <c r="K20" s="108"/>
      <c r="M20" s="454"/>
      <c r="N20" s="456"/>
      <c r="O20" s="456"/>
      <c r="P20" s="456"/>
      <c r="Q20" s="456"/>
      <c r="R20" s="456"/>
      <c r="S20" s="456"/>
      <c r="T20" s="456"/>
      <c r="U20" s="456"/>
      <c r="V20" s="456"/>
      <c r="W20" s="456"/>
      <c r="X20" s="456"/>
      <c r="Y20" s="456"/>
      <c r="Z20" s="457"/>
    </row>
    <row r="21" spans="2:26" ht="22.9" customHeight="1">
      <c r="B21" s="119"/>
      <c r="C21" s="555"/>
      <c r="D21" s="221" t="s">
        <v>494</v>
      </c>
      <c r="F21" s="98"/>
      <c r="G21" s="98"/>
      <c r="H21" s="98"/>
      <c r="I21" s="98"/>
      <c r="J21" s="98"/>
      <c r="K21" s="108"/>
      <c r="M21" s="454"/>
      <c r="N21" s="456"/>
      <c r="O21" s="456"/>
      <c r="P21" s="456"/>
      <c r="Q21" s="456"/>
      <c r="R21" s="456"/>
      <c r="S21" s="456"/>
      <c r="T21" s="456"/>
      <c r="U21" s="456"/>
      <c r="V21" s="456"/>
      <c r="W21" s="456"/>
      <c r="X21" s="456"/>
      <c r="Y21" s="456"/>
      <c r="Z21" s="457"/>
    </row>
    <row r="22" spans="2:26" ht="9" customHeight="1">
      <c r="B22" s="119"/>
      <c r="C22" s="158"/>
      <c r="D22" s="221"/>
      <c r="F22" s="98"/>
      <c r="G22" s="98"/>
      <c r="H22" s="98"/>
      <c r="I22" s="98"/>
      <c r="J22" s="98"/>
      <c r="K22" s="108"/>
      <c r="M22" s="454"/>
      <c r="N22" s="456"/>
      <c r="O22" s="456"/>
      <c r="P22" s="456"/>
      <c r="Q22" s="456"/>
      <c r="R22" s="456"/>
      <c r="S22" s="456"/>
      <c r="T22" s="456"/>
      <c r="U22" s="456"/>
      <c r="V22" s="456"/>
      <c r="W22" s="456"/>
      <c r="X22" s="456"/>
      <c r="Y22" s="456"/>
      <c r="Z22" s="457"/>
    </row>
    <row r="23" spans="2:26" ht="22.9" customHeight="1">
      <c r="B23" s="119"/>
      <c r="C23" s="555"/>
      <c r="D23" s="221" t="s">
        <v>495</v>
      </c>
      <c r="F23" s="98"/>
      <c r="G23" s="98"/>
      <c r="H23" s="98"/>
      <c r="I23" s="98"/>
      <c r="J23" s="98"/>
      <c r="K23" s="108"/>
      <c r="M23" s="454"/>
      <c r="N23" s="456"/>
      <c r="O23" s="456"/>
      <c r="P23" s="456"/>
      <c r="Q23" s="456"/>
      <c r="R23" s="456"/>
      <c r="S23" s="456"/>
      <c r="T23" s="456"/>
      <c r="U23" s="456"/>
      <c r="V23" s="456"/>
      <c r="W23" s="456"/>
      <c r="X23" s="456"/>
      <c r="Y23" s="456"/>
      <c r="Z23" s="457"/>
    </row>
    <row r="24" spans="2:26" ht="22.9" customHeight="1">
      <c r="B24" s="119"/>
      <c r="C24" s="158"/>
      <c r="D24" s="221"/>
      <c r="F24" s="98"/>
      <c r="G24" s="98"/>
      <c r="H24" s="98"/>
      <c r="I24" s="98"/>
      <c r="J24" s="98"/>
      <c r="K24" s="108"/>
      <c r="M24" s="454"/>
      <c r="N24" s="456"/>
      <c r="O24" s="456"/>
      <c r="P24" s="456"/>
      <c r="Q24" s="456"/>
      <c r="R24" s="456"/>
      <c r="S24" s="456"/>
      <c r="T24" s="456"/>
      <c r="U24" s="456"/>
      <c r="V24" s="456"/>
      <c r="W24" s="456"/>
      <c r="X24" s="456"/>
      <c r="Y24" s="456"/>
      <c r="Z24" s="457"/>
    </row>
    <row r="25" spans="2:26" ht="22.9" customHeight="1">
      <c r="B25" s="119"/>
      <c r="C25" s="32"/>
      <c r="D25" s="159"/>
      <c r="E25" s="159"/>
      <c r="F25" s="98"/>
      <c r="G25" s="98"/>
      <c r="H25" s="98"/>
      <c r="I25" s="98"/>
      <c r="J25" s="98"/>
      <c r="K25" s="108"/>
      <c r="M25" s="454"/>
      <c r="N25" s="456"/>
      <c r="O25" s="456"/>
      <c r="P25" s="456"/>
      <c r="Q25" s="456"/>
      <c r="R25" s="456"/>
      <c r="S25" s="456"/>
      <c r="T25" s="456"/>
      <c r="U25" s="456"/>
      <c r="V25" s="456"/>
      <c r="W25" s="456"/>
      <c r="X25" s="456"/>
      <c r="Y25" s="456"/>
      <c r="Z25" s="457"/>
    </row>
    <row r="26" spans="2:26" ht="22.9" customHeight="1">
      <c r="B26" s="119"/>
      <c r="C26" s="68" t="s">
        <v>498</v>
      </c>
      <c r="E26" s="159"/>
      <c r="F26" s="98"/>
      <c r="G26" s="98"/>
      <c r="H26" s="98"/>
      <c r="I26" s="98"/>
      <c r="J26" s="98"/>
      <c r="K26" s="108"/>
      <c r="M26" s="454"/>
      <c r="N26" s="456"/>
      <c r="O26" s="456"/>
      <c r="P26" s="456"/>
      <c r="Q26" s="456"/>
      <c r="R26" s="456"/>
      <c r="S26" s="456"/>
      <c r="T26" s="456"/>
      <c r="U26" s="456"/>
      <c r="V26" s="456"/>
      <c r="W26" s="456"/>
      <c r="X26" s="456"/>
      <c r="Y26" s="456"/>
      <c r="Z26" s="457"/>
    </row>
    <row r="27" spans="2:26" ht="9" customHeight="1">
      <c r="B27" s="119"/>
      <c r="C27" s="68"/>
      <c r="E27" s="159"/>
      <c r="F27" s="98"/>
      <c r="G27" s="98"/>
      <c r="H27" s="98"/>
      <c r="I27" s="98"/>
      <c r="J27" s="98"/>
      <c r="K27" s="108"/>
      <c r="M27" s="454"/>
      <c r="N27" s="456"/>
      <c r="O27" s="456"/>
      <c r="P27" s="456"/>
      <c r="Q27" s="456"/>
      <c r="R27" s="456"/>
      <c r="S27" s="456"/>
      <c r="T27" s="456"/>
      <c r="U27" s="456"/>
      <c r="V27" s="456"/>
      <c r="W27" s="456"/>
      <c r="X27" s="456"/>
      <c r="Y27" s="456"/>
      <c r="Z27" s="457"/>
    </row>
    <row r="28" spans="2:26" ht="22.9" customHeight="1">
      <c r="B28" s="119"/>
      <c r="C28" s="195" t="str">
        <f>IF(VLOOKUP("X",C15:D23,2,FALSE)="#N/A",VLOOKUP("x",C15:D23,2,FALSE),VLOOKUP("X",C15:D23,2,FALSE))</f>
        <v xml:space="preserve">  Administracion General y Resto de sectores</v>
      </c>
      <c r="D28" s="196"/>
      <c r="E28" s="196"/>
      <c r="F28" s="196"/>
      <c r="G28" s="196"/>
      <c r="H28" s="274"/>
      <c r="I28" s="98"/>
      <c r="J28" s="98"/>
      <c r="K28" s="108"/>
      <c r="M28" s="454"/>
      <c r="N28" s="456"/>
      <c r="O28" s="456"/>
      <c r="P28" s="456"/>
      <c r="Q28" s="456"/>
      <c r="R28" s="456"/>
      <c r="S28" s="456"/>
      <c r="T28" s="456"/>
      <c r="U28" s="456"/>
      <c r="V28" s="456"/>
      <c r="W28" s="456"/>
      <c r="X28" s="456"/>
      <c r="Y28" s="456"/>
      <c r="Z28" s="457"/>
    </row>
    <row r="29" spans="2:26" ht="22.9" customHeight="1">
      <c r="B29" s="119"/>
      <c r="C29" s="32"/>
      <c r="D29" s="159"/>
      <c r="E29" s="159"/>
      <c r="F29" s="98"/>
      <c r="G29" s="98"/>
      <c r="H29" s="98"/>
      <c r="I29" s="98"/>
      <c r="J29" s="98"/>
      <c r="K29" s="108"/>
      <c r="M29" s="454"/>
      <c r="N29" s="456"/>
      <c r="O29" s="456"/>
      <c r="P29" s="456"/>
      <c r="Q29" s="456"/>
      <c r="R29" s="456"/>
      <c r="S29" s="456"/>
      <c r="T29" s="456"/>
      <c r="U29" s="456"/>
      <c r="V29" s="456"/>
      <c r="W29" s="456"/>
      <c r="X29" s="456"/>
      <c r="Y29" s="456"/>
      <c r="Z29" s="457"/>
    </row>
    <row r="30" spans="2:26" s="131" customFormat="1" ht="22.9" customHeight="1">
      <c r="B30" s="169"/>
      <c r="C30" s="195" t="s">
        <v>496</v>
      </c>
      <c r="D30" s="186"/>
      <c r="E30" s="212"/>
      <c r="F30" s="197">
        <f>E45</f>
        <v>182</v>
      </c>
      <c r="G30" s="98"/>
      <c r="H30" s="98"/>
      <c r="I30" s="98"/>
      <c r="J30" s="98"/>
      <c r="K30" s="130"/>
      <c r="M30" s="454"/>
      <c r="N30" s="456"/>
      <c r="O30" s="456"/>
      <c r="P30" s="456"/>
      <c r="Q30" s="456"/>
      <c r="R30" s="456"/>
      <c r="S30" s="456"/>
      <c r="T30" s="456"/>
      <c r="U30" s="456"/>
      <c r="V30" s="456"/>
      <c r="W30" s="456"/>
      <c r="X30" s="456"/>
      <c r="Y30" s="456"/>
      <c r="Z30" s="457"/>
    </row>
    <row r="31" spans="2:26" s="131" customFormat="1" ht="22.9" customHeight="1">
      <c r="B31" s="169"/>
      <c r="C31" s="280" t="s">
        <v>497</v>
      </c>
      <c r="D31" s="281"/>
      <c r="E31" s="282"/>
      <c r="F31" s="197">
        <f>J45+F53</f>
        <v>7245011.9999999972</v>
      </c>
      <c r="G31" s="98"/>
      <c r="H31" s="98"/>
      <c r="I31" s="98"/>
      <c r="J31" s="98"/>
      <c r="K31" s="130"/>
      <c r="M31" s="454"/>
      <c r="N31" s="456"/>
      <c r="O31" s="456"/>
      <c r="P31" s="456"/>
      <c r="Q31" s="456"/>
      <c r="R31" s="456"/>
      <c r="S31" s="456"/>
      <c r="T31" s="456"/>
      <c r="U31" s="456"/>
      <c r="V31" s="456"/>
      <c r="W31" s="456"/>
      <c r="X31" s="456"/>
      <c r="Y31" s="456"/>
      <c r="Z31" s="457"/>
    </row>
    <row r="32" spans="2:26" ht="22.9" customHeight="1">
      <c r="B32" s="119"/>
      <c r="D32" s="221"/>
      <c r="E32" s="159"/>
      <c r="F32" s="222"/>
      <c r="G32" s="98"/>
      <c r="H32" s="98"/>
      <c r="I32" s="98"/>
      <c r="J32" s="98"/>
      <c r="K32" s="108"/>
      <c r="M32" s="454"/>
      <c r="N32" s="456"/>
      <c r="O32" s="456"/>
      <c r="P32" s="456"/>
      <c r="Q32" s="456"/>
      <c r="R32" s="456"/>
      <c r="S32" s="456"/>
      <c r="T32" s="456"/>
      <c r="U32" s="456"/>
      <c r="V32" s="456"/>
      <c r="W32" s="456"/>
      <c r="X32" s="456"/>
      <c r="Y32" s="456"/>
      <c r="Z32" s="457"/>
    </row>
    <row r="33" spans="2:26" ht="22.9" customHeight="1">
      <c r="B33" s="119"/>
      <c r="C33" s="32"/>
      <c r="D33" s="159"/>
      <c r="E33" s="159"/>
      <c r="F33" s="98"/>
      <c r="G33" s="98"/>
      <c r="H33" s="98"/>
      <c r="I33" s="98"/>
      <c r="J33" s="98"/>
      <c r="K33" s="108"/>
      <c r="M33" s="454"/>
      <c r="N33" s="456"/>
      <c r="O33" s="456"/>
      <c r="P33" s="456"/>
      <c r="Q33" s="456"/>
      <c r="R33" s="456"/>
      <c r="S33" s="456"/>
      <c r="T33" s="456"/>
      <c r="U33" s="456"/>
      <c r="V33" s="456"/>
      <c r="W33" s="456"/>
      <c r="X33" s="456"/>
      <c r="Y33" s="456"/>
      <c r="Z33" s="457"/>
    </row>
    <row r="34" spans="2:26" ht="22.9" customHeight="1">
      <c r="B34" s="119"/>
      <c r="C34" s="68" t="s">
        <v>499</v>
      </c>
      <c r="E34" s="159"/>
      <c r="F34" s="98"/>
      <c r="G34" s="98"/>
      <c r="H34" s="98"/>
      <c r="I34" s="98"/>
      <c r="J34" s="98"/>
      <c r="K34" s="108"/>
      <c r="M34" s="454"/>
      <c r="N34" s="456"/>
      <c r="O34" s="456"/>
      <c r="P34" s="456"/>
      <c r="Q34" s="456"/>
      <c r="R34" s="456"/>
      <c r="S34" s="456"/>
      <c r="T34" s="456"/>
      <c r="U34" s="456"/>
      <c r="V34" s="456"/>
      <c r="W34" s="456"/>
      <c r="X34" s="456"/>
      <c r="Y34" s="456"/>
      <c r="Z34" s="457"/>
    </row>
    <row r="35" spans="2:26" ht="22.9" customHeight="1">
      <c r="B35" s="119"/>
      <c r="C35" s="32"/>
      <c r="D35" s="159"/>
      <c r="E35" s="159"/>
      <c r="F35" s="98"/>
      <c r="G35" s="98"/>
      <c r="H35" s="98"/>
      <c r="I35" s="98"/>
      <c r="J35" s="98"/>
      <c r="K35" s="108"/>
      <c r="M35" s="454"/>
      <c r="N35" s="456"/>
      <c r="O35" s="456"/>
      <c r="P35" s="456"/>
      <c r="Q35" s="456"/>
      <c r="R35" s="456"/>
      <c r="S35" s="456"/>
      <c r="T35" s="456"/>
      <c r="U35" s="456"/>
      <c r="V35" s="456"/>
      <c r="W35" s="456"/>
      <c r="X35" s="456"/>
      <c r="Y35" s="456"/>
      <c r="Z35" s="457"/>
    </row>
    <row r="36" spans="2:26" s="247" customFormat="1" ht="22.9" customHeight="1">
      <c r="B36" s="248"/>
      <c r="C36" s="265"/>
      <c r="D36" s="268"/>
      <c r="E36" s="249"/>
      <c r="F36" s="1160" t="s">
        <v>518</v>
      </c>
      <c r="G36" s="1161"/>
      <c r="H36" s="1161"/>
      <c r="I36" s="1161"/>
      <c r="J36" s="1162"/>
      <c r="K36" s="250"/>
      <c r="M36" s="454"/>
      <c r="N36" s="456"/>
      <c r="O36" s="456"/>
      <c r="P36" s="456"/>
      <c r="Q36" s="456"/>
      <c r="R36" s="456"/>
      <c r="S36" s="456"/>
      <c r="T36" s="456"/>
      <c r="U36" s="456"/>
      <c r="V36" s="456"/>
      <c r="W36" s="456"/>
      <c r="X36" s="456"/>
      <c r="Y36" s="456"/>
      <c r="Z36" s="457"/>
    </row>
    <row r="37" spans="2:26" s="247" customFormat="1" ht="24" customHeight="1">
      <c r="B37" s="248"/>
      <c r="C37" s="1207" t="s">
        <v>500</v>
      </c>
      <c r="D37" s="1208"/>
      <c r="E37" s="252" t="s">
        <v>507</v>
      </c>
      <c r="F37" s="251" t="s">
        <v>509</v>
      </c>
      <c r="G37" s="251" t="s">
        <v>684</v>
      </c>
      <c r="H37" s="251" t="s">
        <v>512</v>
      </c>
      <c r="I37" s="251" t="s">
        <v>514</v>
      </c>
      <c r="J37" s="261" t="s">
        <v>516</v>
      </c>
      <c r="K37" s="250"/>
      <c r="M37" s="454"/>
      <c r="N37" s="456"/>
      <c r="O37" s="456"/>
      <c r="P37" s="456"/>
      <c r="Q37" s="456"/>
      <c r="R37" s="456"/>
      <c r="S37" s="456"/>
      <c r="T37" s="456"/>
      <c r="U37" s="456"/>
      <c r="V37" s="456"/>
      <c r="W37" s="456"/>
      <c r="X37" s="456"/>
      <c r="Y37" s="456"/>
      <c r="Z37" s="457"/>
    </row>
    <row r="38" spans="2:26" s="247" customFormat="1" ht="24" customHeight="1">
      <c r="B38" s="248"/>
      <c r="C38" s="1174" t="s">
        <v>62</v>
      </c>
      <c r="D38" s="1175"/>
      <c r="E38" s="254" t="s">
        <v>508</v>
      </c>
      <c r="F38" s="253" t="s">
        <v>510</v>
      </c>
      <c r="G38" s="253" t="s">
        <v>511</v>
      </c>
      <c r="H38" s="253" t="s">
        <v>513</v>
      </c>
      <c r="I38" s="253" t="s">
        <v>517</v>
      </c>
      <c r="J38" s="256" t="s">
        <v>517</v>
      </c>
      <c r="K38" s="250"/>
      <c r="M38" s="454"/>
      <c r="N38" s="456"/>
      <c r="O38" s="456"/>
      <c r="P38" s="456"/>
      <c r="Q38" s="456"/>
      <c r="R38" s="456"/>
      <c r="S38" s="456"/>
      <c r="T38" s="456"/>
      <c r="U38" s="456"/>
      <c r="V38" s="456"/>
      <c r="W38" s="456"/>
      <c r="X38" s="456"/>
      <c r="Y38" s="456"/>
      <c r="Z38" s="457"/>
    </row>
    <row r="39" spans="2:26" ht="22.9" customHeight="1">
      <c r="B39" s="119"/>
      <c r="C39" s="187" t="s">
        <v>501</v>
      </c>
      <c r="D39" s="271"/>
      <c r="E39" s="613"/>
      <c r="F39" s="612"/>
      <c r="G39" s="612"/>
      <c r="H39" s="612"/>
      <c r="I39" s="612">
        <v>20000</v>
      </c>
      <c r="J39" s="626">
        <f>SUM(F39:I39)</f>
        <v>20000</v>
      </c>
      <c r="K39" s="108"/>
      <c r="M39" s="454"/>
      <c r="N39" s="456"/>
      <c r="O39" s="456"/>
      <c r="P39" s="456"/>
      <c r="Q39" s="456"/>
      <c r="R39" s="456"/>
      <c r="S39" s="456"/>
      <c r="T39" s="456"/>
      <c r="U39" s="456"/>
      <c r="V39" s="456"/>
      <c r="W39" s="456"/>
      <c r="X39" s="456"/>
      <c r="Y39" s="456"/>
      <c r="Z39" s="457"/>
    </row>
    <row r="40" spans="2:26" ht="22.9" customHeight="1">
      <c r="B40" s="119"/>
      <c r="C40" s="187" t="s">
        <v>502</v>
      </c>
      <c r="D40" s="271"/>
      <c r="E40" s="613">
        <v>6</v>
      </c>
      <c r="F40" s="612">
        <v>338515.33</v>
      </c>
      <c r="G40" s="612">
        <v>8867.66</v>
      </c>
      <c r="H40" s="612">
        <v>0</v>
      </c>
      <c r="I40" s="612">
        <v>73562.320000000007</v>
      </c>
      <c r="J40" s="626">
        <f>SUM(F40:I40)</f>
        <v>420945.31</v>
      </c>
      <c r="K40" s="108"/>
      <c r="M40" s="454"/>
      <c r="N40" s="456"/>
      <c r="O40" s="456"/>
      <c r="P40" s="456"/>
      <c r="Q40" s="456"/>
      <c r="R40" s="456"/>
      <c r="S40" s="456"/>
      <c r="T40" s="456"/>
      <c r="U40" s="456"/>
      <c r="V40" s="456"/>
      <c r="W40" s="456"/>
      <c r="X40" s="456"/>
      <c r="Y40" s="456"/>
      <c r="Z40" s="457"/>
    </row>
    <row r="41" spans="2:26" ht="22.9" customHeight="1">
      <c r="B41" s="119"/>
      <c r="C41" s="187" t="s">
        <v>503</v>
      </c>
      <c r="D41" s="271"/>
      <c r="E41" s="613"/>
      <c r="F41" s="612"/>
      <c r="G41" s="612"/>
      <c r="H41" s="612"/>
      <c r="I41" s="612"/>
      <c r="J41" s="626">
        <f t="shared" ref="J41:J44" si="0">SUM(F41:I41)</f>
        <v>0</v>
      </c>
      <c r="K41" s="108"/>
      <c r="M41" s="454"/>
      <c r="N41" s="456"/>
      <c r="O41" s="456"/>
      <c r="P41" s="456"/>
      <c r="Q41" s="456"/>
      <c r="R41" s="456"/>
      <c r="S41" s="456"/>
      <c r="T41" s="456"/>
      <c r="U41" s="456"/>
      <c r="V41" s="456"/>
      <c r="W41" s="456"/>
      <c r="X41" s="456"/>
      <c r="Y41" s="456"/>
      <c r="Z41" s="457"/>
    </row>
    <row r="42" spans="2:26" ht="22.9" customHeight="1">
      <c r="B42" s="119"/>
      <c r="C42" s="187" t="s">
        <v>504</v>
      </c>
      <c r="D42" s="271"/>
      <c r="E42" s="613">
        <v>165</v>
      </c>
      <c r="F42" s="612">
        <v>3628372.54</v>
      </c>
      <c r="G42" s="612">
        <v>132985.14000000001</v>
      </c>
      <c r="H42" s="612">
        <v>0</v>
      </c>
      <c r="I42" s="612">
        <v>862923.65</v>
      </c>
      <c r="J42" s="626">
        <f t="shared" si="0"/>
        <v>4624281.33</v>
      </c>
      <c r="K42" s="108"/>
      <c r="M42" s="454"/>
      <c r="N42" s="456"/>
      <c r="O42" s="456"/>
      <c r="P42" s="456"/>
      <c r="Q42" s="456"/>
      <c r="R42" s="456"/>
      <c r="S42" s="456"/>
      <c r="T42" s="456"/>
      <c r="U42" s="456"/>
      <c r="V42" s="456"/>
      <c r="W42" s="456"/>
      <c r="X42" s="456"/>
      <c r="Y42" s="456"/>
      <c r="Z42" s="457"/>
    </row>
    <row r="43" spans="2:26" ht="22.9" customHeight="1">
      <c r="B43" s="119"/>
      <c r="C43" s="187" t="s">
        <v>505</v>
      </c>
      <c r="D43" s="271"/>
      <c r="E43" s="613">
        <v>11</v>
      </c>
      <c r="F43" s="612">
        <v>285278.27</v>
      </c>
      <c r="G43" s="612">
        <v>10632.09</v>
      </c>
      <c r="H43" s="612">
        <v>0</v>
      </c>
      <c r="I43" s="612">
        <v>46055.99</v>
      </c>
      <c r="J43" s="626">
        <f t="shared" si="0"/>
        <v>341966.35000000003</v>
      </c>
      <c r="K43" s="108"/>
      <c r="M43" s="454"/>
      <c r="N43" s="456"/>
      <c r="O43" s="456"/>
      <c r="P43" s="456"/>
      <c r="Q43" s="456"/>
      <c r="R43" s="456"/>
      <c r="S43" s="456"/>
      <c r="T43" s="456"/>
      <c r="U43" s="456"/>
      <c r="V43" s="456"/>
      <c r="W43" s="456"/>
      <c r="X43" s="456"/>
      <c r="Y43" s="456"/>
      <c r="Z43" s="457"/>
    </row>
    <row r="44" spans="2:26" ht="22.9" customHeight="1">
      <c r="B44" s="119"/>
      <c r="C44" s="164" t="s">
        <v>506</v>
      </c>
      <c r="D44" s="272"/>
      <c r="E44" s="616"/>
      <c r="F44" s="615"/>
      <c r="G44" s="615"/>
      <c r="H44" s="615"/>
      <c r="I44" s="615"/>
      <c r="J44" s="626">
        <f t="shared" si="0"/>
        <v>0</v>
      </c>
      <c r="K44" s="108"/>
      <c r="M44" s="454"/>
      <c r="N44" s="456"/>
      <c r="O44" s="456"/>
      <c r="P44" s="456"/>
      <c r="Q44" s="456"/>
      <c r="R44" s="456"/>
      <c r="S44" s="456"/>
      <c r="T44" s="456"/>
      <c r="U44" s="456"/>
      <c r="V44" s="456"/>
      <c r="W44" s="456"/>
      <c r="X44" s="456"/>
      <c r="Y44" s="456"/>
      <c r="Z44" s="457"/>
    </row>
    <row r="45" spans="2:26" ht="22.9" customHeight="1" thickBot="1">
      <c r="B45" s="119"/>
      <c r="C45" s="1205" t="s">
        <v>520</v>
      </c>
      <c r="D45" s="1206"/>
      <c r="E45" s="278">
        <f t="shared" ref="E45:J45" si="1">SUM(E39:E44)</f>
        <v>182</v>
      </c>
      <c r="F45" s="278">
        <f t="shared" si="1"/>
        <v>4252166.1400000006</v>
      </c>
      <c r="G45" s="278">
        <f t="shared" si="1"/>
        <v>152484.89000000001</v>
      </c>
      <c r="H45" s="278">
        <f t="shared" si="1"/>
        <v>0</v>
      </c>
      <c r="I45" s="278">
        <f t="shared" si="1"/>
        <v>1002541.96</v>
      </c>
      <c r="J45" s="278">
        <f t="shared" si="1"/>
        <v>5407192.9899999993</v>
      </c>
      <c r="K45" s="108"/>
      <c r="M45" s="454"/>
      <c r="N45" s="456"/>
      <c r="O45" s="456"/>
      <c r="P45" s="456"/>
      <c r="Q45" s="456"/>
      <c r="R45" s="456"/>
      <c r="S45" s="456"/>
      <c r="T45" s="456"/>
      <c r="U45" s="456"/>
      <c r="V45" s="456"/>
      <c r="W45" s="456"/>
      <c r="X45" s="456"/>
      <c r="Y45" s="456"/>
      <c r="Z45" s="457"/>
    </row>
    <row r="46" spans="2:26" ht="22.9" customHeight="1">
      <c r="B46" s="119"/>
      <c r="C46" s="32"/>
      <c r="D46" s="221"/>
      <c r="E46" s="221"/>
      <c r="F46" s="222"/>
      <c r="G46" s="222"/>
      <c r="H46" s="222"/>
      <c r="I46" s="222"/>
      <c r="J46" s="98"/>
      <c r="K46" s="108"/>
      <c r="M46" s="454"/>
      <c r="N46" s="456"/>
      <c r="O46" s="456"/>
      <c r="P46" s="456"/>
      <c r="Q46" s="456"/>
      <c r="R46" s="456"/>
      <c r="S46" s="456"/>
      <c r="T46" s="456"/>
      <c r="U46" s="456"/>
      <c r="V46" s="456"/>
      <c r="W46" s="456"/>
      <c r="X46" s="456"/>
      <c r="Y46" s="456"/>
      <c r="Z46" s="457"/>
    </row>
    <row r="47" spans="2:26" ht="22.9" customHeight="1">
      <c r="B47" s="119"/>
      <c r="C47" s="32"/>
      <c r="D47" s="221"/>
      <c r="E47" s="221"/>
      <c r="F47" s="222"/>
      <c r="G47" s="222"/>
      <c r="H47" s="222"/>
      <c r="I47" s="222"/>
      <c r="J47" s="98"/>
      <c r="K47" s="108"/>
      <c r="M47" s="454"/>
      <c r="N47" s="456"/>
      <c r="O47" s="456"/>
      <c r="P47" s="456"/>
      <c r="Q47" s="456"/>
      <c r="R47" s="456"/>
      <c r="S47" s="456"/>
      <c r="T47" s="456"/>
      <c r="U47" s="456"/>
      <c r="V47" s="456"/>
      <c r="W47" s="456"/>
      <c r="X47" s="456"/>
      <c r="Y47" s="456"/>
      <c r="Z47" s="457"/>
    </row>
    <row r="48" spans="2:26" ht="22.9" customHeight="1">
      <c r="B48" s="119"/>
      <c r="C48" s="68" t="s">
        <v>519</v>
      </c>
      <c r="D48" s="221"/>
      <c r="E48" s="221"/>
      <c r="F48" s="222"/>
      <c r="G48" s="222"/>
      <c r="H48" s="222"/>
      <c r="I48" s="222"/>
      <c r="J48" s="98"/>
      <c r="K48" s="108"/>
      <c r="M48" s="454"/>
      <c r="N48" s="456"/>
      <c r="O48" s="456"/>
      <c r="P48" s="456"/>
      <c r="Q48" s="456"/>
      <c r="R48" s="456"/>
      <c r="S48" s="456"/>
      <c r="T48" s="456"/>
      <c r="U48" s="456"/>
      <c r="V48" s="456"/>
      <c r="W48" s="456"/>
      <c r="X48" s="456"/>
      <c r="Y48" s="456"/>
      <c r="Z48" s="457"/>
    </row>
    <row r="49" spans="2:26" ht="22.9" customHeight="1">
      <c r="B49" s="119"/>
      <c r="C49" s="68"/>
      <c r="D49" s="221"/>
      <c r="E49" s="221"/>
      <c r="F49" s="222"/>
      <c r="G49" s="222"/>
      <c r="H49" s="222"/>
      <c r="I49" s="222"/>
      <c r="J49" s="98"/>
      <c r="K49" s="108"/>
      <c r="M49" s="454"/>
      <c r="N49" s="456"/>
      <c r="O49" s="456"/>
      <c r="P49" s="456"/>
      <c r="Q49" s="456"/>
      <c r="R49" s="456"/>
      <c r="S49" s="456"/>
      <c r="T49" s="456"/>
      <c r="U49" s="456"/>
      <c r="V49" s="456"/>
      <c r="W49" s="456"/>
      <c r="X49" s="456"/>
      <c r="Y49" s="456"/>
      <c r="Z49" s="457"/>
    </row>
    <row r="50" spans="2:26" ht="22.9" customHeight="1">
      <c r="B50" s="119"/>
      <c r="C50" s="1160" t="s">
        <v>457</v>
      </c>
      <c r="D50" s="1161"/>
      <c r="E50" s="1209"/>
      <c r="F50" s="275" t="s">
        <v>484</v>
      </c>
      <c r="G50" s="222"/>
      <c r="H50" s="222"/>
      <c r="I50" s="222"/>
      <c r="J50" s="98"/>
      <c r="K50" s="108"/>
      <c r="M50" s="454"/>
      <c r="N50" s="456"/>
      <c r="O50" s="456"/>
      <c r="P50" s="456"/>
      <c r="Q50" s="456"/>
      <c r="R50" s="456"/>
      <c r="S50" s="456"/>
      <c r="T50" s="456"/>
      <c r="U50" s="456"/>
      <c r="V50" s="456"/>
      <c r="W50" s="456"/>
      <c r="X50" s="456"/>
      <c r="Y50" s="456"/>
      <c r="Z50" s="457"/>
    </row>
    <row r="51" spans="2:26" s="194" customFormat="1" ht="22.9" customHeight="1">
      <c r="B51" s="192"/>
      <c r="C51" s="277" t="s">
        <v>521</v>
      </c>
      <c r="D51" s="276"/>
      <c r="E51" s="276"/>
      <c r="F51" s="627">
        <v>217834</v>
      </c>
      <c r="G51" s="222"/>
      <c r="H51" s="222"/>
      <c r="I51" s="222"/>
      <c r="J51" s="155"/>
      <c r="K51" s="193"/>
      <c r="M51" s="454"/>
      <c r="N51" s="456"/>
      <c r="O51" s="456"/>
      <c r="P51" s="456"/>
      <c r="Q51" s="456"/>
      <c r="R51" s="456"/>
      <c r="S51" s="456"/>
      <c r="T51" s="456"/>
      <c r="U51" s="456"/>
      <c r="V51" s="456"/>
      <c r="W51" s="456"/>
      <c r="X51" s="456"/>
      <c r="Y51" s="456"/>
      <c r="Z51" s="457"/>
    </row>
    <row r="52" spans="2:26" s="194" customFormat="1" ht="22.9" customHeight="1">
      <c r="B52" s="192"/>
      <c r="C52" s="277" t="s">
        <v>522</v>
      </c>
      <c r="D52" s="276"/>
      <c r="E52" s="276"/>
      <c r="F52" s="627">
        <v>1619985.0099999977</v>
      </c>
      <c r="G52" s="222"/>
      <c r="H52" s="222"/>
      <c r="I52" s="222"/>
      <c r="J52" s="155"/>
      <c r="K52" s="193"/>
      <c r="M52" s="454"/>
      <c r="N52" s="456"/>
      <c r="O52" s="456"/>
      <c r="P52" s="456"/>
      <c r="Q52" s="456"/>
      <c r="R52" s="456"/>
      <c r="S52" s="456"/>
      <c r="T52" s="456"/>
      <c r="U52" s="456"/>
      <c r="V52" s="456"/>
      <c r="W52" s="456"/>
      <c r="X52" s="456"/>
      <c r="Y52" s="456"/>
      <c r="Z52" s="457"/>
    </row>
    <row r="53" spans="2:26" ht="22.9" customHeight="1" thickBot="1">
      <c r="B53" s="119"/>
      <c r="C53" s="1205" t="s">
        <v>520</v>
      </c>
      <c r="D53" s="1210"/>
      <c r="E53" s="279"/>
      <c r="F53" s="278">
        <f>SUM(F51:F52)</f>
        <v>1837819.0099999977</v>
      </c>
      <c r="G53" s="222"/>
      <c r="H53" s="222"/>
      <c r="I53" s="222"/>
      <c r="J53" s="155"/>
      <c r="K53" s="108"/>
      <c r="M53" s="454"/>
      <c r="N53" s="456"/>
      <c r="O53" s="456"/>
      <c r="P53" s="456"/>
      <c r="Q53" s="456"/>
      <c r="R53" s="456"/>
      <c r="S53" s="456"/>
      <c r="T53" s="456"/>
      <c r="U53" s="456"/>
      <c r="V53" s="456"/>
      <c r="W53" s="456"/>
      <c r="X53" s="456"/>
      <c r="Y53" s="456"/>
      <c r="Z53" s="457"/>
    </row>
    <row r="54" spans="2:26" ht="22.9" customHeight="1">
      <c r="B54" s="119"/>
      <c r="C54" s="32"/>
      <c r="D54" s="221"/>
      <c r="E54" s="221"/>
      <c r="F54" s="222"/>
      <c r="G54" s="222"/>
      <c r="H54" s="222"/>
      <c r="I54" s="222"/>
      <c r="J54" s="155"/>
      <c r="K54" s="108"/>
      <c r="M54" s="454"/>
      <c r="N54" s="456"/>
      <c r="O54" s="456"/>
      <c r="P54" s="456"/>
      <c r="Q54" s="456"/>
      <c r="R54" s="456"/>
      <c r="S54" s="456"/>
      <c r="T54" s="456"/>
      <c r="U54" s="456"/>
      <c r="V54" s="456"/>
      <c r="W54" s="456"/>
      <c r="X54" s="456"/>
      <c r="Y54" s="456"/>
      <c r="Z54" s="457"/>
    </row>
    <row r="55" spans="2:26" ht="22.9" customHeight="1">
      <c r="B55" s="119"/>
      <c r="C55" s="32"/>
      <c r="D55" s="221"/>
      <c r="E55" s="221"/>
      <c r="F55" s="222"/>
      <c r="G55" s="222"/>
      <c r="H55" s="222"/>
      <c r="I55" s="222"/>
      <c r="J55" s="155"/>
      <c r="K55" s="108"/>
      <c r="M55" s="454"/>
      <c r="N55" s="456"/>
      <c r="O55" s="456"/>
      <c r="P55" s="456"/>
      <c r="Q55" s="456"/>
      <c r="R55" s="456"/>
      <c r="S55" s="456"/>
      <c r="T55" s="456"/>
      <c r="U55" s="456"/>
      <c r="V55" s="456"/>
      <c r="W55" s="456"/>
      <c r="X55" s="456"/>
      <c r="Y55" s="456"/>
      <c r="Z55" s="457"/>
    </row>
    <row r="56" spans="2:26" ht="22.9" customHeight="1">
      <c r="B56" s="119"/>
      <c r="C56" s="68" t="s">
        <v>523</v>
      </c>
      <c r="D56" s="221"/>
      <c r="E56" s="221"/>
      <c r="F56" s="222"/>
      <c r="G56" s="222"/>
      <c r="H56" s="222"/>
      <c r="I56" s="222"/>
      <c r="J56" s="98"/>
      <c r="K56" s="108"/>
      <c r="M56" s="454"/>
      <c r="N56" s="456"/>
      <c r="O56" s="456"/>
      <c r="P56" s="456"/>
      <c r="Q56" s="456"/>
      <c r="R56" s="456"/>
      <c r="S56" s="456"/>
      <c r="T56" s="456"/>
      <c r="U56" s="456"/>
      <c r="V56" s="456"/>
      <c r="W56" s="456"/>
      <c r="X56" s="456"/>
      <c r="Y56" s="456"/>
      <c r="Z56" s="457"/>
    </row>
    <row r="57" spans="2:26" ht="22.9" customHeight="1">
      <c r="B57" s="119"/>
      <c r="C57" s="628"/>
      <c r="D57" s="629"/>
      <c r="E57" s="629"/>
      <c r="F57" s="629"/>
      <c r="G57" s="629"/>
      <c r="H57" s="629"/>
      <c r="I57" s="629"/>
      <c r="J57" s="630"/>
      <c r="K57" s="108"/>
      <c r="M57" s="454"/>
      <c r="N57" s="456"/>
      <c r="O57" s="456"/>
      <c r="P57" s="456"/>
      <c r="Q57" s="456"/>
      <c r="R57" s="456"/>
      <c r="S57" s="456"/>
      <c r="T57" s="456"/>
      <c r="U57" s="456"/>
      <c r="V57" s="456"/>
      <c r="W57" s="456"/>
      <c r="X57" s="456"/>
      <c r="Y57" s="456"/>
      <c r="Z57" s="457"/>
    </row>
    <row r="58" spans="2:26" ht="22.9" customHeight="1">
      <c r="B58" s="119"/>
      <c r="C58" s="631"/>
      <c r="D58" s="632"/>
      <c r="E58" s="632"/>
      <c r="F58" s="632"/>
      <c r="G58" s="632"/>
      <c r="H58" s="632"/>
      <c r="I58" s="632"/>
      <c r="J58" s="633"/>
      <c r="K58" s="108"/>
      <c r="M58" s="454"/>
      <c r="N58" s="456"/>
      <c r="O58" s="456"/>
      <c r="P58" s="456"/>
      <c r="Q58" s="456"/>
      <c r="R58" s="456"/>
      <c r="S58" s="456"/>
      <c r="T58" s="456"/>
      <c r="U58" s="456"/>
      <c r="V58" s="456"/>
      <c r="W58" s="456"/>
      <c r="X58" s="456"/>
      <c r="Y58" s="456"/>
      <c r="Z58" s="457"/>
    </row>
    <row r="59" spans="2:26" ht="22.9" customHeight="1">
      <c r="B59" s="119"/>
      <c r="C59" s="631"/>
      <c r="D59" s="632"/>
      <c r="E59" s="632"/>
      <c r="F59" s="632"/>
      <c r="G59" s="632"/>
      <c r="H59" s="632"/>
      <c r="I59" s="632"/>
      <c r="J59" s="633"/>
      <c r="K59" s="108"/>
      <c r="M59" s="454"/>
      <c r="N59" s="456"/>
      <c r="O59" s="456"/>
      <c r="P59" s="456"/>
      <c r="Q59" s="456"/>
      <c r="R59" s="456"/>
      <c r="S59" s="456"/>
      <c r="T59" s="456"/>
      <c r="U59" s="456"/>
      <c r="V59" s="456"/>
      <c r="W59" s="456"/>
      <c r="X59" s="456"/>
      <c r="Y59" s="456"/>
      <c r="Z59" s="457"/>
    </row>
    <row r="60" spans="2:26" ht="22.9" customHeight="1">
      <c r="B60" s="119"/>
      <c r="C60" s="634"/>
      <c r="D60" s="635"/>
      <c r="E60" s="635"/>
      <c r="F60" s="635"/>
      <c r="G60" s="635"/>
      <c r="H60" s="635"/>
      <c r="I60" s="635"/>
      <c r="J60" s="636"/>
      <c r="K60" s="108"/>
      <c r="M60" s="454"/>
      <c r="N60" s="456"/>
      <c r="O60" s="456"/>
      <c r="P60" s="456"/>
      <c r="Q60" s="456"/>
      <c r="R60" s="456"/>
      <c r="S60" s="456"/>
      <c r="T60" s="456"/>
      <c r="U60" s="456"/>
      <c r="V60" s="456"/>
      <c r="W60" s="456"/>
      <c r="X60" s="456"/>
      <c r="Y60" s="456"/>
      <c r="Z60" s="457"/>
    </row>
    <row r="61" spans="2:26" ht="22.9" customHeight="1">
      <c r="B61" s="119"/>
      <c r="C61" s="1030"/>
      <c r="D61" s="1030"/>
      <c r="E61" s="1030"/>
      <c r="F61" s="1030"/>
      <c r="G61" s="1030"/>
      <c r="H61" s="1030"/>
      <c r="I61" s="1030"/>
      <c r="J61" s="1030"/>
      <c r="K61" s="108"/>
      <c r="M61" s="454"/>
      <c r="N61" s="456"/>
      <c r="O61" s="456"/>
      <c r="P61" s="456"/>
      <c r="Q61" s="456"/>
      <c r="R61" s="456"/>
      <c r="S61" s="456"/>
      <c r="T61" s="456"/>
      <c r="U61" s="456"/>
      <c r="V61" s="456"/>
      <c r="W61" s="456"/>
      <c r="X61" s="456"/>
      <c r="Y61" s="456"/>
      <c r="Z61" s="457"/>
    </row>
    <row r="62" spans="2:26" ht="22.9" customHeight="1">
      <c r="B62" s="119"/>
      <c r="C62" s="1031" t="s">
        <v>856</v>
      </c>
      <c r="D62" s="1030"/>
      <c r="E62" s="1030"/>
      <c r="F62" s="1030"/>
      <c r="G62" s="1030"/>
      <c r="H62" s="1030"/>
      <c r="I62" s="1030"/>
      <c r="J62" s="1030"/>
      <c r="K62" s="108"/>
      <c r="M62" s="454"/>
      <c r="N62" s="456"/>
      <c r="O62" s="456"/>
      <c r="P62" s="456"/>
      <c r="Q62" s="456"/>
      <c r="R62" s="456"/>
      <c r="S62" s="456"/>
      <c r="T62" s="456"/>
      <c r="U62" s="456"/>
      <c r="V62" s="456"/>
      <c r="W62" s="456"/>
      <c r="X62" s="456"/>
      <c r="Y62" s="456"/>
      <c r="Z62" s="457"/>
    </row>
    <row r="63" spans="2:26" ht="22.9" customHeight="1">
      <c r="B63" s="119"/>
      <c r="C63" s="1032" t="s">
        <v>882</v>
      </c>
      <c r="D63" s="1030"/>
      <c r="E63" s="1030"/>
      <c r="F63" s="1030"/>
      <c r="G63" s="1030"/>
      <c r="H63" s="1030"/>
      <c r="I63" s="1030"/>
      <c r="J63" s="1030"/>
      <c r="K63" s="108"/>
      <c r="M63" s="454"/>
      <c r="N63" s="456"/>
      <c r="O63" s="456"/>
      <c r="P63" s="456"/>
      <c r="Q63" s="456"/>
      <c r="R63" s="456"/>
      <c r="S63" s="456"/>
      <c r="T63" s="456"/>
      <c r="U63" s="456"/>
      <c r="V63" s="456"/>
      <c r="W63" s="456"/>
      <c r="X63" s="456"/>
      <c r="Y63" s="456"/>
      <c r="Z63" s="457"/>
    </row>
    <row r="64" spans="2:26" ht="22.9" customHeight="1">
      <c r="B64" s="119"/>
      <c r="C64" s="1030"/>
      <c r="D64" s="1030"/>
      <c r="E64" s="1030"/>
      <c r="F64" s="1030"/>
      <c r="G64" s="1030"/>
      <c r="H64" s="1030"/>
      <c r="I64" s="1030"/>
      <c r="J64" s="1030"/>
      <c r="K64" s="108"/>
      <c r="M64" s="454"/>
      <c r="N64" s="456"/>
      <c r="O64" s="456"/>
      <c r="P64" s="456"/>
      <c r="Q64" s="456"/>
      <c r="R64" s="456"/>
      <c r="S64" s="456"/>
      <c r="T64" s="456"/>
      <c r="U64" s="456"/>
      <c r="V64" s="456"/>
      <c r="W64" s="456"/>
      <c r="X64" s="456"/>
      <c r="Y64" s="456"/>
      <c r="Z64" s="457"/>
    </row>
    <row r="65" spans="2:26" ht="22.9" customHeight="1" thickBot="1">
      <c r="B65" s="123"/>
      <c r="C65" s="57"/>
      <c r="D65" s="1128"/>
      <c r="E65" s="1128"/>
      <c r="F65" s="57"/>
      <c r="G65" s="57"/>
      <c r="H65" s="57"/>
      <c r="I65" s="57"/>
      <c r="J65" s="124"/>
      <c r="K65" s="125"/>
      <c r="M65" s="448"/>
      <c r="N65" s="449"/>
      <c r="O65" s="449"/>
      <c r="P65" s="449"/>
      <c r="Q65" s="449"/>
      <c r="R65" s="449"/>
      <c r="S65" s="449"/>
      <c r="T65" s="449"/>
      <c r="U65" s="449"/>
      <c r="V65" s="449"/>
      <c r="W65" s="449"/>
      <c r="X65" s="449"/>
      <c r="Y65" s="449"/>
      <c r="Z65" s="450"/>
    </row>
    <row r="66" spans="2:26" ht="22.9" customHeight="1">
      <c r="D66" s="106"/>
      <c r="E66" s="106"/>
      <c r="F66" s="107"/>
      <c r="G66" s="107"/>
      <c r="H66" s="107"/>
      <c r="I66" s="107"/>
      <c r="J66" s="107"/>
    </row>
    <row r="67" spans="2:26" ht="12.75">
      <c r="D67" s="126" t="s">
        <v>77</v>
      </c>
      <c r="E67" s="106"/>
      <c r="F67" s="107"/>
      <c r="G67" s="107"/>
      <c r="H67" s="107"/>
      <c r="I67" s="107"/>
      <c r="J67" s="97" t="s">
        <v>61</v>
      </c>
    </row>
    <row r="68" spans="2:26" ht="12.75">
      <c r="D68" s="127" t="s">
        <v>78</v>
      </c>
      <c r="E68" s="106"/>
      <c r="F68" s="107"/>
      <c r="G68" s="107"/>
      <c r="H68" s="107"/>
      <c r="I68" s="107"/>
      <c r="J68" s="107"/>
    </row>
    <row r="69" spans="2:26" ht="12.75">
      <c r="D69" s="127" t="s">
        <v>79</v>
      </c>
      <c r="E69" s="106"/>
      <c r="F69" s="107"/>
      <c r="G69" s="107"/>
      <c r="H69" s="107"/>
      <c r="I69" s="107"/>
      <c r="J69" s="107"/>
    </row>
    <row r="70" spans="2:26" ht="12.75">
      <c r="D70" s="127" t="s">
        <v>80</v>
      </c>
      <c r="E70" s="106"/>
      <c r="F70" s="107"/>
      <c r="G70" s="107"/>
      <c r="H70" s="107"/>
      <c r="I70" s="107"/>
      <c r="J70" s="107"/>
    </row>
    <row r="71" spans="2:26" ht="12.75">
      <c r="D71" s="127" t="s">
        <v>81</v>
      </c>
      <c r="E71" s="106"/>
      <c r="F71" s="107"/>
      <c r="G71" s="107"/>
      <c r="H71" s="107"/>
      <c r="I71" s="107"/>
      <c r="J71" s="107"/>
    </row>
    <row r="72" spans="2:26" ht="22.9" customHeight="1">
      <c r="D72" s="106"/>
      <c r="E72" s="106"/>
      <c r="F72" s="107"/>
      <c r="G72" s="107"/>
      <c r="H72" s="107"/>
      <c r="I72" s="107"/>
      <c r="J72" s="107"/>
    </row>
    <row r="73" spans="2:26" ht="22.9" customHeight="1">
      <c r="D73" s="106"/>
      <c r="E73" s="106"/>
      <c r="F73" s="107"/>
      <c r="G73" s="107"/>
      <c r="H73" s="107"/>
      <c r="I73" s="107"/>
      <c r="J73" s="107"/>
    </row>
    <row r="74" spans="2:26" ht="22.9" customHeight="1">
      <c r="D74" s="106"/>
      <c r="E74" s="106"/>
      <c r="F74" s="107"/>
      <c r="G74" s="107"/>
      <c r="H74" s="107"/>
      <c r="I74" s="107"/>
      <c r="J74" s="107"/>
    </row>
    <row r="75" spans="2:26" ht="22.9" customHeight="1">
      <c r="D75" s="106"/>
      <c r="E75" s="106"/>
      <c r="F75" s="107"/>
      <c r="G75" s="107"/>
      <c r="H75" s="107"/>
      <c r="I75" s="107"/>
      <c r="J75" s="107"/>
    </row>
    <row r="76" spans="2:26" ht="22.9" customHeight="1">
      <c r="F76" s="107"/>
      <c r="G76" s="107"/>
      <c r="H76" s="107"/>
      <c r="I76" s="107"/>
      <c r="J76" s="107"/>
    </row>
  </sheetData>
  <sheetProtection password="E059" sheet="1" objects="1" scenarios="1"/>
  <mergeCells count="10">
    <mergeCell ref="J6:J7"/>
    <mergeCell ref="C12:D12"/>
    <mergeCell ref="C45:D45"/>
    <mergeCell ref="D65:E65"/>
    <mergeCell ref="E9:J9"/>
    <mergeCell ref="C37:D37"/>
    <mergeCell ref="C38:D38"/>
    <mergeCell ref="F36:J36"/>
    <mergeCell ref="C50:E50"/>
    <mergeCell ref="C53:D53"/>
  </mergeCells>
  <phoneticPr fontId="22" type="noConversion"/>
  <printOptions horizontalCentered="1" verticalCentered="1"/>
  <pageMargins left="0.35629921259842523" right="0.35629921259842523" top="0.60629921259842523" bottom="0.60629921259842523" header="0.5" footer="0.5"/>
  <pageSetup paperSize="9" scale="50" orientation="portrait" horizontalDpi="4294967292" verticalDpi="4294967292" r:id="rId1"/>
  <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X86"/>
  <sheetViews>
    <sheetView topLeftCell="E1" zoomScale="70" zoomScaleNormal="70" zoomScalePageLayoutView="85" workbookViewId="0">
      <selection activeCell="D87" sqref="D87"/>
    </sheetView>
  </sheetViews>
  <sheetFormatPr baseColWidth="10" defaultColWidth="10.77734375" defaultRowHeight="22.9" customHeight="1"/>
  <cols>
    <col min="1" max="2" width="3.21875" style="99" customWidth="1"/>
    <col min="3" max="3" width="13.5546875" style="99" customWidth="1"/>
    <col min="4" max="4" width="66.21875" style="99" customWidth="1"/>
    <col min="5" max="5" width="14.21875" style="100" customWidth="1"/>
    <col min="6" max="6" width="2.77734375" style="100" customWidth="1"/>
    <col min="7" max="7" width="79.21875" style="100" customWidth="1"/>
    <col min="8" max="8" width="14.21875" style="100" customWidth="1"/>
    <col min="9" max="9" width="3.21875" style="99" customWidth="1"/>
    <col min="10" max="16384" width="10.77734375" style="99"/>
  </cols>
  <sheetData>
    <row r="2" spans="2:24" ht="22.9" customHeight="1">
      <c r="D2" s="221" t="s">
        <v>379</v>
      </c>
    </row>
    <row r="3" spans="2:24" ht="22.9" customHeight="1">
      <c r="D3" s="221" t="s">
        <v>380</v>
      </c>
    </row>
    <row r="4" spans="2:24" ht="22.9" customHeight="1" thickBot="1"/>
    <row r="5" spans="2:24" ht="9" customHeight="1">
      <c r="B5" s="101"/>
      <c r="C5" s="102"/>
      <c r="D5" s="102"/>
      <c r="E5" s="103"/>
      <c r="F5" s="103"/>
      <c r="G5" s="103"/>
      <c r="H5" s="103"/>
      <c r="I5" s="104"/>
      <c r="K5" s="451"/>
      <c r="L5" s="452"/>
      <c r="M5" s="452"/>
      <c r="N5" s="452"/>
      <c r="O5" s="452"/>
      <c r="P5" s="452"/>
      <c r="Q5" s="452"/>
      <c r="R5" s="452"/>
      <c r="S5" s="452"/>
      <c r="T5" s="452"/>
      <c r="U5" s="452"/>
      <c r="V5" s="452"/>
      <c r="W5" s="452"/>
      <c r="X5" s="453"/>
    </row>
    <row r="6" spans="2:24" ht="30" customHeight="1">
      <c r="B6" s="105"/>
      <c r="C6" s="69" t="s">
        <v>0</v>
      </c>
      <c r="D6" s="106"/>
      <c r="E6" s="107"/>
      <c r="F6" s="107"/>
      <c r="G6" s="107"/>
      <c r="H6" s="1105">
        <f>ejercicio</f>
        <v>2018</v>
      </c>
      <c r="I6" s="108"/>
      <c r="K6" s="454"/>
      <c r="L6" s="455" t="s">
        <v>707</v>
      </c>
      <c r="M6" s="455"/>
      <c r="N6" s="455"/>
      <c r="O6" s="455"/>
      <c r="P6" s="456"/>
      <c r="Q6" s="456"/>
      <c r="R6" s="456"/>
      <c r="S6" s="456"/>
      <c r="T6" s="456"/>
      <c r="U6" s="456"/>
      <c r="V6" s="456"/>
      <c r="W6" s="456"/>
      <c r="X6" s="457"/>
    </row>
    <row r="7" spans="2:24" ht="30" customHeight="1">
      <c r="B7" s="105"/>
      <c r="C7" s="69" t="s">
        <v>1</v>
      </c>
      <c r="D7" s="106"/>
      <c r="E7" s="107"/>
      <c r="F7" s="107"/>
      <c r="G7" s="107"/>
      <c r="H7" s="1105"/>
      <c r="I7" s="108"/>
      <c r="K7" s="454"/>
      <c r="L7" s="456"/>
      <c r="M7" s="456"/>
      <c r="N7" s="456"/>
      <c r="O7" s="456"/>
      <c r="P7" s="456"/>
      <c r="Q7" s="456"/>
      <c r="R7" s="456"/>
      <c r="S7" s="456"/>
      <c r="T7" s="456"/>
      <c r="U7" s="456"/>
      <c r="V7" s="456"/>
      <c r="W7" s="456"/>
      <c r="X7" s="457"/>
    </row>
    <row r="8" spans="2:24" ht="30" customHeight="1">
      <c r="B8" s="105"/>
      <c r="C8" s="109"/>
      <c r="D8" s="106"/>
      <c r="E8" s="107"/>
      <c r="F8" s="107"/>
      <c r="G8" s="107"/>
      <c r="H8" s="110"/>
      <c r="I8" s="108"/>
      <c r="K8" s="454"/>
      <c r="L8" s="456"/>
      <c r="M8" s="456"/>
      <c r="N8" s="456"/>
      <c r="O8" s="456"/>
      <c r="P8" s="456"/>
      <c r="Q8" s="456"/>
      <c r="R8" s="456"/>
      <c r="S8" s="456"/>
      <c r="T8" s="456"/>
      <c r="U8" s="456"/>
      <c r="V8" s="456"/>
      <c r="W8" s="456"/>
      <c r="X8" s="457"/>
    </row>
    <row r="9" spans="2:24" s="194" customFormat="1" ht="30" customHeight="1">
      <c r="B9" s="192"/>
      <c r="C9" s="56" t="s">
        <v>2</v>
      </c>
      <c r="D9" s="1129" t="str">
        <f>Entidad</f>
        <v>METROPOLITANO DE TENERIFE, S.A.</v>
      </c>
      <c r="E9" s="1129"/>
      <c r="F9" s="1129"/>
      <c r="G9" s="1129"/>
      <c r="H9" s="1129"/>
      <c r="I9" s="193"/>
      <c r="K9" s="454"/>
      <c r="L9" s="456"/>
      <c r="M9" s="456"/>
      <c r="N9" s="456"/>
      <c r="O9" s="456"/>
      <c r="P9" s="456"/>
      <c r="Q9" s="456"/>
      <c r="R9" s="456"/>
      <c r="S9" s="456"/>
      <c r="T9" s="456"/>
      <c r="U9" s="456"/>
      <c r="V9" s="456"/>
      <c r="W9" s="456"/>
      <c r="X9" s="457"/>
    </row>
    <row r="10" spans="2:24" ht="7.15" customHeight="1">
      <c r="B10" s="105"/>
      <c r="C10" s="106"/>
      <c r="D10" s="106"/>
      <c r="E10" s="107"/>
      <c r="F10" s="107"/>
      <c r="G10" s="107"/>
      <c r="H10" s="107"/>
      <c r="I10" s="108"/>
      <c r="K10" s="454"/>
      <c r="L10" s="456"/>
      <c r="M10" s="456"/>
      <c r="N10" s="456"/>
      <c r="O10" s="456"/>
      <c r="P10" s="456"/>
      <c r="Q10" s="456"/>
      <c r="R10" s="456"/>
      <c r="S10" s="456"/>
      <c r="T10" s="456"/>
      <c r="U10" s="456"/>
      <c r="V10" s="456"/>
      <c r="W10" s="456"/>
      <c r="X10" s="457"/>
    </row>
    <row r="11" spans="2:24" s="117" customFormat="1" ht="30" customHeight="1">
      <c r="B11" s="113"/>
      <c r="C11" s="114" t="s">
        <v>527</v>
      </c>
      <c r="D11" s="114"/>
      <c r="E11" s="115"/>
      <c r="F11" s="115"/>
      <c r="G11" s="115"/>
      <c r="H11" s="115"/>
      <c r="I11" s="116"/>
      <c r="K11" s="454"/>
      <c r="L11" s="456"/>
      <c r="M11" s="456"/>
      <c r="N11" s="456"/>
      <c r="O11" s="456"/>
      <c r="P11" s="456"/>
      <c r="Q11" s="456"/>
      <c r="R11" s="456"/>
      <c r="S11" s="456"/>
      <c r="T11" s="456"/>
      <c r="U11" s="456"/>
      <c r="V11" s="456"/>
      <c r="W11" s="456"/>
      <c r="X11" s="457"/>
    </row>
    <row r="12" spans="2:24" s="117" customFormat="1" ht="30" customHeight="1">
      <c r="B12" s="113"/>
      <c r="C12" s="1170"/>
      <c r="D12" s="1170"/>
      <c r="E12" s="98"/>
      <c r="F12" s="98"/>
      <c r="G12" s="98"/>
      <c r="H12" s="98"/>
      <c r="I12" s="116"/>
      <c r="K12" s="454"/>
      <c r="L12" s="456"/>
      <c r="M12" s="456"/>
      <c r="N12" s="456"/>
      <c r="O12" s="456"/>
      <c r="P12" s="456"/>
      <c r="Q12" s="456"/>
      <c r="R12" s="456"/>
      <c r="S12" s="456"/>
      <c r="T12" s="456"/>
      <c r="U12" s="456"/>
      <c r="V12" s="456"/>
      <c r="W12" s="456"/>
      <c r="X12" s="457"/>
    </row>
    <row r="13" spans="2:24" ht="28.9" customHeight="1">
      <c r="B13" s="119"/>
      <c r="C13" s="1211" t="s">
        <v>528</v>
      </c>
      <c r="D13" s="1212"/>
      <c r="E13" s="1212"/>
      <c r="F13" s="1212"/>
      <c r="G13" s="1212"/>
      <c r="H13" s="1213"/>
      <c r="I13" s="108"/>
      <c r="K13" s="454"/>
      <c r="L13" s="456"/>
      <c r="M13" s="456"/>
      <c r="N13" s="456"/>
      <c r="O13" s="456"/>
      <c r="P13" s="456"/>
      <c r="Q13" s="456"/>
      <c r="R13" s="456"/>
      <c r="S13" s="456"/>
      <c r="T13" s="456"/>
      <c r="U13" s="456"/>
      <c r="V13" s="456"/>
      <c r="W13" s="456"/>
      <c r="X13" s="457"/>
    </row>
    <row r="14" spans="2:24" ht="9" customHeight="1">
      <c r="B14" s="119"/>
      <c r="C14" s="159"/>
      <c r="D14" s="159"/>
      <c r="E14" s="98"/>
      <c r="F14" s="98"/>
      <c r="G14" s="98"/>
      <c r="H14" s="98"/>
      <c r="I14" s="108"/>
      <c r="K14" s="454"/>
      <c r="L14" s="456"/>
      <c r="M14" s="456"/>
      <c r="N14" s="456"/>
      <c r="O14" s="456"/>
      <c r="P14" s="456"/>
      <c r="Q14" s="456"/>
      <c r="R14" s="456"/>
      <c r="S14" s="456"/>
      <c r="T14" s="456"/>
      <c r="U14" s="456"/>
      <c r="V14" s="456"/>
      <c r="W14" s="456"/>
      <c r="X14" s="457"/>
    </row>
    <row r="15" spans="2:24" s="258" customFormat="1" ht="22.9" customHeight="1">
      <c r="B15" s="255"/>
      <c r="C15" s="1160" t="s">
        <v>531</v>
      </c>
      <c r="D15" s="1161"/>
      <c r="E15" s="1162"/>
      <c r="F15" s="155"/>
      <c r="G15" s="1160" t="s">
        <v>532</v>
      </c>
      <c r="H15" s="1162"/>
      <c r="I15" s="257"/>
      <c r="K15" s="454"/>
      <c r="L15" s="456"/>
      <c r="M15" s="456"/>
      <c r="N15" s="456"/>
      <c r="O15" s="456"/>
      <c r="P15" s="456"/>
      <c r="Q15" s="456"/>
      <c r="R15" s="456"/>
      <c r="S15" s="456"/>
      <c r="T15" s="456"/>
      <c r="U15" s="456"/>
      <c r="V15" s="456"/>
      <c r="W15" s="456"/>
      <c r="X15" s="457"/>
    </row>
    <row r="16" spans="2:24" s="258" customFormat="1" ht="24" customHeight="1">
      <c r="B16" s="255"/>
      <c r="C16" s="1160" t="s">
        <v>446</v>
      </c>
      <c r="D16" s="1162"/>
      <c r="E16" s="275" t="s">
        <v>484</v>
      </c>
      <c r="F16" s="155"/>
      <c r="G16" s="275" t="s">
        <v>446</v>
      </c>
      <c r="H16" s="259" t="s">
        <v>484</v>
      </c>
      <c r="I16" s="257"/>
      <c r="K16" s="454"/>
      <c r="L16" s="456"/>
      <c r="M16" s="456"/>
      <c r="N16" s="456"/>
      <c r="O16" s="456"/>
      <c r="P16" s="456"/>
      <c r="Q16" s="456"/>
      <c r="R16" s="456"/>
      <c r="S16" s="456"/>
      <c r="T16" s="456"/>
      <c r="U16" s="456"/>
      <c r="V16" s="456"/>
      <c r="W16" s="456"/>
      <c r="X16" s="457"/>
    </row>
    <row r="17" spans="2:24" s="122" customFormat="1" ht="22.9" customHeight="1">
      <c r="B17" s="119"/>
      <c r="C17" s="289" t="s">
        <v>533</v>
      </c>
      <c r="D17" s="290"/>
      <c r="E17" s="559">
        <f>6346452.37767924*1.03</f>
        <v>6536845.9490096178</v>
      </c>
      <c r="F17" s="292"/>
      <c r="G17" s="291" t="str">
        <f>C17</f>
        <v>CABILDO INSULAR DE TENERIFE</v>
      </c>
      <c r="H17" s="559"/>
      <c r="I17" s="120"/>
      <c r="K17" s="454" t="s">
        <v>1030</v>
      </c>
      <c r="L17" s="456"/>
      <c r="M17" s="456"/>
      <c r="N17" s="456"/>
      <c r="O17" s="456"/>
      <c r="P17" s="456"/>
      <c r="Q17" s="456"/>
      <c r="R17" s="456"/>
      <c r="S17" s="456"/>
      <c r="T17" s="456"/>
      <c r="U17" s="456"/>
      <c r="V17" s="456"/>
      <c r="W17" s="456"/>
      <c r="X17" s="457"/>
    </row>
    <row r="18" spans="2:24" s="122" customFormat="1" ht="22.9" customHeight="1">
      <c r="B18" s="119"/>
      <c r="C18" s="293" t="s">
        <v>534</v>
      </c>
      <c r="D18" s="294"/>
      <c r="E18" s="559"/>
      <c r="F18" s="292"/>
      <c r="G18" s="291" t="str">
        <f t="shared" ref="G18:G55" si="0">C18</f>
        <v>O.A. DE MUSEOS Y CENTROS</v>
      </c>
      <c r="H18" s="559"/>
      <c r="I18" s="120"/>
      <c r="K18" s="454" t="s">
        <v>1031</v>
      </c>
      <c r="L18" s="456"/>
      <c r="M18" s="456"/>
      <c r="N18" s="456"/>
      <c r="O18" s="456"/>
      <c r="P18" s="456"/>
      <c r="Q18" s="456"/>
      <c r="R18" s="456"/>
      <c r="S18" s="456"/>
      <c r="T18" s="456"/>
      <c r="U18" s="456"/>
      <c r="V18" s="456"/>
      <c r="W18" s="456"/>
      <c r="X18" s="457"/>
    </row>
    <row r="19" spans="2:24" s="122" customFormat="1" ht="22.9" customHeight="1">
      <c r="B19" s="119"/>
      <c r="C19" s="293" t="s">
        <v>535</v>
      </c>
      <c r="D19" s="294"/>
      <c r="E19" s="559"/>
      <c r="F19" s="292"/>
      <c r="G19" s="291" t="str">
        <f t="shared" si="0"/>
        <v>O.A. INST. INS. ATENCIÓN SOC. Y SOCIOSAN.</v>
      </c>
      <c r="H19" s="559"/>
      <c r="I19" s="120"/>
      <c r="K19" s="454"/>
      <c r="L19" s="456"/>
      <c r="M19" s="456"/>
      <c r="N19" s="456"/>
      <c r="O19" s="456"/>
      <c r="P19" s="456"/>
      <c r="Q19" s="456"/>
      <c r="R19" s="456"/>
      <c r="S19" s="456"/>
      <c r="T19" s="456"/>
      <c r="U19" s="456"/>
      <c r="V19" s="456"/>
      <c r="W19" s="456"/>
      <c r="X19" s="457"/>
    </row>
    <row r="20" spans="2:24" s="122" customFormat="1" ht="22.9" customHeight="1">
      <c r="B20" s="119"/>
      <c r="C20" s="293" t="s">
        <v>536</v>
      </c>
      <c r="D20" s="294"/>
      <c r="E20" s="559"/>
      <c r="F20" s="292"/>
      <c r="G20" s="291" t="str">
        <f t="shared" si="0"/>
        <v>O.A. PATRONATO INSULAR DE MUSICA</v>
      </c>
      <c r="H20" s="559"/>
      <c r="I20" s="120"/>
      <c r="K20" s="454"/>
      <c r="L20" s="456"/>
      <c r="M20" s="456"/>
      <c r="N20" s="456"/>
      <c r="O20" s="456"/>
      <c r="P20" s="456"/>
      <c r="Q20" s="456"/>
      <c r="R20" s="456"/>
      <c r="S20" s="456"/>
      <c r="T20" s="456"/>
      <c r="U20" s="456"/>
      <c r="V20" s="456"/>
      <c r="W20" s="456"/>
      <c r="X20" s="457"/>
    </row>
    <row r="21" spans="2:24" s="122" customFormat="1" ht="22.9" customHeight="1">
      <c r="B21" s="119"/>
      <c r="C21" s="293" t="s">
        <v>537</v>
      </c>
      <c r="D21" s="294"/>
      <c r="E21" s="559"/>
      <c r="F21" s="292"/>
      <c r="G21" s="291" t="str">
        <f t="shared" si="0"/>
        <v>O.A. CONSEJO INSULAR DE AGUAS</v>
      </c>
      <c r="H21" s="559"/>
      <c r="I21" s="120"/>
      <c r="K21" s="454"/>
      <c r="L21" s="456"/>
      <c r="M21" s="456"/>
      <c r="N21" s="456"/>
      <c r="O21" s="456"/>
      <c r="P21" s="456"/>
      <c r="Q21" s="456"/>
      <c r="R21" s="456"/>
      <c r="S21" s="456"/>
      <c r="T21" s="456"/>
      <c r="U21" s="456"/>
      <c r="V21" s="456"/>
      <c r="W21" s="456"/>
      <c r="X21" s="457"/>
    </row>
    <row r="22" spans="2:24" s="122" customFormat="1" ht="22.9" customHeight="1">
      <c r="B22" s="119"/>
      <c r="C22" s="293" t="s">
        <v>538</v>
      </c>
      <c r="D22" s="294"/>
      <c r="E22" s="559"/>
      <c r="F22" s="292"/>
      <c r="G22" s="291" t="str">
        <f t="shared" si="0"/>
        <v>EPEL. BALSAS DE TENERIFE</v>
      </c>
      <c r="H22" s="559"/>
      <c r="I22" s="120"/>
      <c r="K22" s="454"/>
      <c r="L22" s="456"/>
      <c r="M22" s="456"/>
      <c r="N22" s="456"/>
      <c r="O22" s="456"/>
      <c r="P22" s="456"/>
      <c r="Q22" s="456"/>
      <c r="R22" s="456"/>
      <c r="S22" s="456"/>
      <c r="T22" s="456"/>
      <c r="U22" s="456"/>
      <c r="V22" s="456"/>
      <c r="W22" s="456"/>
      <c r="X22" s="457"/>
    </row>
    <row r="23" spans="2:24" s="122" customFormat="1" ht="22.9" customHeight="1">
      <c r="B23" s="119"/>
      <c r="C23" s="293" t="s">
        <v>850</v>
      </c>
      <c r="D23" s="294"/>
      <c r="E23" s="559"/>
      <c r="F23" s="292"/>
      <c r="G23" s="291" t="str">
        <f t="shared" si="0"/>
        <v>EPEL TEA, TENERFE ESPACIO DE LAS ARTES</v>
      </c>
      <c r="H23" s="559"/>
      <c r="I23" s="120"/>
      <c r="K23" s="454"/>
      <c r="L23" s="456"/>
      <c r="M23" s="456"/>
      <c r="N23" s="456"/>
      <c r="O23" s="456"/>
      <c r="P23" s="456"/>
      <c r="Q23" s="456"/>
      <c r="R23" s="456"/>
      <c r="S23" s="456"/>
      <c r="T23" s="456"/>
      <c r="U23" s="456"/>
      <c r="V23" s="456"/>
      <c r="W23" s="456"/>
      <c r="X23" s="457"/>
    </row>
    <row r="24" spans="2:24" s="122" customFormat="1" ht="22.9" customHeight="1">
      <c r="B24" s="119"/>
      <c r="C24" s="293" t="s">
        <v>539</v>
      </c>
      <c r="D24" s="294"/>
      <c r="E24" s="559"/>
      <c r="F24" s="292"/>
      <c r="G24" s="291" t="str">
        <f t="shared" si="0"/>
        <v>EPEL AGROTEIDE ENTIDAD INSULAR DESARROLLO AGRICOLA Y GANADERO</v>
      </c>
      <c r="H24" s="559"/>
      <c r="I24" s="120"/>
      <c r="K24" s="454"/>
      <c r="L24" s="456"/>
      <c r="M24" s="456"/>
      <c r="N24" s="456"/>
      <c r="O24" s="456"/>
      <c r="P24" s="456"/>
      <c r="Q24" s="456"/>
      <c r="R24" s="456"/>
      <c r="S24" s="456"/>
      <c r="T24" s="456"/>
      <c r="U24" s="456"/>
      <c r="V24" s="456"/>
      <c r="W24" s="456"/>
      <c r="X24" s="457"/>
    </row>
    <row r="25" spans="2:24" s="122" customFormat="1" ht="22.9" customHeight="1">
      <c r="B25" s="119"/>
      <c r="C25" s="293" t="s">
        <v>540</v>
      </c>
      <c r="D25" s="294"/>
      <c r="E25" s="559"/>
      <c r="F25" s="292"/>
      <c r="G25" s="291" t="str">
        <f t="shared" si="0"/>
        <v>CASINO DE TAORO, SA</v>
      </c>
      <c r="H25" s="559"/>
      <c r="I25" s="120"/>
      <c r="K25" s="454"/>
      <c r="L25" s="456"/>
      <c r="M25" s="456"/>
      <c r="N25" s="456"/>
      <c r="O25" s="456"/>
      <c r="P25" s="456"/>
      <c r="Q25" s="456"/>
      <c r="R25" s="456"/>
      <c r="S25" s="456"/>
      <c r="T25" s="456"/>
      <c r="U25" s="456"/>
      <c r="V25" s="456"/>
      <c r="W25" s="456"/>
      <c r="X25" s="457"/>
    </row>
    <row r="26" spans="2:24" s="122" customFormat="1" ht="22.9" customHeight="1">
      <c r="B26" s="119"/>
      <c r="C26" s="293" t="s">
        <v>541</v>
      </c>
      <c r="D26" s="294"/>
      <c r="E26" s="559"/>
      <c r="F26" s="292"/>
      <c r="G26" s="291" t="str">
        <f t="shared" si="0"/>
        <v>CASINO DE PLAYA DE LAS AMÉRICAS, SA</v>
      </c>
      <c r="H26" s="559"/>
      <c r="I26" s="120"/>
      <c r="K26" s="454"/>
      <c r="L26" s="456"/>
      <c r="M26" s="456"/>
      <c r="N26" s="456"/>
      <c r="O26" s="456"/>
      <c r="P26" s="456"/>
      <c r="Q26" s="456"/>
      <c r="R26" s="456"/>
      <c r="S26" s="456"/>
      <c r="T26" s="456"/>
      <c r="U26" s="456"/>
      <c r="V26" s="456"/>
      <c r="W26" s="456"/>
      <c r="X26" s="457"/>
    </row>
    <row r="27" spans="2:24" s="122" customFormat="1" ht="22.9" customHeight="1">
      <c r="B27" s="119"/>
      <c r="C27" s="293" t="s">
        <v>542</v>
      </c>
      <c r="D27" s="294"/>
      <c r="E27" s="559"/>
      <c r="F27" s="292"/>
      <c r="G27" s="291" t="str">
        <f t="shared" si="0"/>
        <v>CASINO DE SANTA CRUZ, SA</v>
      </c>
      <c r="H27" s="559"/>
      <c r="I27" s="120"/>
      <c r="K27" s="454"/>
      <c r="L27" s="456"/>
      <c r="M27" s="456"/>
      <c r="N27" s="456"/>
      <c r="O27" s="456"/>
      <c r="P27" s="456"/>
      <c r="Q27" s="456"/>
      <c r="R27" s="456"/>
      <c r="S27" s="456"/>
      <c r="T27" s="456"/>
      <c r="U27" s="456"/>
      <c r="V27" s="456"/>
      <c r="W27" s="456"/>
      <c r="X27" s="457"/>
    </row>
    <row r="28" spans="2:24" s="122" customFormat="1" ht="22.9" customHeight="1">
      <c r="B28" s="119"/>
      <c r="C28" s="293" t="s">
        <v>543</v>
      </c>
      <c r="D28" s="294"/>
      <c r="E28" s="559"/>
      <c r="F28" s="292"/>
      <c r="G28" s="291" t="str">
        <f t="shared" si="0"/>
        <v>INSTIT.FERIAL DE TENERIFE, SA</v>
      </c>
      <c r="H28" s="559"/>
      <c r="I28" s="120"/>
      <c r="K28" s="454"/>
      <c r="L28" s="456"/>
      <c r="M28" s="456"/>
      <c r="N28" s="456"/>
      <c r="O28" s="456"/>
      <c r="P28" s="456"/>
      <c r="Q28" s="456"/>
      <c r="R28" s="456"/>
      <c r="S28" s="456"/>
      <c r="T28" s="456"/>
      <c r="U28" s="456"/>
      <c r="V28" s="456"/>
      <c r="W28" s="456"/>
      <c r="X28" s="457"/>
    </row>
    <row r="29" spans="2:24" s="122" customFormat="1" ht="22.9" customHeight="1">
      <c r="B29" s="119"/>
      <c r="C29" s="293" t="s">
        <v>544</v>
      </c>
      <c r="D29" s="294"/>
      <c r="E29" s="559"/>
      <c r="F29" s="292"/>
      <c r="G29" s="291" t="str">
        <f t="shared" si="0"/>
        <v>EMPRESA INSULAR DE ARTESANÍA, SA</v>
      </c>
      <c r="H29" s="559"/>
      <c r="I29" s="120"/>
      <c r="K29" s="454"/>
      <c r="L29" s="456"/>
      <c r="M29" s="456"/>
      <c r="N29" s="456"/>
      <c r="O29" s="456"/>
      <c r="P29" s="456"/>
      <c r="Q29" s="456"/>
      <c r="R29" s="456"/>
      <c r="S29" s="456"/>
      <c r="T29" s="456"/>
      <c r="U29" s="456"/>
      <c r="V29" s="456"/>
      <c r="W29" s="456"/>
      <c r="X29" s="457"/>
    </row>
    <row r="30" spans="2:24" s="122" customFormat="1" ht="22.9" customHeight="1">
      <c r="B30" s="119"/>
      <c r="C30" s="293" t="s">
        <v>545</v>
      </c>
      <c r="D30" s="294"/>
      <c r="E30" s="559"/>
      <c r="F30" s="292"/>
      <c r="G30" s="291" t="str">
        <f t="shared" si="0"/>
        <v>SINPROMI.S.L.</v>
      </c>
      <c r="H30" s="559">
        <f>-3000*1.07</f>
        <v>-3210</v>
      </c>
      <c r="I30" s="120"/>
      <c r="K30" s="454"/>
      <c r="L30" s="456"/>
      <c r="M30" s="456"/>
      <c r="N30" s="456"/>
      <c r="O30" s="456"/>
      <c r="P30" s="456"/>
      <c r="Q30" s="456"/>
      <c r="R30" s="456"/>
      <c r="S30" s="456"/>
      <c r="T30" s="456"/>
      <c r="U30" s="456"/>
      <c r="V30" s="456"/>
      <c r="W30" s="456"/>
      <c r="X30" s="457"/>
    </row>
    <row r="31" spans="2:24" s="122" customFormat="1" ht="22.9" customHeight="1">
      <c r="B31" s="119"/>
      <c r="C31" s="293" t="s">
        <v>546</v>
      </c>
      <c r="D31" s="294"/>
      <c r="E31" s="559"/>
      <c r="F31" s="292"/>
      <c r="G31" s="291" t="str">
        <f t="shared" si="0"/>
        <v>AUDITORIO DE TENERIFE, SA</v>
      </c>
      <c r="H31" s="559"/>
      <c r="I31" s="120"/>
      <c r="K31" s="454"/>
      <c r="L31" s="456"/>
      <c r="M31" s="456"/>
      <c r="N31" s="456"/>
      <c r="O31" s="456"/>
      <c r="P31" s="456"/>
      <c r="Q31" s="456"/>
      <c r="R31" s="456"/>
      <c r="S31" s="456"/>
      <c r="T31" s="456"/>
      <c r="U31" s="456"/>
      <c r="V31" s="456"/>
      <c r="W31" s="456"/>
      <c r="X31" s="457"/>
    </row>
    <row r="32" spans="2:24" s="122" customFormat="1" ht="22.9" customHeight="1">
      <c r="B32" s="119"/>
      <c r="C32" s="293" t="s">
        <v>547</v>
      </c>
      <c r="D32" s="294"/>
      <c r="E32" s="559"/>
      <c r="F32" s="292"/>
      <c r="G32" s="291" t="str">
        <f t="shared" si="0"/>
        <v>GEST. INS. DEPORTE, CULT.Y OCIO, SA (IDECO)</v>
      </c>
      <c r="H32" s="559"/>
      <c r="I32" s="120"/>
      <c r="K32" s="454"/>
      <c r="L32" s="456"/>
      <c r="M32" s="456"/>
      <c r="N32" s="456"/>
      <c r="O32" s="456"/>
      <c r="P32" s="456"/>
      <c r="Q32" s="456"/>
      <c r="R32" s="456"/>
      <c r="S32" s="456"/>
      <c r="T32" s="456"/>
      <c r="U32" s="456"/>
      <c r="V32" s="456"/>
      <c r="W32" s="456"/>
      <c r="X32" s="457"/>
    </row>
    <row r="33" spans="2:24" s="122" customFormat="1" ht="22.9" customHeight="1">
      <c r="B33" s="119"/>
      <c r="C33" s="293" t="s">
        <v>548</v>
      </c>
      <c r="D33" s="294"/>
      <c r="E33" s="559"/>
      <c r="F33" s="292"/>
      <c r="G33" s="291" t="str">
        <f t="shared" si="0"/>
        <v>TITSA</v>
      </c>
      <c r="H33" s="559">
        <f>(117166.342610484+62004)*1.07</f>
        <v>191712.26659321788</v>
      </c>
      <c r="I33" s="120"/>
      <c r="K33" s="454"/>
      <c r="L33" s="456"/>
      <c r="M33" s="456"/>
      <c r="N33" s="456"/>
      <c r="O33" s="456"/>
      <c r="P33" s="456"/>
      <c r="Q33" s="456"/>
      <c r="R33" s="456"/>
      <c r="S33" s="456"/>
      <c r="T33" s="456"/>
      <c r="U33" s="456"/>
      <c r="V33" s="456"/>
      <c r="W33" s="456"/>
      <c r="X33" s="457"/>
    </row>
    <row r="34" spans="2:24" s="122" customFormat="1" ht="22.9" customHeight="1">
      <c r="B34" s="119"/>
      <c r="C34" s="293" t="s">
        <v>549</v>
      </c>
      <c r="D34" s="294"/>
      <c r="E34" s="559"/>
      <c r="F34" s="292"/>
      <c r="G34" s="291" t="str">
        <f t="shared" si="0"/>
        <v>SPET, TURISMO DE TENERIFE, S.A.</v>
      </c>
      <c r="H34" s="559"/>
      <c r="I34" s="120"/>
      <c r="K34" s="454"/>
      <c r="L34" s="456"/>
      <c r="M34" s="456"/>
      <c r="N34" s="456"/>
      <c r="O34" s="456"/>
      <c r="P34" s="456"/>
      <c r="Q34" s="456"/>
      <c r="R34" s="456"/>
      <c r="S34" s="456"/>
      <c r="T34" s="456"/>
      <c r="U34" s="456"/>
      <c r="V34" s="456"/>
      <c r="W34" s="456"/>
      <c r="X34" s="457"/>
    </row>
    <row r="35" spans="2:24" s="122" customFormat="1" ht="22.9" customHeight="1">
      <c r="B35" s="119"/>
      <c r="C35" s="293" t="s">
        <v>550</v>
      </c>
      <c r="D35" s="294"/>
      <c r="E35" s="559"/>
      <c r="F35" s="292"/>
      <c r="G35" s="291" t="str">
        <f t="shared" si="0"/>
        <v>INSTITUTO MEDICO TINERFEÑO, S.A. (IMETISA)</v>
      </c>
      <c r="H35" s="559"/>
      <c r="I35" s="120"/>
      <c r="K35" s="454"/>
      <c r="L35" s="456"/>
      <c r="M35" s="456"/>
      <c r="N35" s="456"/>
      <c r="O35" s="456"/>
      <c r="P35" s="456"/>
      <c r="Q35" s="456"/>
      <c r="R35" s="456"/>
      <c r="S35" s="456"/>
      <c r="T35" s="456"/>
      <c r="U35" s="456"/>
      <c r="V35" s="456"/>
      <c r="W35" s="456"/>
      <c r="X35" s="457"/>
    </row>
    <row r="36" spans="2:24" s="122" customFormat="1" ht="22.9" customHeight="1">
      <c r="B36" s="119"/>
      <c r="C36" s="293" t="s">
        <v>551</v>
      </c>
      <c r="D36" s="294"/>
      <c r="E36" s="559"/>
      <c r="F36" s="292"/>
      <c r="G36" s="291" t="str">
        <f t="shared" si="0"/>
        <v>METROPOLITANO DE TENERIFE, S.A.</v>
      </c>
      <c r="H36" s="559"/>
      <c r="I36" s="120"/>
      <c r="K36" s="454"/>
      <c r="L36" s="456"/>
      <c r="M36" s="456"/>
      <c r="N36" s="456"/>
      <c r="O36" s="456"/>
      <c r="P36" s="456"/>
      <c r="Q36" s="456"/>
      <c r="R36" s="456"/>
      <c r="S36" s="456"/>
      <c r="T36" s="456"/>
      <c r="U36" s="456"/>
      <c r="V36" s="456"/>
      <c r="W36" s="456"/>
      <c r="X36" s="457"/>
    </row>
    <row r="37" spans="2:24" s="122" customFormat="1" ht="22.9" customHeight="1">
      <c r="B37" s="119"/>
      <c r="C37" s="293" t="s">
        <v>552</v>
      </c>
      <c r="D37" s="294"/>
      <c r="E37" s="559"/>
      <c r="F37" s="292"/>
      <c r="G37" s="291" t="str">
        <f t="shared" si="0"/>
        <v>INST. TECNOL. Y DE ENERGIAS RENOVABLES, S.A. (ITER)</v>
      </c>
      <c r="H37" s="559">
        <f>-2920.648-9857.6104</f>
        <v>-12778.258399999999</v>
      </c>
      <c r="I37" s="120"/>
      <c r="K37" s="454"/>
      <c r="L37" s="456"/>
      <c r="M37" s="456"/>
      <c r="N37" s="456"/>
      <c r="O37" s="456"/>
      <c r="P37" s="456"/>
      <c r="Q37" s="456"/>
      <c r="R37" s="456"/>
      <c r="S37" s="456"/>
      <c r="T37" s="456"/>
      <c r="U37" s="456"/>
      <c r="V37" s="456"/>
      <c r="W37" s="456"/>
      <c r="X37" s="457"/>
    </row>
    <row r="38" spans="2:24" s="122" customFormat="1" ht="22.9" customHeight="1">
      <c r="B38" s="119"/>
      <c r="C38" s="293" t="s">
        <v>553</v>
      </c>
      <c r="D38" s="294"/>
      <c r="E38" s="559"/>
      <c r="F38" s="292"/>
      <c r="G38" s="291" t="str">
        <f t="shared" si="0"/>
        <v>CULTIVOS Y TECNOLOGÍAS AGRARIAS DE TENERIFE, S.A (CULTESA)</v>
      </c>
      <c r="H38" s="559"/>
      <c r="I38" s="120"/>
      <c r="K38" s="454"/>
      <c r="L38" s="456"/>
      <c r="M38" s="456"/>
      <c r="N38" s="456"/>
      <c r="O38" s="456"/>
      <c r="P38" s="456"/>
      <c r="Q38" s="456"/>
      <c r="R38" s="456"/>
      <c r="S38" s="456"/>
      <c r="T38" s="456"/>
      <c r="U38" s="456"/>
      <c r="V38" s="456"/>
      <c r="W38" s="456"/>
      <c r="X38" s="457"/>
    </row>
    <row r="39" spans="2:24" s="122" customFormat="1" ht="22.9" customHeight="1">
      <c r="B39" s="119"/>
      <c r="C39" s="293" t="s">
        <v>554</v>
      </c>
      <c r="D39" s="294"/>
      <c r="E39" s="559"/>
      <c r="F39" s="292"/>
      <c r="G39" s="291" t="str">
        <f t="shared" si="0"/>
        <v>BUENAVISTA GOLF, S.A.</v>
      </c>
      <c r="H39" s="559"/>
      <c r="I39" s="120"/>
      <c r="K39" s="454"/>
      <c r="L39" s="456"/>
      <c r="M39" s="456"/>
      <c r="N39" s="456"/>
      <c r="O39" s="456"/>
      <c r="P39" s="456"/>
      <c r="Q39" s="456"/>
      <c r="R39" s="456"/>
      <c r="S39" s="456"/>
      <c r="T39" s="456"/>
      <c r="U39" s="456"/>
      <c r="V39" s="456"/>
      <c r="W39" s="456"/>
      <c r="X39" s="457"/>
    </row>
    <row r="40" spans="2:24" s="122" customFormat="1" ht="22.9" customHeight="1">
      <c r="B40" s="119"/>
      <c r="C40" s="293" t="s">
        <v>555</v>
      </c>
      <c r="D40" s="294"/>
      <c r="E40" s="559"/>
      <c r="F40" s="292"/>
      <c r="G40" s="291" t="str">
        <f t="shared" si="0"/>
        <v>PARQUE CIENTÍFICO Y TECNOLÓGICO DE TENERIFE, S.A.</v>
      </c>
      <c r="H40" s="559"/>
      <c r="I40" s="120"/>
      <c r="K40" s="454"/>
      <c r="L40" s="456"/>
      <c r="M40" s="456"/>
      <c r="N40" s="456"/>
      <c r="O40" s="456"/>
      <c r="P40" s="456"/>
      <c r="Q40" s="456"/>
      <c r="R40" s="456"/>
      <c r="S40" s="456"/>
      <c r="T40" s="456"/>
      <c r="U40" s="456"/>
      <c r="V40" s="456"/>
      <c r="W40" s="456"/>
      <c r="X40" s="457"/>
    </row>
    <row r="41" spans="2:24" s="122" customFormat="1" ht="22.9" customHeight="1">
      <c r="B41" s="119"/>
      <c r="C41" s="293" t="s">
        <v>556</v>
      </c>
      <c r="D41" s="294"/>
      <c r="E41" s="559"/>
      <c r="F41" s="292"/>
      <c r="G41" s="291" t="str">
        <f t="shared" si="0"/>
        <v>INSTITUTO TECNOLÓGICO Y DE COMUNICACIONES DE TENERIFE, S.L. (IT3)</v>
      </c>
      <c r="H41" s="559"/>
      <c r="I41" s="120"/>
      <c r="K41" s="454"/>
      <c r="L41" s="456"/>
      <c r="M41" s="456"/>
      <c r="N41" s="456"/>
      <c r="O41" s="456"/>
      <c r="P41" s="456"/>
      <c r="Q41" s="456"/>
      <c r="R41" s="456"/>
      <c r="S41" s="456"/>
      <c r="T41" s="456"/>
      <c r="U41" s="456"/>
      <c r="V41" s="456"/>
      <c r="W41" s="456"/>
      <c r="X41" s="457"/>
    </row>
    <row r="42" spans="2:24" s="122" customFormat="1" ht="22.9" customHeight="1">
      <c r="B42" s="119"/>
      <c r="C42" s="293" t="s">
        <v>557</v>
      </c>
      <c r="D42" s="294"/>
      <c r="E42" s="559"/>
      <c r="F42" s="292"/>
      <c r="G42" s="291" t="str">
        <f t="shared" si="0"/>
        <v>INSTITUTO VULCANOLÓGICO DE CANARIAS S.A.</v>
      </c>
      <c r="H42" s="559"/>
      <c r="I42" s="120"/>
      <c r="K42" s="454"/>
      <c r="L42" s="456"/>
      <c r="M42" s="456"/>
      <c r="N42" s="456"/>
      <c r="O42" s="456"/>
      <c r="P42" s="456"/>
      <c r="Q42" s="456"/>
      <c r="R42" s="456"/>
      <c r="S42" s="456"/>
      <c r="T42" s="456"/>
      <c r="U42" s="456"/>
      <c r="V42" s="456"/>
      <c r="W42" s="456"/>
      <c r="X42" s="457"/>
    </row>
    <row r="43" spans="2:24" s="122" customFormat="1" ht="22.9" customHeight="1">
      <c r="B43" s="119"/>
      <c r="C43" s="293" t="s">
        <v>558</v>
      </c>
      <c r="D43" s="294"/>
      <c r="E43" s="559"/>
      <c r="F43" s="292"/>
      <c r="G43" s="291" t="str">
        <f t="shared" si="0"/>
        <v>CANARIAS SUBMARINE LINK, S.L. (Canalink)</v>
      </c>
      <c r="H43" s="559"/>
      <c r="I43" s="120"/>
      <c r="K43" s="454"/>
      <c r="L43" s="456"/>
      <c r="M43" s="456"/>
      <c r="N43" s="456"/>
      <c r="O43" s="456"/>
      <c r="P43" s="456"/>
      <c r="Q43" s="456"/>
      <c r="R43" s="456"/>
      <c r="S43" s="456"/>
      <c r="T43" s="456"/>
      <c r="U43" s="456"/>
      <c r="V43" s="456"/>
      <c r="W43" s="456"/>
      <c r="X43" s="457"/>
    </row>
    <row r="44" spans="2:24" s="122" customFormat="1" ht="22.9" customHeight="1">
      <c r="B44" s="119"/>
      <c r="C44" s="293" t="s">
        <v>559</v>
      </c>
      <c r="D44" s="294"/>
      <c r="E44" s="559"/>
      <c r="F44" s="292"/>
      <c r="G44" s="291" t="str">
        <f t="shared" si="0"/>
        <v>CANALINK AFRICA, S.L.</v>
      </c>
      <c r="H44" s="559"/>
      <c r="I44" s="120"/>
      <c r="K44" s="454"/>
      <c r="L44" s="456"/>
      <c r="M44" s="456"/>
      <c r="N44" s="456"/>
      <c r="O44" s="456"/>
      <c r="P44" s="456"/>
      <c r="Q44" s="456"/>
      <c r="R44" s="456"/>
      <c r="S44" s="456"/>
      <c r="T44" s="456"/>
      <c r="U44" s="456"/>
      <c r="V44" s="456"/>
      <c r="W44" s="456"/>
      <c r="X44" s="457"/>
    </row>
    <row r="45" spans="2:24" s="122" customFormat="1" ht="22.9" customHeight="1">
      <c r="B45" s="119"/>
      <c r="C45" s="293" t="s">
        <v>560</v>
      </c>
      <c r="D45" s="294"/>
      <c r="E45" s="559"/>
      <c r="F45" s="292"/>
      <c r="G45" s="291" t="str">
        <f t="shared" si="0"/>
        <v>CANALINK BAHARICOM, S.L.</v>
      </c>
      <c r="H45" s="559"/>
      <c r="I45" s="120"/>
      <c r="K45" s="454"/>
      <c r="L45" s="456"/>
      <c r="M45" s="456"/>
      <c r="N45" s="456"/>
      <c r="O45" s="456"/>
      <c r="P45" s="456"/>
      <c r="Q45" s="456"/>
      <c r="R45" s="456"/>
      <c r="S45" s="456"/>
      <c r="T45" s="456"/>
      <c r="U45" s="456"/>
      <c r="V45" s="456"/>
      <c r="W45" s="456"/>
      <c r="X45" s="457"/>
    </row>
    <row r="46" spans="2:24" s="122" customFormat="1" ht="22.9" customHeight="1">
      <c r="B46" s="119"/>
      <c r="C46" s="293" t="s">
        <v>561</v>
      </c>
      <c r="D46" s="294"/>
      <c r="E46" s="559"/>
      <c r="F46" s="292"/>
      <c r="G46" s="291" t="str">
        <f t="shared" si="0"/>
        <v>GESTIÓN INSULAR DE AGUAS DE TENERIFE, S.A. (GESTA)</v>
      </c>
      <c r="H46" s="559"/>
      <c r="I46" s="120"/>
      <c r="K46" s="454"/>
      <c r="L46" s="456"/>
      <c r="M46" s="456"/>
      <c r="N46" s="456"/>
      <c r="O46" s="456"/>
      <c r="P46" s="456"/>
      <c r="Q46" s="456"/>
      <c r="R46" s="456"/>
      <c r="S46" s="456"/>
      <c r="T46" s="456"/>
      <c r="U46" s="456"/>
      <c r="V46" s="456"/>
      <c r="W46" s="456"/>
      <c r="X46" s="457"/>
    </row>
    <row r="47" spans="2:24" s="122" customFormat="1" ht="22.9" customHeight="1">
      <c r="B47" s="119"/>
      <c r="C47" s="293" t="s">
        <v>562</v>
      </c>
      <c r="D47" s="294"/>
      <c r="E47" s="559"/>
      <c r="F47" s="292"/>
      <c r="G47" s="291" t="str">
        <f t="shared" si="0"/>
        <v>FUNDACION TENERIFE RURAL</v>
      </c>
      <c r="H47" s="559"/>
      <c r="I47" s="120"/>
      <c r="K47" s="454"/>
      <c r="L47" s="456"/>
      <c r="M47" s="456"/>
      <c r="N47" s="456"/>
      <c r="O47" s="456"/>
      <c r="P47" s="456"/>
      <c r="Q47" s="456"/>
      <c r="R47" s="456"/>
      <c r="S47" s="456"/>
      <c r="T47" s="456"/>
      <c r="U47" s="456"/>
      <c r="V47" s="456"/>
      <c r="W47" s="456"/>
      <c r="X47" s="457"/>
    </row>
    <row r="48" spans="2:24" s="122" customFormat="1" ht="22.9" customHeight="1">
      <c r="B48" s="119"/>
      <c r="C48" s="293" t="s">
        <v>563</v>
      </c>
      <c r="D48" s="294"/>
      <c r="E48" s="559"/>
      <c r="F48" s="292"/>
      <c r="G48" s="291" t="str">
        <f t="shared" si="0"/>
        <v>FUNDACIÓN  ITB</v>
      </c>
      <c r="H48" s="559"/>
      <c r="I48" s="120"/>
      <c r="K48" s="454"/>
      <c r="L48" s="456"/>
      <c r="M48" s="456"/>
      <c r="N48" s="456"/>
      <c r="O48" s="456"/>
      <c r="P48" s="456"/>
      <c r="Q48" s="456"/>
      <c r="R48" s="456"/>
      <c r="S48" s="456"/>
      <c r="T48" s="456"/>
      <c r="U48" s="456"/>
      <c r="V48" s="456"/>
      <c r="W48" s="456"/>
      <c r="X48" s="457"/>
    </row>
    <row r="49" spans="2:24" s="122" customFormat="1" ht="22.9" customHeight="1">
      <c r="B49" s="119"/>
      <c r="C49" s="293" t="s">
        <v>564</v>
      </c>
      <c r="D49" s="294"/>
      <c r="E49" s="559"/>
      <c r="F49" s="292"/>
      <c r="G49" s="291" t="str">
        <f t="shared" si="0"/>
        <v>FIFEDE</v>
      </c>
      <c r="H49" s="559"/>
      <c r="I49" s="120"/>
      <c r="K49" s="454"/>
      <c r="L49" s="456"/>
      <c r="M49" s="456"/>
      <c r="N49" s="456"/>
      <c r="O49" s="456"/>
      <c r="P49" s="456"/>
      <c r="Q49" s="456"/>
      <c r="R49" s="456"/>
      <c r="S49" s="456"/>
      <c r="T49" s="456"/>
      <c r="U49" s="456"/>
      <c r="V49" s="456"/>
      <c r="W49" s="456"/>
      <c r="X49" s="457"/>
    </row>
    <row r="50" spans="2:24" s="122" customFormat="1" ht="22.9" customHeight="1">
      <c r="B50" s="119"/>
      <c r="C50" s="293" t="s">
        <v>565</v>
      </c>
      <c r="D50" s="294"/>
      <c r="E50" s="559"/>
      <c r="F50" s="292"/>
      <c r="G50" s="291" t="str">
        <f t="shared" si="0"/>
        <v>AGENCIA INSULAR DE LA ENERGIA</v>
      </c>
      <c r="H50" s="559"/>
      <c r="I50" s="120"/>
      <c r="K50" s="454"/>
      <c r="L50" s="456"/>
      <c r="M50" s="456"/>
      <c r="N50" s="456"/>
      <c r="O50" s="456"/>
      <c r="P50" s="456"/>
      <c r="Q50" s="456"/>
      <c r="R50" s="456"/>
      <c r="S50" s="456"/>
      <c r="T50" s="456"/>
      <c r="U50" s="456"/>
      <c r="V50" s="456"/>
      <c r="W50" s="456"/>
      <c r="X50" s="457"/>
    </row>
    <row r="51" spans="2:24" s="122" customFormat="1" ht="22.9" customHeight="1">
      <c r="B51" s="119"/>
      <c r="C51" s="293" t="s">
        <v>566</v>
      </c>
      <c r="D51" s="294"/>
      <c r="E51" s="559"/>
      <c r="F51" s="292"/>
      <c r="G51" s="291" t="str">
        <f t="shared" si="0"/>
        <v>FUNDACIÓN CANARIAS FACTORÍA DE LA INNOVACIÓN TURÍSTICA</v>
      </c>
      <c r="H51" s="559"/>
      <c r="I51" s="120"/>
      <c r="K51" s="454"/>
      <c r="L51" s="456"/>
      <c r="M51" s="456"/>
      <c r="N51" s="456"/>
      <c r="O51" s="456"/>
      <c r="P51" s="456"/>
      <c r="Q51" s="456"/>
      <c r="R51" s="456"/>
      <c r="S51" s="456"/>
      <c r="T51" s="456"/>
      <c r="U51" s="456"/>
      <c r="V51" s="456"/>
      <c r="W51" s="456"/>
      <c r="X51" s="457"/>
    </row>
    <row r="52" spans="2:24" s="122" customFormat="1" ht="22.9" customHeight="1">
      <c r="B52" s="119"/>
      <c r="C52" s="293" t="s">
        <v>567</v>
      </c>
      <c r="D52" s="294"/>
      <c r="E52" s="559"/>
      <c r="F52" s="292"/>
      <c r="G52" s="291" t="str">
        <f t="shared" si="0"/>
        <v>CONSORCIO PREVENSIÓN, EXTINCIÓN INCENDIOS Y SALVAMENTO DE LA ISLA DE TENERIFE</v>
      </c>
      <c r="H52" s="559"/>
      <c r="I52" s="120"/>
      <c r="K52" s="454"/>
      <c r="L52" s="456"/>
      <c r="M52" s="456"/>
      <c r="N52" s="456"/>
      <c r="O52" s="456"/>
      <c r="P52" s="456"/>
      <c r="Q52" s="456"/>
      <c r="R52" s="456"/>
      <c r="S52" s="456"/>
      <c r="T52" s="456"/>
      <c r="U52" s="456"/>
      <c r="V52" s="456"/>
      <c r="W52" s="456"/>
      <c r="X52" s="457"/>
    </row>
    <row r="53" spans="2:24" s="122" customFormat="1" ht="22.9" customHeight="1">
      <c r="B53" s="119"/>
      <c r="C53" s="293" t="s">
        <v>568</v>
      </c>
      <c r="D53" s="294"/>
      <c r="E53" s="559"/>
      <c r="F53" s="292"/>
      <c r="G53" s="291" t="str">
        <f t="shared" si="0"/>
        <v>CONSORCIO DE TRIBUTOS DE LA ISLA DE TENERIFE</v>
      </c>
      <c r="H53" s="559"/>
      <c r="I53" s="120"/>
      <c r="K53" s="454"/>
      <c r="L53" s="456"/>
      <c r="M53" s="456"/>
      <c r="N53" s="456"/>
      <c r="O53" s="456"/>
      <c r="P53" s="456"/>
      <c r="Q53" s="456"/>
      <c r="R53" s="456"/>
      <c r="S53" s="456"/>
      <c r="T53" s="456"/>
      <c r="U53" s="456"/>
      <c r="V53" s="456"/>
      <c r="W53" s="456"/>
      <c r="X53" s="457"/>
    </row>
    <row r="54" spans="2:24" s="122" customFormat="1" ht="22.9" customHeight="1">
      <c r="B54" s="119"/>
      <c r="C54" s="293" t="s">
        <v>569</v>
      </c>
      <c r="D54" s="294"/>
      <c r="E54" s="559"/>
      <c r="F54" s="292"/>
      <c r="G54" s="291" t="str">
        <f t="shared" si="0"/>
        <v>CONSORCIO ISLA BAJA</v>
      </c>
      <c r="H54" s="559"/>
      <c r="I54" s="120"/>
      <c r="K54" s="454"/>
      <c r="L54" s="456"/>
      <c r="M54" s="456"/>
      <c r="N54" s="456"/>
      <c r="O54" s="456"/>
      <c r="P54" s="456"/>
      <c r="Q54" s="456"/>
      <c r="R54" s="456"/>
      <c r="S54" s="456"/>
      <c r="T54" s="456"/>
      <c r="U54" s="456"/>
      <c r="V54" s="456"/>
      <c r="W54" s="456"/>
      <c r="X54" s="457"/>
    </row>
    <row r="55" spans="2:24" s="122" customFormat="1" ht="22.9" customHeight="1">
      <c r="B55" s="119"/>
      <c r="C55" s="295" t="s">
        <v>570</v>
      </c>
      <c r="D55" s="296"/>
      <c r="E55" s="560"/>
      <c r="F55" s="292"/>
      <c r="G55" s="291" t="str">
        <f t="shared" si="0"/>
        <v>CONSORCIO URBANÍSTICO PARA LA REHABILITACIÓN DEL PTO. DE LA CRUZ</v>
      </c>
      <c r="H55" s="560"/>
      <c r="I55" s="120"/>
      <c r="K55" s="454"/>
      <c r="L55" s="456"/>
      <c r="M55" s="456"/>
      <c r="N55" s="456"/>
      <c r="O55" s="456"/>
      <c r="P55" s="456"/>
      <c r="Q55" s="456"/>
      <c r="R55" s="456"/>
      <c r="S55" s="456"/>
      <c r="T55" s="456"/>
      <c r="U55" s="456"/>
      <c r="V55" s="456"/>
      <c r="W55" s="456"/>
      <c r="X55" s="457"/>
    </row>
    <row r="56" spans="2:24" s="194" customFormat="1" ht="22.9" customHeight="1" thickBot="1">
      <c r="B56" s="192"/>
      <c r="C56" s="1193" t="s">
        <v>486</v>
      </c>
      <c r="D56" s="1195"/>
      <c r="E56" s="179">
        <f>SUM(E17:E55)</f>
        <v>6536845.9490096178</v>
      </c>
      <c r="F56" s="155"/>
      <c r="G56" s="225" t="s">
        <v>486</v>
      </c>
      <c r="H56" s="179">
        <f>SUM(H17:H55)</f>
        <v>175724.00819321789</v>
      </c>
      <c r="I56" s="193"/>
      <c r="K56" s="454"/>
      <c r="L56" s="456"/>
      <c r="M56" s="456"/>
      <c r="N56" s="456"/>
      <c r="O56" s="456"/>
      <c r="P56" s="456"/>
      <c r="Q56" s="456"/>
      <c r="R56" s="456"/>
      <c r="S56" s="456"/>
      <c r="T56" s="456"/>
      <c r="U56" s="456"/>
      <c r="V56" s="456"/>
      <c r="W56" s="456"/>
      <c r="X56" s="457"/>
    </row>
    <row r="57" spans="2:24" ht="22.9" customHeight="1">
      <c r="B57" s="119"/>
      <c r="C57" s="221"/>
      <c r="D57" s="221"/>
      <c r="E57" s="222"/>
      <c r="F57" s="98"/>
      <c r="G57" s="222"/>
      <c r="H57" s="98"/>
      <c r="I57" s="108"/>
      <c r="K57" s="454"/>
      <c r="L57" s="456"/>
      <c r="M57" s="456"/>
      <c r="N57" s="456"/>
      <c r="O57" s="456"/>
      <c r="P57" s="456"/>
      <c r="Q57" s="456"/>
      <c r="R57" s="456"/>
      <c r="S57" s="456"/>
      <c r="T57" s="456"/>
      <c r="U57" s="456"/>
      <c r="V57" s="456"/>
      <c r="W57" s="456"/>
      <c r="X57" s="457"/>
    </row>
    <row r="58" spans="2:24" ht="22.9" customHeight="1">
      <c r="B58" s="119"/>
      <c r="C58" s="1211" t="s">
        <v>851</v>
      </c>
      <c r="D58" s="1212"/>
      <c r="E58" s="1212"/>
      <c r="F58" s="1212"/>
      <c r="G58" s="1212"/>
      <c r="H58" s="1213"/>
      <c r="I58" s="108"/>
      <c r="K58" s="454"/>
      <c r="L58" s="456"/>
      <c r="M58" s="456"/>
      <c r="N58" s="456"/>
      <c r="O58" s="456"/>
      <c r="P58" s="456"/>
      <c r="Q58" s="456"/>
      <c r="R58" s="456"/>
      <c r="S58" s="456"/>
      <c r="T58" s="456"/>
      <c r="U58" s="456"/>
      <c r="V58" s="456"/>
      <c r="W58" s="456"/>
      <c r="X58" s="457"/>
    </row>
    <row r="59" spans="2:24" s="106" customFormat="1" ht="9" customHeight="1">
      <c r="B59" s="119"/>
      <c r="C59" s="32"/>
      <c r="D59" s="32"/>
      <c r="E59" s="32"/>
      <c r="F59" s="32"/>
      <c r="G59" s="32"/>
      <c r="H59" s="32"/>
      <c r="I59" s="108"/>
      <c r="K59" s="454"/>
      <c r="L59" s="456"/>
      <c r="M59" s="456"/>
      <c r="N59" s="456"/>
      <c r="O59" s="456"/>
      <c r="P59" s="456"/>
      <c r="Q59" s="456"/>
      <c r="R59" s="456"/>
      <c r="S59" s="456"/>
      <c r="T59" s="456"/>
      <c r="U59" s="456"/>
      <c r="V59" s="456"/>
      <c r="W59" s="456"/>
      <c r="X59" s="457"/>
    </row>
    <row r="60" spans="2:24" ht="22.9" customHeight="1">
      <c r="B60" s="119"/>
      <c r="C60" s="1211" t="s">
        <v>528</v>
      </c>
      <c r="D60" s="1212"/>
      <c r="E60" s="1212"/>
      <c r="F60" s="1212"/>
      <c r="G60" s="1212"/>
      <c r="H60" s="1213"/>
      <c r="I60" s="108"/>
      <c r="K60" s="454"/>
      <c r="L60" s="456"/>
      <c r="M60" s="456"/>
      <c r="N60" s="456"/>
      <c r="O60" s="456"/>
      <c r="P60" s="456"/>
      <c r="Q60" s="456"/>
      <c r="R60" s="456"/>
      <c r="S60" s="456"/>
      <c r="T60" s="456"/>
      <c r="U60" s="456"/>
      <c r="V60" s="456"/>
      <c r="W60" s="456"/>
      <c r="X60" s="457"/>
    </row>
    <row r="61" spans="2:24" s="106" customFormat="1" ht="9" customHeight="1">
      <c r="B61" s="119"/>
      <c r="C61" s="32"/>
      <c r="D61" s="32"/>
      <c r="E61" s="32"/>
      <c r="F61" s="32"/>
      <c r="G61" s="32"/>
      <c r="H61" s="32"/>
      <c r="I61" s="108"/>
      <c r="K61" s="454"/>
      <c r="L61" s="456"/>
      <c r="M61" s="456"/>
      <c r="N61" s="456"/>
      <c r="O61" s="456"/>
      <c r="P61" s="456"/>
      <c r="Q61" s="456"/>
      <c r="R61" s="456"/>
      <c r="S61" s="456"/>
      <c r="T61" s="456"/>
      <c r="U61" s="456"/>
      <c r="V61" s="456"/>
      <c r="W61" s="456"/>
      <c r="X61" s="457"/>
    </row>
    <row r="62" spans="2:24" ht="22.9" customHeight="1">
      <c r="B62" s="119"/>
      <c r="C62" s="1160" t="s">
        <v>531</v>
      </c>
      <c r="D62" s="1161"/>
      <c r="E62" s="1162"/>
      <c r="F62" s="155"/>
      <c r="G62" s="1160" t="s">
        <v>532</v>
      </c>
      <c r="H62" s="1162"/>
      <c r="I62" s="108"/>
      <c r="K62" s="454"/>
      <c r="L62" s="456"/>
      <c r="M62" s="456"/>
      <c r="N62" s="456"/>
      <c r="O62" s="456"/>
      <c r="P62" s="456"/>
      <c r="Q62" s="456"/>
      <c r="R62" s="456"/>
      <c r="S62" s="456"/>
      <c r="T62" s="456"/>
      <c r="U62" s="456"/>
      <c r="V62" s="456"/>
      <c r="W62" s="456"/>
      <c r="X62" s="457"/>
    </row>
    <row r="63" spans="2:24" ht="22.9" customHeight="1">
      <c r="B63" s="119"/>
      <c r="C63" s="1160" t="s">
        <v>446</v>
      </c>
      <c r="D63" s="1162"/>
      <c r="E63" s="275" t="s">
        <v>484</v>
      </c>
      <c r="F63" s="155"/>
      <c r="G63" s="275" t="s">
        <v>446</v>
      </c>
      <c r="H63" s="259" t="s">
        <v>484</v>
      </c>
      <c r="I63" s="108"/>
      <c r="K63" s="454"/>
      <c r="L63" s="456"/>
      <c r="M63" s="456"/>
      <c r="N63" s="456"/>
      <c r="O63" s="456"/>
      <c r="P63" s="456"/>
      <c r="Q63" s="456"/>
      <c r="R63" s="456"/>
      <c r="S63" s="456"/>
      <c r="T63" s="456"/>
      <c r="U63" s="456"/>
      <c r="V63" s="456"/>
      <c r="W63" s="456"/>
      <c r="X63" s="457"/>
    </row>
    <row r="64" spans="2:24" ht="22.9" customHeight="1">
      <c r="B64" s="119"/>
      <c r="C64" s="289" t="s">
        <v>571</v>
      </c>
      <c r="D64" s="290"/>
      <c r="E64" s="559"/>
      <c r="F64" s="292"/>
      <c r="G64" s="291" t="str">
        <f>C64</f>
        <v>A.M.C. POLÍGONO INDUSTRIAL DE GÜIMAR</v>
      </c>
      <c r="H64" s="559"/>
      <c r="I64" s="108"/>
      <c r="K64" s="454"/>
      <c r="L64" s="456"/>
      <c r="M64" s="456"/>
      <c r="N64" s="456"/>
      <c r="O64" s="456"/>
      <c r="P64" s="456"/>
      <c r="Q64" s="456"/>
      <c r="R64" s="456"/>
      <c r="S64" s="456"/>
      <c r="T64" s="456"/>
      <c r="U64" s="456"/>
      <c r="V64" s="456"/>
      <c r="W64" s="456"/>
      <c r="X64" s="457"/>
    </row>
    <row r="65" spans="2:24" ht="22.9" customHeight="1">
      <c r="B65" s="119"/>
      <c r="C65" s="293" t="s">
        <v>572</v>
      </c>
      <c r="D65" s="294"/>
      <c r="E65" s="559"/>
      <c r="F65" s="292"/>
      <c r="G65" s="291" t="str">
        <f t="shared" ref="G65:G68" si="1">C65</f>
        <v>MERCATENERIFE, S.A.</v>
      </c>
      <c r="H65" s="559"/>
      <c r="I65" s="108"/>
      <c r="K65" s="454"/>
      <c r="L65" s="456"/>
      <c r="M65" s="456"/>
      <c r="N65" s="456"/>
      <c r="O65" s="456"/>
      <c r="P65" s="456"/>
      <c r="Q65" s="456"/>
      <c r="R65" s="456"/>
      <c r="S65" s="456"/>
      <c r="T65" s="456"/>
      <c r="U65" s="456"/>
      <c r="V65" s="456"/>
      <c r="W65" s="456"/>
      <c r="X65" s="457"/>
    </row>
    <row r="66" spans="2:24" ht="22.9" customHeight="1">
      <c r="B66" s="119"/>
      <c r="C66" s="293" t="s">
        <v>573</v>
      </c>
      <c r="D66" s="294"/>
      <c r="E66" s="559"/>
      <c r="F66" s="292"/>
      <c r="G66" s="291" t="str">
        <f t="shared" si="1"/>
        <v>POLÍGONO INDUSTRIAL DE GRANADILLA-PARQUE TECNOLÓGICO DE TENERIFE, S.A.</v>
      </c>
      <c r="H66" s="559"/>
      <c r="I66" s="108"/>
      <c r="K66" s="454"/>
      <c r="L66" s="456"/>
      <c r="M66" s="456"/>
      <c r="N66" s="456"/>
      <c r="O66" s="456"/>
      <c r="P66" s="456"/>
      <c r="Q66" s="456"/>
      <c r="R66" s="456"/>
      <c r="S66" s="456"/>
      <c r="T66" s="456"/>
      <c r="U66" s="456"/>
      <c r="V66" s="456"/>
      <c r="W66" s="456"/>
      <c r="X66" s="457"/>
    </row>
    <row r="67" spans="2:24" ht="22.9" customHeight="1">
      <c r="B67" s="119"/>
      <c r="C67" s="293" t="s">
        <v>574</v>
      </c>
      <c r="D67" s="294"/>
      <c r="E67" s="559"/>
      <c r="F67" s="292"/>
      <c r="G67" s="291" t="str">
        <f t="shared" si="1"/>
        <v>PARQUES EÓLICOS DE GRANADILLA, A.I.E.</v>
      </c>
      <c r="H67" s="559"/>
      <c r="I67" s="108"/>
      <c r="K67" s="454"/>
      <c r="L67" s="456"/>
      <c r="M67" s="456"/>
      <c r="N67" s="456"/>
      <c r="O67" s="456"/>
      <c r="P67" s="456"/>
      <c r="Q67" s="456"/>
      <c r="R67" s="456"/>
      <c r="S67" s="456"/>
      <c r="T67" s="456"/>
      <c r="U67" s="456"/>
      <c r="V67" s="456"/>
      <c r="W67" s="456"/>
      <c r="X67" s="457"/>
    </row>
    <row r="68" spans="2:24" ht="22.9" customHeight="1">
      <c r="B68" s="119"/>
      <c r="C68" s="293" t="s">
        <v>575</v>
      </c>
      <c r="D68" s="294"/>
      <c r="E68" s="559"/>
      <c r="F68" s="292"/>
      <c r="G68" s="291" t="str">
        <f t="shared" si="1"/>
        <v>EÓLICAS DE TENERIFE, A.I.E.</v>
      </c>
      <c r="H68" s="559"/>
      <c r="I68" s="108"/>
      <c r="K68" s="454"/>
      <c r="L68" s="456"/>
      <c r="M68" s="456"/>
      <c r="N68" s="456"/>
      <c r="O68" s="456"/>
      <c r="P68" s="456"/>
      <c r="Q68" s="456"/>
      <c r="R68" s="456"/>
      <c r="S68" s="456"/>
      <c r="T68" s="456"/>
      <c r="U68" s="456"/>
      <c r="V68" s="456"/>
      <c r="W68" s="456"/>
      <c r="X68" s="457"/>
    </row>
    <row r="69" spans="2:24" s="194" customFormat="1" ht="22.9" customHeight="1" thickBot="1">
      <c r="B69" s="192"/>
      <c r="C69" s="1193" t="s">
        <v>486</v>
      </c>
      <c r="D69" s="1195"/>
      <c r="E69" s="179">
        <f>SUM(E64:E68)</f>
        <v>0</v>
      </c>
      <c r="F69" s="155"/>
      <c r="G69" s="225" t="s">
        <v>486</v>
      </c>
      <c r="H69" s="179">
        <f>SUM(H64:H68)</f>
        <v>0</v>
      </c>
      <c r="I69" s="193"/>
      <c r="K69" s="454"/>
      <c r="L69" s="456"/>
      <c r="M69" s="456"/>
      <c r="N69" s="456"/>
      <c r="O69" s="456"/>
      <c r="P69" s="456"/>
      <c r="Q69" s="456"/>
      <c r="R69" s="456"/>
      <c r="S69" s="456"/>
      <c r="T69" s="456"/>
      <c r="U69" s="456"/>
      <c r="V69" s="456"/>
      <c r="W69" s="456"/>
      <c r="X69" s="457"/>
    </row>
    <row r="70" spans="2:24" ht="22.9" customHeight="1">
      <c r="B70" s="119"/>
      <c r="C70" s="221"/>
      <c r="D70" s="221"/>
      <c r="E70" s="222"/>
      <c r="F70" s="98"/>
      <c r="G70" s="222"/>
      <c r="H70" s="98"/>
      <c r="I70" s="108"/>
      <c r="K70" s="454"/>
      <c r="L70" s="456"/>
      <c r="M70" s="456"/>
      <c r="N70" s="456"/>
      <c r="O70" s="456"/>
      <c r="P70" s="456"/>
      <c r="Q70" s="456"/>
      <c r="R70" s="456"/>
      <c r="S70" s="456"/>
      <c r="T70" s="456"/>
      <c r="U70" s="456"/>
      <c r="V70" s="456"/>
      <c r="W70" s="456"/>
      <c r="X70" s="457"/>
    </row>
    <row r="71" spans="2:24" ht="22.9" customHeight="1">
      <c r="B71" s="119"/>
      <c r="C71" s="175" t="s">
        <v>416</v>
      </c>
      <c r="D71" s="221"/>
      <c r="E71" s="222"/>
      <c r="F71" s="98"/>
      <c r="G71" s="222"/>
      <c r="H71" s="98"/>
      <c r="I71" s="108"/>
      <c r="K71" s="454"/>
      <c r="L71" s="456"/>
      <c r="M71" s="456"/>
      <c r="N71" s="456"/>
      <c r="O71" s="456"/>
      <c r="P71" s="456"/>
      <c r="Q71" s="456"/>
      <c r="R71" s="456"/>
      <c r="S71" s="456"/>
      <c r="T71" s="456"/>
      <c r="U71" s="456"/>
      <c r="V71" s="456"/>
      <c r="W71" s="456"/>
      <c r="X71" s="457"/>
    </row>
    <row r="72" spans="2:24" ht="16.149999999999999" customHeight="1">
      <c r="B72" s="119"/>
      <c r="C72" s="173" t="s">
        <v>576</v>
      </c>
      <c r="D72" s="221"/>
      <c r="E72" s="222"/>
      <c r="F72" s="98"/>
      <c r="G72" s="222"/>
      <c r="H72" s="98"/>
      <c r="I72" s="108"/>
      <c r="K72" s="454"/>
      <c r="L72" s="456"/>
      <c r="M72" s="456"/>
      <c r="N72" s="456"/>
      <c r="O72" s="456"/>
      <c r="P72" s="456"/>
      <c r="Q72" s="456"/>
      <c r="R72" s="456"/>
      <c r="S72" s="456"/>
      <c r="T72" s="456"/>
      <c r="U72" s="456"/>
      <c r="V72" s="456"/>
      <c r="W72" s="456"/>
      <c r="X72" s="457"/>
    </row>
    <row r="73" spans="2:24" ht="16.149999999999999" customHeight="1">
      <c r="B73" s="119"/>
      <c r="C73" s="172"/>
      <c r="D73" s="221"/>
      <c r="E73" s="222"/>
      <c r="F73" s="222"/>
      <c r="G73" s="222"/>
      <c r="H73" s="98"/>
      <c r="I73" s="108"/>
      <c r="K73" s="454"/>
      <c r="L73" s="456"/>
      <c r="M73" s="456"/>
      <c r="N73" s="456"/>
      <c r="O73" s="456"/>
      <c r="P73" s="456"/>
      <c r="Q73" s="456"/>
      <c r="R73" s="456"/>
      <c r="S73" s="456"/>
      <c r="T73" s="456"/>
      <c r="U73" s="456"/>
      <c r="V73" s="456"/>
      <c r="W73" s="456"/>
      <c r="X73" s="457"/>
    </row>
    <row r="74" spans="2:24" ht="16.149999999999999" customHeight="1">
      <c r="B74" s="119"/>
      <c r="C74" s="260"/>
      <c r="D74" s="173"/>
      <c r="E74" s="174"/>
      <c r="F74" s="174"/>
      <c r="G74" s="174"/>
      <c r="H74" s="98"/>
      <c r="I74" s="108"/>
      <c r="K74" s="454"/>
      <c r="L74" s="456"/>
      <c r="M74" s="456"/>
      <c r="N74" s="456"/>
      <c r="O74" s="456"/>
      <c r="P74" s="456"/>
      <c r="Q74" s="456"/>
      <c r="R74" s="456"/>
      <c r="S74" s="456"/>
      <c r="T74" s="456"/>
      <c r="U74" s="456"/>
      <c r="V74" s="456"/>
      <c r="W74" s="456"/>
      <c r="X74" s="457"/>
    </row>
    <row r="75" spans="2:24" ht="22.9" customHeight="1" thickBot="1">
      <c r="B75" s="123"/>
      <c r="C75" s="1128"/>
      <c r="D75" s="1128"/>
      <c r="E75" s="57"/>
      <c r="F75" s="57"/>
      <c r="G75" s="57"/>
      <c r="H75" s="124"/>
      <c r="I75" s="125"/>
      <c r="K75" s="448"/>
      <c r="L75" s="449"/>
      <c r="M75" s="449"/>
      <c r="N75" s="449"/>
      <c r="O75" s="449"/>
      <c r="P75" s="449"/>
      <c r="Q75" s="449"/>
      <c r="R75" s="449"/>
      <c r="S75" s="449"/>
      <c r="T75" s="449"/>
      <c r="U75" s="449"/>
      <c r="V75" s="449"/>
      <c r="W75" s="449"/>
      <c r="X75" s="450"/>
    </row>
    <row r="76" spans="2:24" ht="22.9" customHeight="1">
      <c r="C76" s="106"/>
      <c r="D76" s="106"/>
      <c r="E76" s="107"/>
      <c r="F76" s="107"/>
      <c r="G76" s="107"/>
      <c r="H76" s="107"/>
    </row>
    <row r="77" spans="2:24" ht="12.75">
      <c r="C77" s="126" t="s">
        <v>77</v>
      </c>
      <c r="D77" s="106"/>
      <c r="E77" s="107"/>
      <c r="F77" s="107"/>
      <c r="G77" s="107"/>
      <c r="H77" s="97" t="s">
        <v>525</v>
      </c>
    </row>
    <row r="78" spans="2:24" ht="12.75">
      <c r="C78" s="127" t="s">
        <v>78</v>
      </c>
      <c r="D78" s="106"/>
      <c r="E78" s="107"/>
      <c r="F78" s="107"/>
      <c r="G78" s="107"/>
      <c r="H78" s="107"/>
    </row>
    <row r="79" spans="2:24" ht="12.75">
      <c r="C79" s="127" t="s">
        <v>79</v>
      </c>
      <c r="D79" s="106"/>
      <c r="E79" s="107"/>
      <c r="F79" s="107"/>
      <c r="G79" s="107"/>
      <c r="H79" s="107"/>
    </row>
    <row r="80" spans="2:24" ht="12.75">
      <c r="C80" s="127" t="s">
        <v>80</v>
      </c>
      <c r="D80" s="106"/>
      <c r="E80" s="107"/>
      <c r="F80" s="107"/>
      <c r="G80" s="107"/>
      <c r="H80" s="107"/>
    </row>
    <row r="81" spans="3:8" ht="12.75">
      <c r="C81" s="127" t="s">
        <v>81</v>
      </c>
      <c r="D81" s="106"/>
      <c r="E81" s="107"/>
      <c r="F81" s="107"/>
      <c r="G81" s="107"/>
      <c r="H81" s="107"/>
    </row>
    <row r="82" spans="3:8" ht="22.9" customHeight="1">
      <c r="C82" s="106"/>
      <c r="D82" s="106"/>
      <c r="E82" s="107"/>
      <c r="F82" s="107"/>
      <c r="G82" s="107"/>
      <c r="H82" s="107"/>
    </row>
    <row r="83" spans="3:8" ht="22.9" customHeight="1">
      <c r="C83" s="106"/>
      <c r="D83" s="106"/>
      <c r="E83" s="107"/>
      <c r="F83" s="107"/>
      <c r="G83" s="107"/>
      <c r="H83" s="107"/>
    </row>
    <row r="84" spans="3:8" ht="22.9" customHeight="1">
      <c r="C84" s="106"/>
      <c r="D84" s="106"/>
      <c r="E84" s="107"/>
      <c r="F84" s="107"/>
      <c r="G84" s="107"/>
      <c r="H84" s="107"/>
    </row>
    <row r="85" spans="3:8" ht="22.9" customHeight="1">
      <c r="C85" s="106"/>
      <c r="D85" s="106"/>
      <c r="E85" s="107"/>
      <c r="F85" s="107"/>
      <c r="G85" s="107"/>
      <c r="H85" s="107"/>
    </row>
    <row r="86" spans="3:8" ht="22.9" customHeight="1">
      <c r="E86" s="107"/>
      <c r="F86" s="107"/>
      <c r="G86" s="107"/>
      <c r="H86" s="107"/>
    </row>
  </sheetData>
  <sheetProtection password="E059" sheet="1" objects="1" scenarios="1"/>
  <mergeCells count="15">
    <mergeCell ref="H6:H7"/>
    <mergeCell ref="D9:H9"/>
    <mergeCell ref="C12:D12"/>
    <mergeCell ref="C69:D69"/>
    <mergeCell ref="C75:D75"/>
    <mergeCell ref="C13:H13"/>
    <mergeCell ref="C15:E15"/>
    <mergeCell ref="G15:H15"/>
    <mergeCell ref="C16:D16"/>
    <mergeCell ref="C56:D56"/>
    <mergeCell ref="C60:H60"/>
    <mergeCell ref="C62:E62"/>
    <mergeCell ref="G62:H62"/>
    <mergeCell ref="C63:D63"/>
    <mergeCell ref="C58:H58"/>
  </mergeCells>
  <phoneticPr fontId="22" type="noConversion"/>
  <printOptions horizontalCentered="1" verticalCentered="1"/>
  <pageMargins left="0.35629921259842523" right="0.35629921259842523" top="0.60629921259842523" bottom="0.60629921259842523" header="0.5" footer="0.5"/>
  <pageSetup paperSize="9" scale="41" orientation="portrait"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pageSetUpPr fitToPage="1"/>
  </sheetPr>
  <dimension ref="B2:M55"/>
  <sheetViews>
    <sheetView zoomScale="70" zoomScaleNormal="70" zoomScalePageLayoutView="70" workbookViewId="0">
      <pane ySplit="14" topLeftCell="A15" activePane="bottomLeft" state="frozen"/>
      <selection activeCell="H29" sqref="H29"/>
      <selection pane="bottomLeft" activeCell="H29" sqref="H29"/>
    </sheetView>
  </sheetViews>
  <sheetFormatPr baseColWidth="10" defaultColWidth="10.77734375" defaultRowHeight="22.9" customHeight="1"/>
  <cols>
    <col min="1" max="1" width="3" style="286" customWidth="1"/>
    <col min="2" max="2" width="3.21875" style="286" customWidth="1"/>
    <col min="3" max="3" width="12.21875" style="286" customWidth="1"/>
    <col min="4" max="4" width="68" style="286" customWidth="1"/>
    <col min="5" max="7" width="39.21875" style="286" customWidth="1"/>
    <col min="8" max="8" width="3.5546875" style="286" customWidth="1"/>
    <col min="9" max="9" width="10.77734375" style="286"/>
    <col min="10" max="12" width="4.21875" style="286" customWidth="1"/>
    <col min="13" max="13" width="11.5546875" style="286" bestFit="1" customWidth="1"/>
    <col min="14" max="16384" width="10.77734375" style="286"/>
  </cols>
  <sheetData>
    <row r="2" spans="2:13" ht="22.9" customHeight="1">
      <c r="D2" s="321" t="s">
        <v>31</v>
      </c>
    </row>
    <row r="3" spans="2:13" ht="22.9" customHeight="1">
      <c r="D3" s="321" t="s">
        <v>32</v>
      </c>
    </row>
    <row r="4" spans="2:13" ht="22.9" customHeight="1" thickBot="1"/>
    <row r="5" spans="2:13" ht="9" customHeight="1">
      <c r="B5" s="992" t="s">
        <v>849</v>
      </c>
      <c r="C5" s="377"/>
      <c r="D5" s="377"/>
      <c r="E5" s="377"/>
      <c r="F5" s="377"/>
      <c r="G5" s="377"/>
      <c r="H5" s="378"/>
    </row>
    <row r="6" spans="2:13" ht="30" customHeight="1">
      <c r="B6" s="379"/>
      <c r="C6" s="1" t="s">
        <v>0</v>
      </c>
      <c r="D6" s="23"/>
      <c r="E6" s="23"/>
      <c r="F6" s="376"/>
      <c r="G6" s="1105">
        <f>ejercicio</f>
        <v>2018</v>
      </c>
      <c r="H6" s="380"/>
    </row>
    <row r="7" spans="2:13" ht="30" customHeight="1">
      <c r="B7" s="379"/>
      <c r="C7" s="1" t="s">
        <v>1</v>
      </c>
      <c r="D7" s="376"/>
      <c r="E7" s="376"/>
      <c r="F7" s="376"/>
      <c r="G7" s="1105">
        <v>2018</v>
      </c>
      <c r="H7" s="380"/>
    </row>
    <row r="8" spans="2:13" ht="30" customHeight="1">
      <c r="B8" s="379"/>
      <c r="C8" s="376"/>
      <c r="D8" s="376"/>
      <c r="E8" s="376"/>
      <c r="F8" s="376"/>
      <c r="G8" s="16"/>
      <c r="H8" s="380"/>
      <c r="J8" s="381"/>
    </row>
    <row r="9" spans="2:13" ht="30" customHeight="1">
      <c r="B9" s="379"/>
      <c r="C9" s="39" t="s">
        <v>2</v>
      </c>
      <c r="D9" s="1110" t="str">
        <f>Entidad</f>
        <v>METROPOLITANO DE TENERIFE, S.A.</v>
      </c>
      <c r="E9" s="1110"/>
      <c r="F9" s="1110"/>
      <c r="G9" s="1110"/>
      <c r="H9" s="380"/>
    </row>
    <row r="10" spans="2:13" ht="7.15" customHeight="1">
      <c r="B10" s="379"/>
      <c r="C10" s="376"/>
      <c r="D10" s="376"/>
      <c r="E10" s="376"/>
      <c r="F10" s="376"/>
      <c r="G10" s="382"/>
      <c r="H10" s="380"/>
    </row>
    <row r="11" spans="2:13" s="12" customFormat="1" ht="30" customHeight="1">
      <c r="B11" s="24"/>
      <c r="C11" s="990" t="s">
        <v>848</v>
      </c>
      <c r="D11" s="991"/>
      <c r="E11" s="991"/>
      <c r="F11" s="991"/>
      <c r="G11" s="991"/>
      <c r="H11" s="25"/>
    </row>
    <row r="12" spans="2:13" ht="22.9" customHeight="1">
      <c r="B12" s="379"/>
      <c r="C12" s="376"/>
      <c r="D12" s="376"/>
      <c r="E12" s="376"/>
      <c r="F12" s="376"/>
      <c r="G12" s="376"/>
      <c r="H12" s="380"/>
    </row>
    <row r="13" spans="2:13" ht="22.9" customHeight="1">
      <c r="B13" s="379"/>
      <c r="C13" s="376"/>
      <c r="D13" s="376"/>
      <c r="E13" s="965" t="s">
        <v>805</v>
      </c>
      <c r="F13" s="965" t="s">
        <v>804</v>
      </c>
      <c r="G13" s="965" t="s">
        <v>806</v>
      </c>
      <c r="H13" s="380"/>
    </row>
    <row r="14" spans="2:13" ht="22.9" customHeight="1">
      <c r="B14" s="379"/>
      <c r="D14" s="376"/>
      <c r="E14" s="966">
        <f>ejercicio-2</f>
        <v>2016</v>
      </c>
      <c r="F14" s="966">
        <f>ejercicio-1</f>
        <v>2017</v>
      </c>
      <c r="G14" s="966">
        <f>ejercicio</f>
        <v>2018</v>
      </c>
      <c r="H14" s="380"/>
    </row>
    <row r="15" spans="2:13" s="971" customFormat="1" ht="30" customHeight="1">
      <c r="B15" s="967"/>
      <c r="C15" s="968" t="s">
        <v>675</v>
      </c>
      <c r="D15" s="968"/>
      <c r="E15" s="969" t="str">
        <f>IF(ROUND('FC-4_ACTIVO'!E94-'FC-4_PASIVO'!E86,2)=0,"Ok","Mal, revisa FC-4")</f>
        <v>Ok</v>
      </c>
      <c r="F15" s="969" t="str">
        <f>IF(ROUND('FC-4_ACTIVO'!F94-'FC-4_PASIVO'!F86,2)=0,"Ok","Mal, revisa FC-4")</f>
        <v>Ok</v>
      </c>
      <c r="G15" s="969" t="str">
        <f>IF(ROUND('FC-4_ACTIVO'!G94-'FC-4_PASIVO'!G86,2)=0,"Ok","Mal, revisa FC-4")</f>
        <v>Ok</v>
      </c>
      <c r="H15" s="970"/>
      <c r="J15" s="972">
        <f>IF(E15="Ok",0,1)</f>
        <v>0</v>
      </c>
      <c r="K15" s="972">
        <f>IF(F15="Ok",0,1)</f>
        <v>0</v>
      </c>
      <c r="L15" s="972">
        <f>IF(G15="Ok",0,1)</f>
        <v>0</v>
      </c>
      <c r="M15" s="972">
        <f>SUM(J15:L15)</f>
        <v>0</v>
      </c>
    </row>
    <row r="16" spans="2:13" s="971" customFormat="1" ht="30" customHeight="1">
      <c r="B16" s="967"/>
      <c r="C16" s="973" t="s">
        <v>677</v>
      </c>
      <c r="D16" s="973"/>
      <c r="E16" s="974" t="str">
        <f>IF(ROUND(('FC-3_CPyG'!E84-'FC-4_PASIVO'!E32),2)=0,"Ok","Mal, revisa FC-3 y FC-4")</f>
        <v>Ok</v>
      </c>
      <c r="F16" s="974" t="str">
        <f>IF(ROUND(('FC-3_CPyG'!F84-'FC-4_PASIVO'!F32),2)=0,"Ok","Mal, revisa FC-3 y FC-4")</f>
        <v>Ok</v>
      </c>
      <c r="G16" s="974" t="str">
        <f>IF(ROUND(('FC-3_CPyG'!G84-'FC-4_PASIVO'!G32),2)=0,"Ok","Mal, revisa FC-3 y FC-4")</f>
        <v>Ok</v>
      </c>
      <c r="H16" s="970"/>
      <c r="J16" s="972">
        <f t="shared" ref="J16:J21" si="0">IF(E16="Ok",0,1)</f>
        <v>0</v>
      </c>
      <c r="K16" s="972">
        <f t="shared" ref="K16:K21" si="1">IF(F16="Ok",0,1)</f>
        <v>0</v>
      </c>
      <c r="L16" s="972">
        <f t="shared" ref="L16:L22" si="2">IF(G16="Ok",0,1)</f>
        <v>0</v>
      </c>
      <c r="M16" s="972">
        <f t="shared" ref="M16:M41" si="3">SUM(J16:L16)</f>
        <v>0</v>
      </c>
    </row>
    <row r="17" spans="2:13" s="971" customFormat="1" ht="30" customHeight="1">
      <c r="B17" s="967"/>
      <c r="C17" s="973" t="s">
        <v>678</v>
      </c>
      <c r="D17" s="973"/>
      <c r="E17" s="974" t="str">
        <f>IF(ROUND('FC-5_EFE'!F92,2)=ROUND(('FC-5_EFE'!F95-'FC-5_EFE'!F94),2),"Ok","Mal, revisa FC-5")</f>
        <v>Ok</v>
      </c>
      <c r="F17" s="974" t="str">
        <f>IF(ROUND('FC-5_EFE'!G92,2)=ROUND(('FC-5_EFE'!G95-'FC-5_EFE'!G94),2),"Ok","Mal, revisa FC-5")</f>
        <v>Ok</v>
      </c>
      <c r="G17" s="974" t="str">
        <f>IF(ROUND('FC-5_EFE'!H92,2)=ROUND(('FC-5_EFE'!H95-'FC-5_EFE'!H94),2),"Ok","Mal, revisa FC-5")</f>
        <v>Ok</v>
      </c>
      <c r="H17" s="970"/>
      <c r="J17" s="972">
        <f t="shared" si="0"/>
        <v>0</v>
      </c>
      <c r="K17" s="972">
        <f t="shared" si="1"/>
        <v>0</v>
      </c>
      <c r="L17" s="972">
        <f t="shared" si="2"/>
        <v>0</v>
      </c>
      <c r="M17" s="972">
        <f t="shared" si="3"/>
        <v>0</v>
      </c>
    </row>
    <row r="18" spans="2:13" s="971" customFormat="1" ht="30" customHeight="1">
      <c r="B18" s="967"/>
      <c r="C18" s="975" t="s">
        <v>749</v>
      </c>
      <c r="D18" s="973"/>
      <c r="E18" s="974" t="str">
        <f>IF(ROUND('FC-3_CPyG'!E16-'FC-3_1_INF_ADIC_CPyG'!E43,2)=0,"Ok","Mal, revisa datos en FC-3 PyG y FC3.1")</f>
        <v>Ok</v>
      </c>
      <c r="F18" s="974" t="str">
        <f>IF(ROUND('FC-3_CPyG'!F16-'FC-3_1_INF_ADIC_CPyG'!H43,2)=0,"Ok","Mal, revisa datos en FC-3 PyG y FC3.1")</f>
        <v>Ok</v>
      </c>
      <c r="G18" s="974" t="str">
        <f>IF(ROUND('FC-3_CPyG'!G16-'FC-3_1_INF_ADIC_CPyG'!K43,2)=0,"Ok","Mal, revisa datos en FC-3 PyG y FC3.1")</f>
        <v>Ok</v>
      </c>
      <c r="H18" s="970"/>
      <c r="J18" s="972">
        <f t="shared" si="0"/>
        <v>0</v>
      </c>
      <c r="K18" s="972">
        <f t="shared" si="1"/>
        <v>0</v>
      </c>
      <c r="L18" s="972">
        <f t="shared" si="2"/>
        <v>0</v>
      </c>
      <c r="M18" s="972">
        <f t="shared" si="3"/>
        <v>0</v>
      </c>
    </row>
    <row r="19" spans="2:13" s="971" customFormat="1" ht="30" customHeight="1">
      <c r="B19" s="967"/>
      <c r="C19" s="975" t="s">
        <v>752</v>
      </c>
      <c r="D19" s="973"/>
      <c r="E19" s="974" t="str">
        <f>IF(ROUND('FC-3_CPyG'!E48-'FC-3_1_INF_ADIC_CPyG'!E47-'FC-3_1_INF_ADIC_CPyG'!E55,2)=0,"Ok","Mal, revisa datos en FC-3 CPYG y FC-3.1")</f>
        <v>Ok</v>
      </c>
      <c r="F19" s="974" t="str">
        <f>IF(ROUND('FC-3_CPyG'!F48-'FC-3_1_INF_ADIC_CPyG'!F47-'FC-3_1_INF_ADIC_CPyG'!F55,2)=0,"Ok","Mal, revisa datos en FC-3 CPYG y FC-3.1")</f>
        <v>Ok</v>
      </c>
      <c r="G19" s="974" t="str">
        <f>IF(ROUND('FC-3_CPyG'!G48-'FC-3_1_INF_ADIC_CPyG'!G47-'FC-3_1_INF_ADIC_CPyG'!G55,2)=0,"Ok","Mal, revisa datos en FC-3 CPYG y FC-3.1")</f>
        <v>Ok</v>
      </c>
      <c r="H19" s="970"/>
      <c r="J19" s="972">
        <f t="shared" si="0"/>
        <v>0</v>
      </c>
      <c r="K19" s="972">
        <f t="shared" si="1"/>
        <v>0</v>
      </c>
      <c r="L19" s="972">
        <f t="shared" si="2"/>
        <v>0</v>
      </c>
      <c r="M19" s="972">
        <f t="shared" si="3"/>
        <v>0</v>
      </c>
    </row>
    <row r="20" spans="2:13" s="971" customFormat="1" ht="30" customHeight="1">
      <c r="B20" s="967"/>
      <c r="C20" s="975" t="s">
        <v>753</v>
      </c>
      <c r="D20" s="973"/>
      <c r="E20" s="974" t="str">
        <f>IF(ROUND('FC-3_CPyG'!E28-'FC-3_1_INF_ADIC_CPyG'!E71,2)=0,"Ok","Mal, revísa datos en FC-3 y FC-3.1")</f>
        <v>Ok</v>
      </c>
      <c r="F20" s="974" t="str">
        <f>IF(ROUND('FC-3_CPyG'!F28-'FC-3_1_INF_ADIC_CPyG'!F71,2)=0,"Ok","Mal, revísa datos en FC-3 y FC-3.1")</f>
        <v>Ok</v>
      </c>
      <c r="G20" s="974" t="str">
        <f>IF(ROUND('FC-3_CPyG'!G28-'FC-3_1_INF_ADIC_CPyG'!G71,2)=0,"Ok","Mal, revísa datos en FC-3 y FC-3.1")</f>
        <v>Ok</v>
      </c>
      <c r="H20" s="970"/>
      <c r="J20" s="972">
        <f t="shared" si="0"/>
        <v>0</v>
      </c>
      <c r="K20" s="972">
        <f t="shared" si="1"/>
        <v>0</v>
      </c>
      <c r="L20" s="972">
        <f t="shared" si="2"/>
        <v>0</v>
      </c>
      <c r="M20" s="972">
        <f t="shared" si="3"/>
        <v>0</v>
      </c>
    </row>
    <row r="21" spans="2:13" s="971" customFormat="1" ht="30" customHeight="1">
      <c r="B21" s="967"/>
      <c r="C21" s="975" t="s">
        <v>754</v>
      </c>
      <c r="D21" s="973"/>
      <c r="E21" s="974" t="str">
        <f>IF(ROUND('FC-3_CPyG'!E29-'FC-3_1_INF_ADIC_CPyG'!E75,2)=0,"Ok","Mal, revisa datos en FC-3 CPyG y FC-3.1")</f>
        <v>Ok</v>
      </c>
      <c r="F21" s="974" t="str">
        <f>IF(ROUND('FC-3_CPyG'!F29-'FC-3_1_INF_ADIC_CPyG'!F75,2)=0,"Ok","Mal, revisa datos en FC-3 CPyG y FC-3.1")</f>
        <v>Ok</v>
      </c>
      <c r="G21" s="974" t="str">
        <f>IF(ROUND('FC-3_CPyG'!G29-'FC-3_1_INF_ADIC_CPyG'!G75,2)=0,"Ok","Mal, revisa datos en FC-3 CPyG y FC-3.1")</f>
        <v>Ok</v>
      </c>
      <c r="H21" s="970"/>
      <c r="J21" s="972">
        <f t="shared" si="0"/>
        <v>0</v>
      </c>
      <c r="K21" s="972">
        <f t="shared" si="1"/>
        <v>0</v>
      </c>
      <c r="L21" s="972">
        <f t="shared" si="2"/>
        <v>0</v>
      </c>
      <c r="M21" s="972">
        <f t="shared" si="3"/>
        <v>0</v>
      </c>
    </row>
    <row r="22" spans="2:13" s="971" customFormat="1" ht="30" customHeight="1">
      <c r="B22" s="967"/>
      <c r="C22" s="975" t="s">
        <v>748</v>
      </c>
      <c r="D22" s="973"/>
      <c r="E22" s="976"/>
      <c r="F22" s="976"/>
      <c r="G22" s="974" t="str">
        <f>IF(ROUND('FC-6_Inversiones'!G46-SUM('FC-6_Inversiones'!H46:M46),2)=0,"Ok","Mal, revisa totales FC-6")</f>
        <v>Ok</v>
      </c>
      <c r="H22" s="970"/>
      <c r="J22" s="972"/>
      <c r="K22" s="972"/>
      <c r="L22" s="972">
        <f t="shared" si="2"/>
        <v>0</v>
      </c>
      <c r="M22" s="972">
        <f t="shared" si="3"/>
        <v>0</v>
      </c>
    </row>
    <row r="23" spans="2:13" s="971" customFormat="1" ht="30" customHeight="1">
      <c r="B23" s="967"/>
      <c r="C23" s="973" t="s">
        <v>680</v>
      </c>
      <c r="D23" s="973"/>
      <c r="E23" s="976"/>
      <c r="F23" s="974" t="str">
        <f>IF(ROUND('FC-4_ACTIVO'!F17-'FC-7_INF'!M15,2)=0,"Ok","Mal, revisa FC-4 ACTIVO y FC-7")</f>
        <v>Ok</v>
      </c>
      <c r="G23" s="974" t="str">
        <f>IF(ROUND('FC-4_ACTIVO'!G17-'FC-7_INF'!M26,2)=0,"Ok","Mal, revisa FC-4 ACTIVO y FC-7")</f>
        <v>Ok</v>
      </c>
      <c r="H23" s="970"/>
      <c r="J23" s="972"/>
      <c r="K23" s="972">
        <f t="shared" ref="K23:K27" si="4">IF(F23="Ok",0,1)</f>
        <v>0</v>
      </c>
      <c r="L23" s="972">
        <f t="shared" ref="L23:L27" si="5">IF(G23="Ok",0,1)</f>
        <v>0</v>
      </c>
      <c r="M23" s="972">
        <f t="shared" si="3"/>
        <v>0</v>
      </c>
    </row>
    <row r="24" spans="2:13" s="971" customFormat="1" ht="30" customHeight="1">
      <c r="B24" s="967"/>
      <c r="C24" s="973" t="s">
        <v>679</v>
      </c>
      <c r="D24" s="973"/>
      <c r="E24" s="976"/>
      <c r="F24" s="974" t="str">
        <f>IF(ROUND('FC-4_ACTIVO'!F26-'FC-7_INF'!M16-'FC-7_INF'!M17,2)=0,"Ok","Mal, revisa FC-4 ACTIVO y FC-7")</f>
        <v>Ok</v>
      </c>
      <c r="G24" s="974" t="str">
        <f>IF(ROUND('FC-4_ACTIVO'!G26-'FC-7_INF'!M27-'FC-7_INF'!M28,2)=0,"Ok","Mal, revisa FC-4 ACTIVO y FC-7")</f>
        <v>Ok</v>
      </c>
      <c r="H24" s="970"/>
      <c r="J24" s="972"/>
      <c r="K24" s="972">
        <f t="shared" si="4"/>
        <v>0</v>
      </c>
      <c r="L24" s="972">
        <f t="shared" si="5"/>
        <v>0</v>
      </c>
      <c r="M24" s="972">
        <f t="shared" si="3"/>
        <v>0</v>
      </c>
    </row>
    <row r="25" spans="2:13" s="971" customFormat="1" ht="30" customHeight="1">
      <c r="B25" s="967"/>
      <c r="C25" s="973" t="s">
        <v>681</v>
      </c>
      <c r="D25" s="973"/>
      <c r="E25" s="976"/>
      <c r="F25" s="974" t="str">
        <f>IF(ROUND(('FC-4_ACTIVO'!F30-'FC-7_INF'!M18-'FC-7_INF'!M19),2)=0,"Ok","Mal, revisa FC-4 ACTIVO y FC-7")</f>
        <v>Ok</v>
      </c>
      <c r="G25" s="974" t="str">
        <f>IF(ROUND(('FC-4_ACTIVO'!G30-'FC-7_INF'!M29-'FC-7_INF'!M30),2)=0,"Ok","Mal, revisa FC-4 ACTIVO y FC-7")</f>
        <v>Ok</v>
      </c>
      <c r="H25" s="970"/>
      <c r="J25" s="972"/>
      <c r="K25" s="972">
        <f t="shared" si="4"/>
        <v>0</v>
      </c>
      <c r="L25" s="972">
        <f t="shared" si="5"/>
        <v>0</v>
      </c>
      <c r="M25" s="972">
        <f t="shared" si="3"/>
        <v>0</v>
      </c>
    </row>
    <row r="26" spans="2:13" s="971" customFormat="1" ht="30" customHeight="1">
      <c r="B26" s="967"/>
      <c r="C26" s="975" t="s">
        <v>726</v>
      </c>
      <c r="D26" s="973"/>
      <c r="E26" s="976"/>
      <c r="F26" s="977" t="str">
        <f>IF(ROUND('FC-7_INF'!M22-'FC-4_ACTIVO'!F52,2)=0,"Ok","Mal, revisa FC-4 ACTIVO y FC-7")</f>
        <v>Ok</v>
      </c>
      <c r="G26" s="977" t="str">
        <f>IF(ROUND('FC-7_INF'!M33-'FC-4_ACTIVO'!G52,2)=0,"Ok","Mal, revisa FC-4 ACTIVO y FC-7")</f>
        <v>Ok</v>
      </c>
      <c r="H26" s="970"/>
      <c r="J26" s="972"/>
      <c r="K26" s="972">
        <f t="shared" si="4"/>
        <v>0</v>
      </c>
      <c r="L26" s="972">
        <f t="shared" si="5"/>
        <v>0</v>
      </c>
      <c r="M26" s="972">
        <f t="shared" si="3"/>
        <v>0</v>
      </c>
    </row>
    <row r="27" spans="2:13" s="971" customFormat="1" ht="30" customHeight="1">
      <c r="B27" s="967"/>
      <c r="C27" s="975" t="s">
        <v>727</v>
      </c>
      <c r="D27" s="973"/>
      <c r="E27" s="976"/>
      <c r="F27" s="974" t="str">
        <f>IF(ROUND('FC-3_CPyG'!F40-'FC-7_INF'!I20,2)=0,"Ok","Mal, revisa datos en FC-3 y FC-7")</f>
        <v>Ok</v>
      </c>
      <c r="G27" s="974" t="str">
        <f>IF(ROUND('FC-3_CPyG'!G40-'FC-7_INF'!I31,2)=0,"Ok","Mal, revisa datos en FC-3 y FC-7")</f>
        <v>Ok</v>
      </c>
      <c r="H27" s="970"/>
      <c r="J27" s="972"/>
      <c r="K27" s="972">
        <f t="shared" si="4"/>
        <v>0</v>
      </c>
      <c r="L27" s="972">
        <f t="shared" si="5"/>
        <v>0</v>
      </c>
      <c r="M27" s="972">
        <f t="shared" si="3"/>
        <v>0</v>
      </c>
    </row>
    <row r="28" spans="2:13" s="971" customFormat="1" ht="30" customHeight="1">
      <c r="B28" s="967"/>
      <c r="C28" s="978" t="s">
        <v>803</v>
      </c>
      <c r="D28" s="973"/>
      <c r="E28" s="976"/>
      <c r="F28" s="976"/>
      <c r="G28" s="974" t="str">
        <f>IF(ROUND('FC-6_Inversiones'!I46-'FC-7_INF'!F31,2)=0,"Ok","Mal, revisa I46 en FC-6 y F31 en FC-7")</f>
        <v>Ok</v>
      </c>
      <c r="H28" s="970"/>
      <c r="J28" s="972"/>
      <c r="K28" s="972"/>
      <c r="L28" s="972"/>
      <c r="M28" s="972"/>
    </row>
    <row r="29" spans="2:13" s="971" customFormat="1" ht="30" customHeight="1">
      <c r="B29" s="967"/>
      <c r="C29" s="979" t="s">
        <v>842</v>
      </c>
      <c r="D29" s="979"/>
      <c r="E29" s="980"/>
      <c r="F29" s="980"/>
      <c r="G29" s="981" t="str">
        <f>IF(ROUND(('FC-4_ACTIVO'!G34+'FC-4_ACTIVO'!G76)-'FC-8_INV_FINANCIERAS'!J25,2)=0,"Ok","Mal, revisa datos en FC-4 Activo y FC-8")</f>
        <v>Ok</v>
      </c>
      <c r="H29" s="970"/>
      <c r="J29" s="972"/>
      <c r="K29" s="972"/>
      <c r="L29" s="972"/>
      <c r="M29" s="972"/>
    </row>
    <row r="30" spans="2:13" s="971" customFormat="1" ht="30" customHeight="1">
      <c r="B30" s="967"/>
      <c r="C30" s="979" t="s">
        <v>844</v>
      </c>
      <c r="D30" s="979"/>
      <c r="E30" s="980"/>
      <c r="F30" s="980"/>
      <c r="G30" s="981" t="str">
        <f>IF(ROUND((SUM('FC-4_ACTIVO'!G35:G39)+SUM('FC-4_ACTIVO'!G77:G81))-('FC-8_INV_FINANCIERAS'!J34),2)=0,"Ok","Mal, revisa datos en FC-4 Activo y FC-8")</f>
        <v>Ok</v>
      </c>
      <c r="H30" s="970"/>
      <c r="J30" s="972"/>
      <c r="K30" s="972"/>
      <c r="L30" s="972"/>
      <c r="M30" s="972"/>
    </row>
    <row r="31" spans="2:13" s="971" customFormat="1" ht="30" customHeight="1">
      <c r="B31" s="967"/>
      <c r="C31" s="979" t="s">
        <v>843</v>
      </c>
      <c r="D31" s="979"/>
      <c r="E31" s="980"/>
      <c r="F31" s="980"/>
      <c r="G31" s="981" t="str">
        <f>IF(ROUND(('FC-4_ACTIVO'!G41+'FC-4_ACTIVO'!G83)-'FC-8_INV_FINANCIERAS'!J49,2)=0,"Ok","Mal, revisa datos en FC-4 ACTIVO y FC-8")</f>
        <v>Ok</v>
      </c>
      <c r="H31" s="970"/>
      <c r="J31" s="972"/>
      <c r="K31" s="972"/>
      <c r="L31" s="972"/>
      <c r="M31" s="972"/>
    </row>
    <row r="32" spans="2:13" s="971" customFormat="1" ht="30" customHeight="1">
      <c r="B32" s="967"/>
      <c r="C32" s="979" t="s">
        <v>845</v>
      </c>
      <c r="D32" s="979"/>
      <c r="E32" s="980"/>
      <c r="F32" s="980"/>
      <c r="G32" s="981" t="str">
        <f>IF(ROUND((SUM('FC-4_ACTIVO'!G42:G46)+SUM('FC-4_ACTIVO'!G84:G88))-'FC-8_INV_FINANCIERAS'!J58,2)=0,"Ok","Mal, revisa datos en FC-4 Activo y en FC-8")</f>
        <v>Ok</v>
      </c>
      <c r="H32" s="970"/>
      <c r="J32" s="972"/>
      <c r="K32" s="972"/>
      <c r="L32" s="972"/>
      <c r="M32" s="972"/>
    </row>
    <row r="33" spans="2:13" s="971" customFormat="1" ht="30" customHeight="1">
      <c r="B33" s="967"/>
      <c r="C33" s="975" t="s">
        <v>730</v>
      </c>
      <c r="D33" s="973"/>
      <c r="E33" s="976"/>
      <c r="F33" s="974" t="str">
        <f>IF(ROUND('FC-4_PASIVO'!F41-'FC-9_TRANS_SUBV'!F35,2)=0,"Ok","Mal, revisa FC-4 PASIVO y FC-9")</f>
        <v>Ok</v>
      </c>
      <c r="G33" s="974" t="str">
        <f>IF(ROUND('FC-4_PASIVO'!G41-'FC-9_TRANS_SUBV'!G35,2)=0,"Ok","Mal, revisa FC-4 PASIVO y FC-9")</f>
        <v>Ok</v>
      </c>
      <c r="H33" s="970"/>
      <c r="J33" s="972"/>
      <c r="K33" s="972">
        <f t="shared" ref="K33:K37" si="6">IF(F33="Ok",0,1)</f>
        <v>0</v>
      </c>
      <c r="L33" s="972">
        <f t="shared" ref="L33:L41" si="7">IF(G33="Ok",0,1)</f>
        <v>0</v>
      </c>
      <c r="M33" s="972">
        <f t="shared" si="3"/>
        <v>0</v>
      </c>
    </row>
    <row r="34" spans="2:13" s="1033" customFormat="1" ht="30" customHeight="1">
      <c r="B34" s="1034"/>
      <c r="C34" s="1035" t="s">
        <v>886</v>
      </c>
      <c r="D34" s="1035"/>
      <c r="E34" s="1036"/>
      <c r="F34" s="1037" t="str">
        <f>IF(ROUND('FC-3_CPyG'!F41+('FC-9_TRANS_SUBV'!F33),2)=0,"Ok","Mal, revisa datos FC-3 epígr. A) 9. y FC-9 celda F33")</f>
        <v>Ok</v>
      </c>
      <c r="G34" s="1037" t="str">
        <f>IF(ROUND('FC-3_CPyG'!G41+('FC-9_TRANS_SUBV'!G33),2)=0,"Ok","Mal, revisa datos FC-3 epígr. A) 9. y FC-9 celda G33")</f>
        <v>Ok</v>
      </c>
      <c r="H34" s="1038"/>
      <c r="J34" s="972"/>
      <c r="K34" s="972"/>
      <c r="L34" s="972"/>
      <c r="M34" s="972"/>
    </row>
    <row r="35" spans="2:13" s="971" customFormat="1" ht="30" customHeight="1">
      <c r="B35" s="967"/>
      <c r="C35" s="975" t="s">
        <v>731</v>
      </c>
      <c r="D35" s="973"/>
      <c r="E35" s="976"/>
      <c r="F35" s="974" t="str">
        <f>IF('FC-3_CPyG'!F29-'FC-9_TRANS_SUBV'!F50=0,"Ok","Mal, revisa dato en FC-3 y FC-9")</f>
        <v>Ok</v>
      </c>
      <c r="G35" s="974" t="str">
        <f>IF('FC-3_CPyG'!G29-'FC-9_TRANS_SUBV'!G50=0,"Ok","Mal, revisa dato en FC-3 y FC-9")</f>
        <v>Ok</v>
      </c>
      <c r="H35" s="970"/>
      <c r="J35" s="972"/>
      <c r="K35" s="972">
        <f t="shared" si="6"/>
        <v>0</v>
      </c>
      <c r="L35" s="972">
        <f t="shared" si="7"/>
        <v>0</v>
      </c>
      <c r="M35" s="972">
        <f t="shared" si="3"/>
        <v>0</v>
      </c>
    </row>
    <row r="36" spans="2:13" s="971" customFormat="1" ht="30" customHeight="1">
      <c r="B36" s="967"/>
      <c r="C36" s="975" t="s">
        <v>734</v>
      </c>
      <c r="D36" s="973"/>
      <c r="E36" s="976"/>
      <c r="F36" s="974" t="str">
        <f>IF('FC-4_PASIVO'!F31-'FC-4_PASIVO'!E31='FC-9_TRANS_SUBV'!F65,"Ok","Mal, revísa FC-4 PASIVO y FC-9")</f>
        <v>Ok</v>
      </c>
      <c r="G36" s="974" t="str">
        <f>IF('FC-4_PASIVO'!G31-'FC-4_PASIVO'!F31='FC-9_TRANS_SUBV'!G65,"Ok","Mal, revísa FC-4 PASIVO y FC-9")</f>
        <v>Ok</v>
      </c>
      <c r="H36" s="970"/>
      <c r="J36" s="972"/>
      <c r="K36" s="972">
        <f t="shared" si="6"/>
        <v>0</v>
      </c>
      <c r="L36" s="972">
        <f t="shared" si="7"/>
        <v>0</v>
      </c>
      <c r="M36" s="972">
        <f t="shared" si="3"/>
        <v>0</v>
      </c>
    </row>
    <row r="37" spans="2:13" s="971" customFormat="1" ht="30" customHeight="1">
      <c r="B37" s="967"/>
      <c r="C37" s="975" t="s">
        <v>736</v>
      </c>
      <c r="D37" s="973"/>
      <c r="E37" s="976"/>
      <c r="F37" s="974" t="str">
        <f>IF(ROUND(('FC-4_PASIVO'!F51+'FC-4_PASIVO'!F52+'FC-4_PASIVO'!F68+'FC-4_PASIVO'!F69)-('FC-10_DEUDAS'!L42+'FC-10_DEUDAS'!L74),2)=0,"Ok","Mal, revisa datos en FC-4 PASIVO y FC-10")</f>
        <v>Ok</v>
      </c>
      <c r="G37" s="974" t="str">
        <f>IF(ROUND(('FC-4_PASIVO'!G51+'FC-4_PASIVO'!G52+'FC-4_PASIVO'!G68+'FC-4_PASIVO'!G69)-('FC-10_DEUDAS'!Q42+'FC-10_DEUDAS'!Q74),2)=0,"Ok","Mal, revisa datos en FC-4 PASIVO y FC-10")</f>
        <v>Ok</v>
      </c>
      <c r="H37" s="970"/>
      <c r="J37" s="972"/>
      <c r="K37" s="972">
        <f t="shared" si="6"/>
        <v>0</v>
      </c>
      <c r="L37" s="972">
        <f t="shared" si="7"/>
        <v>0</v>
      </c>
      <c r="M37" s="972">
        <f t="shared" si="3"/>
        <v>0</v>
      </c>
    </row>
    <row r="38" spans="2:13" s="971" customFormat="1" ht="30" customHeight="1">
      <c r="B38" s="967"/>
      <c r="C38" s="975" t="s">
        <v>737</v>
      </c>
      <c r="D38" s="973"/>
      <c r="E38" s="976"/>
      <c r="F38" s="976"/>
      <c r="G38" s="974" t="str">
        <f>IF(ROUND('FC-10_DEUDAS'!Q74-'FC-10_DEUDAS'!R74-'FC-10_DEUDAS'!S74,2)=0,"Ok","Mal, revisa datos, celdas Q74=R74+S74 en FC-10")</f>
        <v>Ok</v>
      </c>
      <c r="H38" s="970"/>
      <c r="J38" s="972"/>
      <c r="K38" s="972"/>
      <c r="L38" s="972">
        <f t="shared" si="7"/>
        <v>0</v>
      </c>
      <c r="M38" s="972">
        <f t="shared" si="3"/>
        <v>0</v>
      </c>
    </row>
    <row r="39" spans="2:13" s="971" customFormat="1" ht="30" customHeight="1">
      <c r="B39" s="967"/>
      <c r="C39" s="982" t="s">
        <v>738</v>
      </c>
      <c r="D39" s="983"/>
      <c r="E39" s="984"/>
      <c r="F39" s="984"/>
      <c r="G39" s="985" t="str">
        <f>IF(ROUND(-'FC-3_CPyG'!G30-'FC-13_PERSONAL'!F31,2)=0,"Ok","Mal, revísa dato en FC-3 CPyG y FC-13")</f>
        <v>Ok</v>
      </c>
      <c r="H39" s="970"/>
      <c r="J39" s="972"/>
      <c r="K39" s="972"/>
      <c r="L39" s="972">
        <f t="shared" si="7"/>
        <v>0</v>
      </c>
      <c r="M39" s="972">
        <f t="shared" si="3"/>
        <v>0</v>
      </c>
    </row>
    <row r="40" spans="2:13" ht="30" customHeight="1">
      <c r="B40" s="379"/>
      <c r="C40" s="376"/>
      <c r="D40" s="376"/>
      <c r="E40" s="376"/>
      <c r="F40" s="376"/>
      <c r="G40" s="376"/>
      <c r="H40" s="380"/>
      <c r="J40" s="887"/>
      <c r="K40" s="887"/>
      <c r="L40" s="887"/>
      <c r="M40" s="887"/>
    </row>
    <row r="41" spans="2:13" ht="30" customHeight="1">
      <c r="B41" s="379"/>
      <c r="C41" s="986" t="s">
        <v>740</v>
      </c>
      <c r="D41" s="987"/>
      <c r="E41" s="988"/>
      <c r="F41" s="988"/>
      <c r="G41" s="989" t="str">
        <f>IF(ROUND('FC-3_CPyG'!G84-'FC-92_PRESUPUESTO_PYG'!E59,2)=0,"Ok","Mal, revisa resultado en F-3 y FC-92")</f>
        <v>Ok</v>
      </c>
      <c r="H41" s="380"/>
      <c r="J41" s="887"/>
      <c r="K41" s="887"/>
      <c r="L41" s="887">
        <f t="shared" si="7"/>
        <v>0</v>
      </c>
      <c r="M41" s="887">
        <f t="shared" si="3"/>
        <v>0</v>
      </c>
    </row>
    <row r="42" spans="2:13" ht="22.9" customHeight="1" thickBot="1">
      <c r="B42" s="383"/>
      <c r="C42" s="384"/>
      <c r="D42" s="384"/>
      <c r="E42" s="384"/>
      <c r="F42" s="385"/>
      <c r="G42" s="384"/>
      <c r="H42" s="386"/>
    </row>
    <row r="43" spans="2:13" ht="22.9" customHeight="1">
      <c r="F43" s="387"/>
    </row>
    <row r="44" spans="2:13" s="42" customFormat="1" ht="12.75">
      <c r="C44" s="37" t="s">
        <v>77</v>
      </c>
      <c r="F44" s="43"/>
      <c r="G44" s="41"/>
    </row>
    <row r="45" spans="2:13" s="42" customFormat="1" ht="12.75">
      <c r="C45" s="38" t="s">
        <v>78</v>
      </c>
      <c r="F45" s="43"/>
    </row>
    <row r="46" spans="2:13" s="42" customFormat="1" ht="12.75">
      <c r="C46" s="38" t="s">
        <v>79</v>
      </c>
      <c r="F46" s="43"/>
    </row>
    <row r="47" spans="2:13" s="42" customFormat="1" ht="12.75">
      <c r="C47" s="38" t="s">
        <v>80</v>
      </c>
      <c r="F47" s="43"/>
    </row>
    <row r="48" spans="2:13" s="42" customFormat="1" ht="12.75">
      <c r="C48" s="38" t="s">
        <v>81</v>
      </c>
      <c r="F48" s="43"/>
    </row>
    <row r="49" spans="6:6" ht="22.9" customHeight="1">
      <c r="F49" s="387"/>
    </row>
    <row r="50" spans="6:6" ht="22.9" customHeight="1">
      <c r="F50" s="387"/>
    </row>
    <row r="51" spans="6:6" ht="22.9" customHeight="1">
      <c r="F51" s="387"/>
    </row>
    <row r="52" spans="6:6" ht="22.9" customHeight="1">
      <c r="F52" s="387"/>
    </row>
    <row r="53" spans="6:6" ht="22.9" customHeight="1">
      <c r="F53" s="387"/>
    </row>
    <row r="54" spans="6:6" ht="22.9" customHeight="1">
      <c r="F54" s="387"/>
    </row>
    <row r="55" spans="6:6" ht="22.9" customHeight="1">
      <c r="F55" s="387"/>
    </row>
  </sheetData>
  <sheetProtection password="E059" sheet="1" objects="1" scenarios="1"/>
  <mergeCells count="2">
    <mergeCell ref="G6:G7"/>
    <mergeCell ref="D9:G9"/>
  </mergeCells>
  <phoneticPr fontId="22" type="noConversion"/>
  <printOptions horizontalCentered="1" verticalCentered="1"/>
  <pageMargins left="0.35629921259842523" right="0.35629921259842523" top="0.60629921259842523" bottom="0.60629921259842523" header="0.5" footer="0.5"/>
  <pageSetup paperSize="9" scale="47" orientation="landscape" horizontalDpi="4294967292" verticalDpi="4294967292"/>
  <drawing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W46"/>
  <sheetViews>
    <sheetView zoomScale="70" zoomScaleNormal="70" zoomScalePageLayoutView="85" workbookViewId="0">
      <selection activeCell="D51" sqref="D51"/>
    </sheetView>
  </sheetViews>
  <sheetFormatPr baseColWidth="10" defaultColWidth="10.77734375" defaultRowHeight="22.9" customHeight="1"/>
  <cols>
    <col min="1" max="2" width="3.21875" style="99" customWidth="1"/>
    <col min="3" max="3" width="13.5546875" style="99" customWidth="1"/>
    <col min="4" max="4" width="99.5546875" style="99" customWidth="1"/>
    <col min="5" max="7" width="17.77734375" style="100" customWidth="1"/>
    <col min="8" max="8" width="3.21875" style="99" customWidth="1"/>
    <col min="9" max="16384" width="10.77734375" style="99"/>
  </cols>
  <sheetData>
    <row r="2" spans="2:23" ht="22.9" customHeight="1">
      <c r="D2" s="221" t="s">
        <v>379</v>
      </c>
    </row>
    <row r="3" spans="2:23" ht="22.9" customHeight="1">
      <c r="D3" s="221" t="s">
        <v>380</v>
      </c>
    </row>
    <row r="4" spans="2:23" ht="22.9" customHeight="1" thickBot="1"/>
    <row r="5" spans="2:23" ht="9" customHeight="1">
      <c r="B5" s="101"/>
      <c r="C5" s="102"/>
      <c r="D5" s="102"/>
      <c r="E5" s="103"/>
      <c r="F5" s="103"/>
      <c r="G5" s="103"/>
      <c r="H5" s="104"/>
      <c r="J5" s="451"/>
      <c r="K5" s="452"/>
      <c r="L5" s="452"/>
      <c r="M5" s="452"/>
      <c r="N5" s="452"/>
      <c r="O5" s="452"/>
      <c r="P5" s="452"/>
      <c r="Q5" s="452"/>
      <c r="R5" s="452"/>
      <c r="S5" s="452"/>
      <c r="T5" s="452"/>
      <c r="U5" s="452"/>
      <c r="V5" s="452"/>
      <c r="W5" s="453"/>
    </row>
    <row r="6" spans="2:23" ht="30" customHeight="1">
      <c r="B6" s="105"/>
      <c r="C6" s="69" t="s">
        <v>0</v>
      </c>
      <c r="D6" s="106"/>
      <c r="E6" s="107"/>
      <c r="F6" s="107"/>
      <c r="G6" s="1105">
        <f>ejercicio</f>
        <v>2018</v>
      </c>
      <c r="H6" s="108"/>
      <c r="J6" s="454"/>
      <c r="K6" s="455" t="s">
        <v>707</v>
      </c>
      <c r="L6" s="455"/>
      <c r="M6" s="455"/>
      <c r="N6" s="455"/>
      <c r="O6" s="456"/>
      <c r="P6" s="456"/>
      <c r="Q6" s="456"/>
      <c r="R6" s="456"/>
      <c r="S6" s="456"/>
      <c r="T6" s="456"/>
      <c r="U6" s="456"/>
      <c r="V6" s="456"/>
      <c r="W6" s="457"/>
    </row>
    <row r="7" spans="2:23" ht="30" customHeight="1">
      <c r="B7" s="105"/>
      <c r="C7" s="69" t="s">
        <v>1</v>
      </c>
      <c r="D7" s="106"/>
      <c r="E7" s="107"/>
      <c r="F7" s="107"/>
      <c r="G7" s="1105"/>
      <c r="H7" s="108"/>
      <c r="J7" s="454"/>
      <c r="K7" s="456"/>
      <c r="L7" s="456"/>
      <c r="M7" s="456"/>
      <c r="N7" s="456"/>
      <c r="O7" s="456"/>
      <c r="P7" s="456"/>
      <c r="Q7" s="456"/>
      <c r="R7" s="456"/>
      <c r="S7" s="456"/>
      <c r="T7" s="456"/>
      <c r="U7" s="456"/>
      <c r="V7" s="456"/>
      <c r="W7" s="457"/>
    </row>
    <row r="8" spans="2:23" ht="30" customHeight="1">
      <c r="B8" s="105"/>
      <c r="C8" s="109"/>
      <c r="D8" s="106"/>
      <c r="E8" s="107"/>
      <c r="F8" s="107"/>
      <c r="G8" s="110"/>
      <c r="H8" s="108"/>
      <c r="J8" s="454"/>
      <c r="K8" s="456"/>
      <c r="L8" s="456"/>
      <c r="M8" s="456"/>
      <c r="N8" s="456"/>
      <c r="O8" s="456"/>
      <c r="P8" s="456"/>
      <c r="Q8" s="456"/>
      <c r="R8" s="456"/>
      <c r="S8" s="456"/>
      <c r="T8" s="456"/>
      <c r="U8" s="456"/>
      <c r="V8" s="456"/>
      <c r="W8" s="457"/>
    </row>
    <row r="9" spans="2:23" s="194" customFormat="1" ht="30" customHeight="1">
      <c r="B9" s="192"/>
      <c r="C9" s="56" t="s">
        <v>2</v>
      </c>
      <c r="D9" s="1129" t="str">
        <f>Entidad</f>
        <v>METROPOLITANO DE TENERIFE, S.A.</v>
      </c>
      <c r="E9" s="1129"/>
      <c r="F9" s="1129"/>
      <c r="G9" s="1129"/>
      <c r="H9" s="193"/>
      <c r="J9" s="454"/>
      <c r="K9" s="456"/>
      <c r="L9" s="456"/>
      <c r="M9" s="456"/>
      <c r="N9" s="456"/>
      <c r="O9" s="456"/>
      <c r="P9" s="456"/>
      <c r="Q9" s="456"/>
      <c r="R9" s="456"/>
      <c r="S9" s="456"/>
      <c r="T9" s="456"/>
      <c r="U9" s="456"/>
      <c r="V9" s="456"/>
      <c r="W9" s="457"/>
    </row>
    <row r="10" spans="2:23" ht="7.15" customHeight="1">
      <c r="B10" s="105"/>
      <c r="C10" s="106"/>
      <c r="D10" s="106"/>
      <c r="E10" s="107"/>
      <c r="F10" s="107"/>
      <c r="G10" s="107"/>
      <c r="H10" s="108"/>
      <c r="J10" s="454"/>
      <c r="K10" s="456"/>
      <c r="L10" s="456"/>
      <c r="M10" s="456"/>
      <c r="N10" s="456"/>
      <c r="O10" s="456"/>
      <c r="P10" s="456"/>
      <c r="Q10" s="456"/>
      <c r="R10" s="456"/>
      <c r="S10" s="456"/>
      <c r="T10" s="456"/>
      <c r="U10" s="456"/>
      <c r="V10" s="456"/>
      <c r="W10" s="457"/>
    </row>
    <row r="11" spans="2:23" s="117" customFormat="1" ht="30" customHeight="1">
      <c r="B11" s="113"/>
      <c r="C11" s="114" t="s">
        <v>577</v>
      </c>
      <c r="D11" s="114"/>
      <c r="E11" s="115"/>
      <c r="F11" s="115"/>
      <c r="G11" s="115"/>
      <c r="H11" s="116"/>
      <c r="J11" s="454"/>
      <c r="K11" s="456"/>
      <c r="L11" s="456"/>
      <c r="M11" s="456"/>
      <c r="N11" s="456"/>
      <c r="O11" s="456"/>
      <c r="P11" s="456"/>
      <c r="Q11" s="456"/>
      <c r="R11" s="456"/>
      <c r="S11" s="456"/>
      <c r="T11" s="456"/>
      <c r="U11" s="456"/>
      <c r="V11" s="456"/>
      <c r="W11" s="457"/>
    </row>
    <row r="12" spans="2:23" s="117" customFormat="1" ht="30" customHeight="1">
      <c r="B12" s="113"/>
      <c r="C12" s="1170"/>
      <c r="D12" s="1170"/>
      <c r="E12" s="98"/>
      <c r="F12" s="98"/>
      <c r="G12" s="98"/>
      <c r="H12" s="116"/>
      <c r="J12" s="454"/>
      <c r="K12" s="456"/>
      <c r="L12" s="456"/>
      <c r="M12" s="456"/>
      <c r="N12" s="456"/>
      <c r="O12" s="456"/>
      <c r="P12" s="456"/>
      <c r="Q12" s="456"/>
      <c r="R12" s="456"/>
      <c r="S12" s="456"/>
      <c r="T12" s="456"/>
      <c r="U12" s="456"/>
      <c r="V12" s="456"/>
      <c r="W12" s="457"/>
    </row>
    <row r="13" spans="2:23" ht="28.9" customHeight="1">
      <c r="B13" s="119"/>
      <c r="C13" s="68" t="s">
        <v>578</v>
      </c>
      <c r="D13" s="159"/>
      <c r="E13" s="98"/>
      <c r="F13" s="98"/>
      <c r="G13" s="262"/>
      <c r="H13" s="108"/>
      <c r="J13" s="454"/>
      <c r="K13" s="456"/>
      <c r="L13" s="456"/>
      <c r="M13" s="456"/>
      <c r="N13" s="456"/>
      <c r="O13" s="456"/>
      <c r="P13" s="456"/>
      <c r="Q13" s="456"/>
      <c r="R13" s="456"/>
      <c r="S13" s="456"/>
      <c r="T13" s="456"/>
      <c r="U13" s="456"/>
      <c r="V13" s="456"/>
      <c r="W13" s="457"/>
    </row>
    <row r="14" spans="2:23" ht="9" customHeight="1">
      <c r="B14" s="119"/>
      <c r="C14" s="159"/>
      <c r="D14" s="159"/>
      <c r="E14" s="98"/>
      <c r="F14" s="98"/>
      <c r="G14" s="98"/>
      <c r="H14" s="108"/>
      <c r="J14" s="454"/>
      <c r="K14" s="456"/>
      <c r="L14" s="456"/>
      <c r="M14" s="456"/>
      <c r="N14" s="456"/>
      <c r="O14" s="456"/>
      <c r="P14" s="456"/>
      <c r="Q14" s="456"/>
      <c r="R14" s="456"/>
      <c r="S14" s="456"/>
      <c r="T14" s="456"/>
      <c r="U14" s="456"/>
      <c r="V14" s="456"/>
      <c r="W14" s="457"/>
    </row>
    <row r="15" spans="2:23" s="247" customFormat="1" ht="22.9" customHeight="1">
      <c r="B15" s="248"/>
      <c r="C15" s="202"/>
      <c r="D15" s="249"/>
      <c r="E15" s="202" t="s">
        <v>484</v>
      </c>
      <c r="F15" s="202" t="s">
        <v>580</v>
      </c>
      <c r="G15" s="202"/>
      <c r="H15" s="250"/>
      <c r="J15" s="454"/>
      <c r="K15" s="456"/>
      <c r="L15" s="456"/>
      <c r="M15" s="456"/>
      <c r="N15" s="456"/>
      <c r="O15" s="456"/>
      <c r="P15" s="456"/>
      <c r="Q15" s="456"/>
      <c r="R15" s="456"/>
      <c r="S15" s="456"/>
      <c r="T15" s="456"/>
      <c r="U15" s="456"/>
      <c r="V15" s="456"/>
      <c r="W15" s="457"/>
    </row>
    <row r="16" spans="2:23" s="247" customFormat="1" ht="24" customHeight="1">
      <c r="B16" s="248"/>
      <c r="C16" s="253" t="s">
        <v>447</v>
      </c>
      <c r="D16" s="254" t="s">
        <v>457</v>
      </c>
      <c r="E16" s="253" t="s">
        <v>579</v>
      </c>
      <c r="F16" s="253">
        <f>ejercicio</f>
        <v>2018</v>
      </c>
      <c r="G16" s="253" t="s">
        <v>581</v>
      </c>
      <c r="H16" s="250"/>
      <c r="J16" s="454"/>
      <c r="K16" s="456"/>
      <c r="L16" s="456"/>
      <c r="M16" s="456"/>
      <c r="N16" s="456"/>
      <c r="O16" s="456"/>
      <c r="P16" s="456"/>
      <c r="Q16" s="456"/>
      <c r="R16" s="456"/>
      <c r="S16" s="456"/>
      <c r="T16" s="456"/>
      <c r="U16" s="456"/>
      <c r="V16" s="456"/>
      <c r="W16" s="457"/>
    </row>
    <row r="17" spans="2:23" ht="22.9" customHeight="1">
      <c r="B17" s="119"/>
      <c r="C17" s="545"/>
      <c r="D17" s="539"/>
      <c r="E17" s="535"/>
      <c r="F17" s="535"/>
      <c r="G17" s="637"/>
      <c r="H17" s="108"/>
      <c r="J17" s="454"/>
      <c r="K17" s="456"/>
      <c r="L17" s="456"/>
      <c r="M17" s="456"/>
      <c r="N17" s="456"/>
      <c r="O17" s="456"/>
      <c r="P17" s="456"/>
      <c r="Q17" s="456"/>
      <c r="R17" s="456"/>
      <c r="S17" s="456"/>
      <c r="T17" s="456"/>
      <c r="U17" s="456"/>
      <c r="V17" s="456"/>
      <c r="W17" s="457"/>
    </row>
    <row r="18" spans="2:23" ht="22.9" customHeight="1">
      <c r="B18" s="119"/>
      <c r="C18" s="545"/>
      <c r="D18" s="539"/>
      <c r="E18" s="535"/>
      <c r="F18" s="535"/>
      <c r="G18" s="638"/>
      <c r="H18" s="108"/>
      <c r="J18" s="454"/>
      <c r="K18" s="456"/>
      <c r="L18" s="456"/>
      <c r="M18" s="456"/>
      <c r="N18" s="456"/>
      <c r="O18" s="456"/>
      <c r="P18" s="456"/>
      <c r="Q18" s="456"/>
      <c r="R18" s="456"/>
      <c r="S18" s="456"/>
      <c r="T18" s="456"/>
      <c r="U18" s="456"/>
      <c r="V18" s="456"/>
      <c r="W18" s="457"/>
    </row>
    <row r="19" spans="2:23" ht="22.9" customHeight="1">
      <c r="B19" s="119"/>
      <c r="C19" s="545"/>
      <c r="D19" s="539"/>
      <c r="E19" s="535"/>
      <c r="F19" s="535"/>
      <c r="G19" s="638"/>
      <c r="H19" s="108"/>
      <c r="J19" s="454"/>
      <c r="K19" s="456"/>
      <c r="L19" s="456"/>
      <c r="M19" s="456"/>
      <c r="N19" s="456"/>
      <c r="O19" s="456"/>
      <c r="P19" s="456"/>
      <c r="Q19" s="456"/>
      <c r="R19" s="456"/>
      <c r="S19" s="456"/>
      <c r="T19" s="456"/>
      <c r="U19" s="456"/>
      <c r="V19" s="456"/>
      <c r="W19" s="457"/>
    </row>
    <row r="20" spans="2:23" ht="22.9" customHeight="1">
      <c r="B20" s="119"/>
      <c r="C20" s="545"/>
      <c r="D20" s="539"/>
      <c r="E20" s="535"/>
      <c r="F20" s="535"/>
      <c r="G20" s="638"/>
      <c r="H20" s="108"/>
      <c r="J20" s="454"/>
      <c r="K20" s="456"/>
      <c r="L20" s="456"/>
      <c r="M20" s="456"/>
      <c r="N20" s="456"/>
      <c r="O20" s="456"/>
      <c r="P20" s="456"/>
      <c r="Q20" s="456"/>
      <c r="R20" s="456"/>
      <c r="S20" s="456"/>
      <c r="T20" s="456"/>
      <c r="U20" s="456"/>
      <c r="V20" s="456"/>
      <c r="W20" s="457"/>
    </row>
    <row r="21" spans="2:23" ht="22.9" customHeight="1">
      <c r="B21" s="119"/>
      <c r="C21" s="545"/>
      <c r="D21" s="539"/>
      <c r="E21" s="535"/>
      <c r="F21" s="535"/>
      <c r="G21" s="638"/>
      <c r="H21" s="108"/>
      <c r="J21" s="454"/>
      <c r="K21" s="456"/>
      <c r="L21" s="456"/>
      <c r="M21" s="456"/>
      <c r="N21" s="456"/>
      <c r="O21" s="456"/>
      <c r="P21" s="456"/>
      <c r="Q21" s="456"/>
      <c r="R21" s="456"/>
      <c r="S21" s="456"/>
      <c r="T21" s="456"/>
      <c r="U21" s="456"/>
      <c r="V21" s="456"/>
      <c r="W21" s="457"/>
    </row>
    <row r="22" spans="2:23" ht="22.9" customHeight="1">
      <c r="B22" s="119"/>
      <c r="C22" s="545"/>
      <c r="D22" s="539"/>
      <c r="E22" s="535"/>
      <c r="F22" s="535"/>
      <c r="G22" s="638"/>
      <c r="H22" s="108"/>
      <c r="J22" s="454"/>
      <c r="K22" s="456"/>
      <c r="L22" s="456"/>
      <c r="M22" s="456"/>
      <c r="N22" s="456"/>
      <c r="O22" s="456"/>
      <c r="P22" s="456"/>
      <c r="Q22" s="456"/>
      <c r="R22" s="456"/>
      <c r="S22" s="456"/>
      <c r="T22" s="456"/>
      <c r="U22" s="456"/>
      <c r="V22" s="456"/>
      <c r="W22" s="457"/>
    </row>
    <row r="23" spans="2:23" ht="22.9" customHeight="1">
      <c r="B23" s="119"/>
      <c r="C23" s="545"/>
      <c r="D23" s="539"/>
      <c r="E23" s="535"/>
      <c r="F23" s="535"/>
      <c r="G23" s="638"/>
      <c r="H23" s="108"/>
      <c r="J23" s="454"/>
      <c r="K23" s="456"/>
      <c r="L23" s="456"/>
      <c r="M23" s="456"/>
      <c r="N23" s="456"/>
      <c r="O23" s="456"/>
      <c r="P23" s="456"/>
      <c r="Q23" s="456"/>
      <c r="R23" s="456"/>
      <c r="S23" s="456"/>
      <c r="T23" s="456"/>
      <c r="U23" s="456"/>
      <c r="V23" s="456"/>
      <c r="W23" s="457"/>
    </row>
    <row r="24" spans="2:23" ht="22.9" customHeight="1">
      <c r="B24" s="119"/>
      <c r="C24" s="545"/>
      <c r="D24" s="539"/>
      <c r="E24" s="535"/>
      <c r="F24" s="535"/>
      <c r="G24" s="638"/>
      <c r="H24" s="108"/>
      <c r="J24" s="454"/>
      <c r="K24" s="456"/>
      <c r="L24" s="456"/>
      <c r="M24" s="456"/>
      <c r="N24" s="456"/>
      <c r="O24" s="456"/>
      <c r="P24" s="456"/>
      <c r="Q24" s="456"/>
      <c r="R24" s="456"/>
      <c r="S24" s="456"/>
      <c r="T24" s="456"/>
      <c r="U24" s="456"/>
      <c r="V24" s="456"/>
      <c r="W24" s="457"/>
    </row>
    <row r="25" spans="2:23" ht="22.9" customHeight="1">
      <c r="B25" s="119"/>
      <c r="C25" s="545"/>
      <c r="D25" s="539"/>
      <c r="E25" s="535"/>
      <c r="F25" s="535"/>
      <c r="G25" s="638"/>
      <c r="H25" s="108"/>
      <c r="J25" s="454"/>
      <c r="K25" s="456"/>
      <c r="L25" s="456"/>
      <c r="M25" s="456"/>
      <c r="N25" s="456"/>
      <c r="O25" s="456"/>
      <c r="P25" s="456"/>
      <c r="Q25" s="456"/>
      <c r="R25" s="456"/>
      <c r="S25" s="456"/>
      <c r="T25" s="456"/>
      <c r="U25" s="456"/>
      <c r="V25" s="456"/>
      <c r="W25" s="457"/>
    </row>
    <row r="26" spans="2:23" ht="22.9" customHeight="1">
      <c r="B26" s="119"/>
      <c r="C26" s="545"/>
      <c r="D26" s="539"/>
      <c r="E26" s="535"/>
      <c r="F26" s="535"/>
      <c r="G26" s="638"/>
      <c r="H26" s="108"/>
      <c r="J26" s="454"/>
      <c r="K26" s="456"/>
      <c r="L26" s="456"/>
      <c r="M26" s="456"/>
      <c r="N26" s="456"/>
      <c r="O26" s="456"/>
      <c r="P26" s="456"/>
      <c r="Q26" s="456"/>
      <c r="R26" s="456"/>
      <c r="S26" s="456"/>
      <c r="T26" s="456"/>
      <c r="U26" s="456"/>
      <c r="V26" s="456"/>
      <c r="W26" s="457"/>
    </row>
    <row r="27" spans="2:23" ht="22.9" customHeight="1">
      <c r="B27" s="119"/>
      <c r="C27" s="545"/>
      <c r="D27" s="539"/>
      <c r="E27" s="535"/>
      <c r="F27" s="535"/>
      <c r="G27" s="638"/>
      <c r="H27" s="108"/>
      <c r="J27" s="454"/>
      <c r="K27" s="456"/>
      <c r="L27" s="456"/>
      <c r="M27" s="456"/>
      <c r="N27" s="456"/>
      <c r="O27" s="456"/>
      <c r="P27" s="456"/>
      <c r="Q27" s="456"/>
      <c r="R27" s="456"/>
      <c r="S27" s="456"/>
      <c r="T27" s="456"/>
      <c r="U27" s="456"/>
      <c r="V27" s="456"/>
      <c r="W27" s="457"/>
    </row>
    <row r="28" spans="2:23" ht="22.9" customHeight="1">
      <c r="B28" s="119"/>
      <c r="C28" s="545"/>
      <c r="D28" s="539"/>
      <c r="E28" s="535"/>
      <c r="F28" s="535"/>
      <c r="G28" s="638"/>
      <c r="H28" s="108"/>
      <c r="J28" s="454"/>
      <c r="K28" s="456"/>
      <c r="L28" s="456"/>
      <c r="M28" s="456"/>
      <c r="N28" s="456"/>
      <c r="O28" s="456"/>
      <c r="P28" s="456"/>
      <c r="Q28" s="456"/>
      <c r="R28" s="456"/>
      <c r="S28" s="456"/>
      <c r="T28" s="456"/>
      <c r="U28" s="456"/>
      <c r="V28" s="456"/>
      <c r="W28" s="457"/>
    </row>
    <row r="29" spans="2:23" ht="22.9" customHeight="1">
      <c r="B29" s="119"/>
      <c r="C29" s="545"/>
      <c r="D29" s="539"/>
      <c r="E29" s="535"/>
      <c r="F29" s="535"/>
      <c r="G29" s="638"/>
      <c r="H29" s="108"/>
      <c r="J29" s="454"/>
      <c r="K29" s="456"/>
      <c r="L29" s="456"/>
      <c r="M29" s="456"/>
      <c r="N29" s="456"/>
      <c r="O29" s="456"/>
      <c r="P29" s="456"/>
      <c r="Q29" s="456"/>
      <c r="R29" s="456"/>
      <c r="S29" s="456"/>
      <c r="T29" s="456"/>
      <c r="U29" s="456"/>
      <c r="V29" s="456"/>
      <c r="W29" s="457"/>
    </row>
    <row r="30" spans="2:23" ht="22.9" customHeight="1">
      <c r="B30" s="119"/>
      <c r="C30" s="545"/>
      <c r="D30" s="539"/>
      <c r="E30" s="535"/>
      <c r="F30" s="535"/>
      <c r="G30" s="638"/>
      <c r="H30" s="108"/>
      <c r="J30" s="454"/>
      <c r="K30" s="456"/>
      <c r="L30" s="456"/>
      <c r="M30" s="456"/>
      <c r="N30" s="456"/>
      <c r="O30" s="456"/>
      <c r="P30" s="456"/>
      <c r="Q30" s="456"/>
      <c r="R30" s="456"/>
      <c r="S30" s="456"/>
      <c r="T30" s="456"/>
      <c r="U30" s="456"/>
      <c r="V30" s="456"/>
      <c r="W30" s="457"/>
    </row>
    <row r="31" spans="2:23" ht="22.9" customHeight="1">
      <c r="B31" s="119"/>
      <c r="C31" s="546"/>
      <c r="D31" s="540"/>
      <c r="E31" s="536"/>
      <c r="F31" s="536"/>
      <c r="G31" s="639"/>
      <c r="H31" s="108"/>
      <c r="J31" s="454"/>
      <c r="K31" s="456"/>
      <c r="L31" s="456"/>
      <c r="M31" s="456"/>
      <c r="N31" s="456"/>
      <c r="O31" s="456"/>
      <c r="P31" s="456"/>
      <c r="Q31" s="456"/>
      <c r="R31" s="456"/>
      <c r="S31" s="456"/>
      <c r="T31" s="456"/>
      <c r="U31" s="456"/>
      <c r="V31" s="456"/>
      <c r="W31" s="457"/>
    </row>
    <row r="32" spans="2:23" ht="22.9" customHeight="1">
      <c r="B32" s="119"/>
      <c r="C32" s="547"/>
      <c r="D32" s="541"/>
      <c r="E32" s="538"/>
      <c r="F32" s="538"/>
      <c r="G32" s="640"/>
      <c r="H32" s="108"/>
      <c r="J32" s="454"/>
      <c r="K32" s="456"/>
      <c r="L32" s="456"/>
      <c r="M32" s="456"/>
      <c r="N32" s="456"/>
      <c r="O32" s="456"/>
      <c r="P32" s="456"/>
      <c r="Q32" s="456"/>
      <c r="R32" s="456"/>
      <c r="S32" s="456"/>
      <c r="T32" s="456"/>
      <c r="U32" s="456"/>
      <c r="V32" s="456"/>
      <c r="W32" s="457"/>
    </row>
    <row r="33" spans="2:23" ht="22.9" customHeight="1" thickBot="1">
      <c r="B33" s="119"/>
      <c r="C33" s="221"/>
      <c r="D33" s="225" t="s">
        <v>405</v>
      </c>
      <c r="E33" s="179">
        <f>SUM(E17:E32)</f>
        <v>0</v>
      </c>
      <c r="F33" s="179">
        <f>SUM(F17:F32)</f>
        <v>0</v>
      </c>
      <c r="G33" s="98"/>
      <c r="H33" s="108"/>
      <c r="J33" s="454"/>
      <c r="K33" s="456"/>
      <c r="L33" s="456"/>
      <c r="M33" s="456"/>
      <c r="N33" s="456"/>
      <c r="O33" s="456"/>
      <c r="P33" s="456"/>
      <c r="Q33" s="456"/>
      <c r="R33" s="456"/>
      <c r="S33" s="456"/>
      <c r="T33" s="456"/>
      <c r="U33" s="456"/>
      <c r="V33" s="456"/>
      <c r="W33" s="457"/>
    </row>
    <row r="34" spans="2:23" ht="22.9" customHeight="1">
      <c r="B34" s="119"/>
      <c r="C34" s="221"/>
      <c r="D34" s="221"/>
      <c r="E34" s="222"/>
      <c r="F34" s="222"/>
      <c r="G34" s="98"/>
      <c r="H34" s="108"/>
      <c r="J34" s="454"/>
      <c r="K34" s="456"/>
      <c r="L34" s="456"/>
      <c r="M34" s="456"/>
      <c r="N34" s="456"/>
      <c r="O34" s="456"/>
      <c r="P34" s="456"/>
      <c r="Q34" s="456"/>
      <c r="R34" s="456"/>
      <c r="S34" s="456"/>
      <c r="T34" s="456"/>
      <c r="U34" s="456"/>
      <c r="V34" s="456"/>
      <c r="W34" s="457"/>
    </row>
    <row r="35" spans="2:23" ht="22.9" customHeight="1" thickBot="1">
      <c r="B35" s="123"/>
      <c r="C35" s="1128"/>
      <c r="D35" s="1128"/>
      <c r="E35" s="57"/>
      <c r="F35" s="57"/>
      <c r="G35" s="124"/>
      <c r="H35" s="125"/>
      <c r="J35" s="448"/>
      <c r="K35" s="449"/>
      <c r="L35" s="449"/>
      <c r="M35" s="449"/>
      <c r="N35" s="449"/>
      <c r="O35" s="449"/>
      <c r="P35" s="449"/>
      <c r="Q35" s="449"/>
      <c r="R35" s="449"/>
      <c r="S35" s="449"/>
      <c r="T35" s="449"/>
      <c r="U35" s="449"/>
      <c r="V35" s="449"/>
      <c r="W35" s="450"/>
    </row>
    <row r="36" spans="2:23" ht="22.9" customHeight="1">
      <c r="C36" s="106"/>
      <c r="D36" s="106"/>
      <c r="E36" s="107"/>
      <c r="F36" s="107"/>
      <c r="G36" s="107"/>
    </row>
    <row r="37" spans="2:23" ht="12.75">
      <c r="C37" s="126" t="s">
        <v>77</v>
      </c>
      <c r="D37" s="106"/>
      <c r="E37" s="107"/>
      <c r="F37" s="107"/>
      <c r="G37" s="97" t="s">
        <v>526</v>
      </c>
    </row>
    <row r="38" spans="2:23" ht="12.75">
      <c r="C38" s="127" t="s">
        <v>78</v>
      </c>
      <c r="D38" s="106"/>
      <c r="E38" s="107"/>
      <c r="F38" s="107"/>
      <c r="G38" s="107"/>
    </row>
    <row r="39" spans="2:23" ht="12.75">
      <c r="C39" s="127" t="s">
        <v>79</v>
      </c>
      <c r="D39" s="106"/>
      <c r="E39" s="107"/>
      <c r="F39" s="107"/>
      <c r="G39" s="107"/>
    </row>
    <row r="40" spans="2:23" ht="12.75">
      <c r="C40" s="127" t="s">
        <v>80</v>
      </c>
      <c r="D40" s="106"/>
      <c r="E40" s="107"/>
      <c r="F40" s="107"/>
      <c r="G40" s="107"/>
    </row>
    <row r="41" spans="2:23" ht="12.75">
      <c r="C41" s="127" t="s">
        <v>81</v>
      </c>
      <c r="D41" s="106"/>
      <c r="E41" s="107"/>
      <c r="F41" s="107"/>
      <c r="G41" s="107"/>
    </row>
    <row r="42" spans="2:23" ht="22.9" customHeight="1">
      <c r="C42" s="106"/>
      <c r="D42" s="106"/>
      <c r="E42" s="107"/>
      <c r="F42" s="107"/>
      <c r="G42" s="107"/>
    </row>
    <row r="43" spans="2:23" ht="22.9" customHeight="1">
      <c r="C43" s="106"/>
      <c r="D43" s="106"/>
      <c r="E43" s="107"/>
      <c r="F43" s="107"/>
      <c r="G43" s="107"/>
    </row>
    <row r="44" spans="2:23" ht="22.9" customHeight="1">
      <c r="C44" s="106"/>
      <c r="D44" s="106"/>
      <c r="E44" s="107"/>
      <c r="F44" s="107"/>
      <c r="G44" s="107"/>
    </row>
    <row r="45" spans="2:23" ht="22.9" customHeight="1">
      <c r="C45" s="106"/>
      <c r="D45" s="106"/>
      <c r="E45" s="107"/>
      <c r="F45" s="107"/>
      <c r="G45" s="107"/>
    </row>
    <row r="46" spans="2:23" ht="22.9" customHeight="1">
      <c r="E46" s="107"/>
      <c r="F46" s="107"/>
      <c r="G46" s="107"/>
    </row>
  </sheetData>
  <sheetProtection password="E059" sheet="1" objects="1" scenarios="1" insertRows="0"/>
  <mergeCells count="4">
    <mergeCell ref="C35:D35"/>
    <mergeCell ref="G6:G7"/>
    <mergeCell ref="D9:G9"/>
    <mergeCell ref="C12:D12"/>
  </mergeCells>
  <phoneticPr fontId="22" type="noConversion"/>
  <printOptions horizontalCentered="1" verticalCentered="1"/>
  <pageMargins left="0.35629921259842523" right="0.35629921259842523" top="0.60629921259842523" bottom="0.60629921259842523" header="0.5" footer="0.5"/>
  <pageSetup paperSize="9" scale="46" orientation="portrait" horizontalDpi="4294967292" verticalDpi="4294967292" r:id="rId1"/>
  <drawing r:id="rId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W60"/>
  <sheetViews>
    <sheetView topLeftCell="A25" zoomScale="70" zoomScaleNormal="70" zoomScalePageLayoutView="70" workbookViewId="0">
      <selection activeCell="H29" sqref="H29"/>
    </sheetView>
  </sheetViews>
  <sheetFormatPr baseColWidth="10" defaultColWidth="10.77734375" defaultRowHeight="22.9" customHeight="1"/>
  <cols>
    <col min="1" max="2" width="3.21875" style="99" customWidth="1"/>
    <col min="3" max="3" width="13.21875" style="99" customWidth="1"/>
    <col min="4" max="4" width="68" style="99" customWidth="1"/>
    <col min="5" max="5" width="17.77734375" style="100" customWidth="1"/>
    <col min="6" max="6" width="44.77734375" style="100" customWidth="1"/>
    <col min="7" max="7" width="10.77734375" style="100" customWidth="1"/>
    <col min="8" max="8" width="3.21875" style="99" customWidth="1"/>
    <col min="9" max="16384" width="10.77734375" style="99"/>
  </cols>
  <sheetData>
    <row r="2" spans="2:23" ht="22.9" customHeight="1">
      <c r="D2" s="221" t="s">
        <v>379</v>
      </c>
    </row>
    <row r="3" spans="2:23" ht="22.9" customHeight="1">
      <c r="D3" s="221" t="s">
        <v>380</v>
      </c>
    </row>
    <row r="4" spans="2:23" ht="22.9" customHeight="1" thickBot="1"/>
    <row r="5" spans="2:23" ht="9" customHeight="1">
      <c r="B5" s="101"/>
      <c r="C5" s="102"/>
      <c r="D5" s="102"/>
      <c r="E5" s="103"/>
      <c r="F5" s="103"/>
      <c r="G5" s="103"/>
      <c r="H5" s="104"/>
      <c r="J5" s="451"/>
      <c r="K5" s="452"/>
      <c r="L5" s="452"/>
      <c r="M5" s="452"/>
      <c r="N5" s="452"/>
      <c r="O5" s="452"/>
      <c r="P5" s="452"/>
      <c r="Q5" s="452"/>
      <c r="R5" s="452"/>
      <c r="S5" s="452"/>
      <c r="T5" s="452"/>
      <c r="U5" s="452"/>
      <c r="V5" s="452"/>
      <c r="W5" s="453"/>
    </row>
    <row r="6" spans="2:23" ht="30" customHeight="1">
      <c r="B6" s="105"/>
      <c r="C6" s="69" t="s">
        <v>0</v>
      </c>
      <c r="D6" s="106"/>
      <c r="E6" s="107"/>
      <c r="F6" s="107"/>
      <c r="G6" s="1105">
        <f>ejercicio</f>
        <v>2018</v>
      </c>
      <c r="H6" s="108"/>
      <c r="J6" s="454"/>
      <c r="K6" s="455" t="s">
        <v>707</v>
      </c>
      <c r="L6" s="455"/>
      <c r="M6" s="455"/>
      <c r="N6" s="455"/>
      <c r="O6" s="456"/>
      <c r="P6" s="456"/>
      <c r="Q6" s="456"/>
      <c r="R6" s="456"/>
      <c r="S6" s="456"/>
      <c r="T6" s="456"/>
      <c r="U6" s="456"/>
      <c r="V6" s="456"/>
      <c r="W6" s="457"/>
    </row>
    <row r="7" spans="2:23" ht="30" customHeight="1">
      <c r="B7" s="105"/>
      <c r="C7" s="69" t="s">
        <v>1</v>
      </c>
      <c r="D7" s="106"/>
      <c r="E7" s="107"/>
      <c r="F7" s="107"/>
      <c r="G7" s="1105"/>
      <c r="H7" s="108"/>
      <c r="J7" s="454"/>
      <c r="K7" s="456"/>
      <c r="L7" s="456"/>
      <c r="M7" s="456"/>
      <c r="N7" s="456"/>
      <c r="O7" s="456"/>
      <c r="P7" s="456"/>
      <c r="Q7" s="456"/>
      <c r="R7" s="456"/>
      <c r="S7" s="456"/>
      <c r="T7" s="456"/>
      <c r="U7" s="456"/>
      <c r="V7" s="456"/>
      <c r="W7" s="457"/>
    </row>
    <row r="8" spans="2:23" ht="30" customHeight="1">
      <c r="B8" s="105"/>
      <c r="C8" s="109"/>
      <c r="D8" s="106"/>
      <c r="E8" s="107"/>
      <c r="F8" s="107"/>
      <c r="G8" s="110"/>
      <c r="H8" s="108"/>
      <c r="J8" s="454"/>
      <c r="K8" s="456"/>
      <c r="L8" s="456"/>
      <c r="M8" s="456"/>
      <c r="N8" s="456"/>
      <c r="O8" s="456"/>
      <c r="P8" s="456"/>
      <c r="Q8" s="456"/>
      <c r="R8" s="456"/>
      <c r="S8" s="456"/>
      <c r="T8" s="456"/>
      <c r="U8" s="456"/>
      <c r="V8" s="456"/>
      <c r="W8" s="457"/>
    </row>
    <row r="9" spans="2:23" s="194" customFormat="1" ht="30" customHeight="1">
      <c r="B9" s="192"/>
      <c r="C9" s="56" t="s">
        <v>2</v>
      </c>
      <c r="D9" s="1129" t="str">
        <f>Entidad</f>
        <v>METROPOLITANO DE TENERIFE, S.A.</v>
      </c>
      <c r="E9" s="1129"/>
      <c r="F9" s="1129"/>
      <c r="G9" s="1129"/>
      <c r="H9" s="193"/>
      <c r="J9" s="454"/>
      <c r="K9" s="456"/>
      <c r="L9" s="456"/>
      <c r="M9" s="456"/>
      <c r="N9" s="456"/>
      <c r="O9" s="456"/>
      <c r="P9" s="456"/>
      <c r="Q9" s="456"/>
      <c r="R9" s="456"/>
      <c r="S9" s="456"/>
      <c r="T9" s="456"/>
      <c r="U9" s="456"/>
      <c r="V9" s="456"/>
      <c r="W9" s="457"/>
    </row>
    <row r="10" spans="2:23" ht="7.15" customHeight="1">
      <c r="B10" s="105"/>
      <c r="C10" s="106"/>
      <c r="D10" s="106"/>
      <c r="E10" s="107"/>
      <c r="F10" s="107"/>
      <c r="G10" s="107"/>
      <c r="H10" s="108"/>
      <c r="J10" s="454"/>
      <c r="K10" s="456"/>
      <c r="L10" s="456"/>
      <c r="M10" s="456"/>
      <c r="N10" s="456"/>
      <c r="O10" s="456"/>
      <c r="P10" s="456"/>
      <c r="Q10" s="456"/>
      <c r="R10" s="456"/>
      <c r="S10" s="456"/>
      <c r="T10" s="456"/>
      <c r="U10" s="456"/>
      <c r="V10" s="456"/>
      <c r="W10" s="457"/>
    </row>
    <row r="11" spans="2:23" s="117" customFormat="1" ht="30" customHeight="1">
      <c r="B11" s="113"/>
      <c r="C11" s="114" t="s">
        <v>586</v>
      </c>
      <c r="D11" s="114"/>
      <c r="E11" s="115"/>
      <c r="F11" s="115"/>
      <c r="G11" s="115"/>
      <c r="H11" s="116"/>
      <c r="J11" s="454"/>
      <c r="K11" s="456"/>
      <c r="L11" s="456"/>
      <c r="M11" s="456"/>
      <c r="N11" s="456"/>
      <c r="O11" s="456"/>
      <c r="P11" s="456"/>
      <c r="Q11" s="456"/>
      <c r="R11" s="456"/>
      <c r="S11" s="456"/>
      <c r="T11" s="456"/>
      <c r="U11" s="456"/>
      <c r="V11" s="456"/>
      <c r="W11" s="457"/>
    </row>
    <row r="12" spans="2:23" s="117" customFormat="1" ht="30" customHeight="1">
      <c r="B12" s="113"/>
      <c r="C12" s="1170"/>
      <c r="D12" s="1170"/>
      <c r="E12" s="98"/>
      <c r="F12" s="98"/>
      <c r="G12" s="98"/>
      <c r="H12" s="116"/>
      <c r="J12" s="454"/>
      <c r="K12" s="456"/>
      <c r="L12" s="456"/>
      <c r="M12" s="456"/>
      <c r="N12" s="456"/>
      <c r="O12" s="456"/>
      <c r="P12" s="456"/>
      <c r="Q12" s="456"/>
      <c r="R12" s="456"/>
      <c r="S12" s="456"/>
      <c r="T12" s="456"/>
      <c r="U12" s="456"/>
      <c r="V12" s="456"/>
      <c r="W12" s="457"/>
    </row>
    <row r="13" spans="2:23" ht="28.9" customHeight="1">
      <c r="B13" s="119"/>
      <c r="C13" s="68"/>
      <c r="D13" s="159"/>
      <c r="E13" s="98"/>
      <c r="F13" s="98"/>
      <c r="G13" s="262"/>
      <c r="H13" s="108"/>
      <c r="J13" s="454"/>
      <c r="K13" s="456"/>
      <c r="L13" s="456"/>
      <c r="M13" s="456"/>
      <c r="N13" s="456"/>
      <c r="O13" s="456"/>
      <c r="P13" s="456"/>
      <c r="Q13" s="456"/>
      <c r="R13" s="456"/>
      <c r="S13" s="456"/>
      <c r="T13" s="456"/>
      <c r="U13" s="456"/>
      <c r="V13" s="456"/>
      <c r="W13" s="457"/>
    </row>
    <row r="14" spans="2:23" ht="9" customHeight="1">
      <c r="B14" s="119"/>
      <c r="C14" s="159"/>
      <c r="D14" s="159"/>
      <c r="E14" s="98"/>
      <c r="F14" s="98"/>
      <c r="G14" s="98"/>
      <c r="H14" s="108"/>
      <c r="J14" s="454"/>
      <c r="K14" s="456"/>
      <c r="L14" s="456"/>
      <c r="M14" s="456"/>
      <c r="N14" s="456"/>
      <c r="O14" s="456"/>
      <c r="P14" s="456"/>
      <c r="Q14" s="456"/>
      <c r="R14" s="456"/>
      <c r="S14" s="456"/>
      <c r="T14" s="456"/>
      <c r="U14" s="456"/>
      <c r="V14" s="456"/>
      <c r="W14" s="457"/>
    </row>
    <row r="15" spans="2:23" s="247" customFormat="1" ht="22.9" customHeight="1">
      <c r="B15" s="248"/>
      <c r="C15" s="265"/>
      <c r="D15" s="268"/>
      <c r="E15" s="202" t="s">
        <v>582</v>
      </c>
      <c r="F15" s="265"/>
      <c r="G15" s="268"/>
      <c r="H15" s="250"/>
      <c r="J15" s="454"/>
      <c r="K15" s="456"/>
      <c r="L15" s="456"/>
      <c r="M15" s="456"/>
      <c r="N15" s="456"/>
      <c r="O15" s="456"/>
      <c r="P15" s="456"/>
      <c r="Q15" s="456"/>
      <c r="R15" s="456"/>
      <c r="S15" s="456"/>
      <c r="T15" s="456"/>
      <c r="U15" s="456"/>
      <c r="V15" s="456"/>
      <c r="W15" s="457"/>
    </row>
    <row r="16" spans="2:23" s="247" customFormat="1" ht="22.9" customHeight="1">
      <c r="B16" s="248"/>
      <c r="C16" s="266"/>
      <c r="D16" s="269"/>
      <c r="E16" s="251" t="s">
        <v>583</v>
      </c>
      <c r="F16" s="266"/>
      <c r="G16" s="269"/>
      <c r="H16" s="250"/>
      <c r="J16" s="454"/>
      <c r="K16" s="456"/>
      <c r="L16" s="456"/>
      <c r="M16" s="456"/>
      <c r="N16" s="456"/>
      <c r="O16" s="456"/>
      <c r="P16" s="456"/>
      <c r="Q16" s="456"/>
      <c r="R16" s="456"/>
      <c r="S16" s="456"/>
      <c r="T16" s="456"/>
      <c r="U16" s="456"/>
      <c r="V16" s="456"/>
      <c r="W16" s="457"/>
    </row>
    <row r="17" spans="2:23" s="247" customFormat="1" ht="22.9" customHeight="1">
      <c r="B17" s="248"/>
      <c r="C17" s="266"/>
      <c r="D17" s="269"/>
      <c r="E17" s="251" t="s">
        <v>584</v>
      </c>
      <c r="F17" s="266"/>
      <c r="G17" s="269"/>
      <c r="H17" s="250"/>
      <c r="J17" s="454"/>
      <c r="K17" s="456"/>
      <c r="L17" s="456"/>
      <c r="M17" s="456"/>
      <c r="N17" s="456"/>
      <c r="O17" s="456"/>
      <c r="P17" s="456"/>
      <c r="Q17" s="456"/>
      <c r="R17" s="456"/>
      <c r="S17" s="456"/>
      <c r="T17" s="456"/>
      <c r="U17" s="456"/>
      <c r="V17" s="456"/>
      <c r="W17" s="457"/>
    </row>
    <row r="18" spans="2:23" s="247" customFormat="1" ht="24" customHeight="1">
      <c r="B18" s="248"/>
      <c r="C18" s="1174" t="s">
        <v>457</v>
      </c>
      <c r="D18" s="1175"/>
      <c r="E18" s="297">
        <f>ejercicio</f>
        <v>2018</v>
      </c>
      <c r="F18" s="267" t="s">
        <v>585</v>
      </c>
      <c r="G18" s="270"/>
      <c r="H18" s="250"/>
      <c r="J18" s="454"/>
      <c r="K18" s="456"/>
      <c r="L18" s="456"/>
      <c r="M18" s="456"/>
      <c r="N18" s="456"/>
      <c r="O18" s="456"/>
      <c r="P18" s="456"/>
      <c r="Q18" s="456"/>
      <c r="R18" s="456"/>
      <c r="S18" s="456"/>
      <c r="T18" s="456"/>
      <c r="U18" s="456"/>
      <c r="V18" s="456"/>
      <c r="W18" s="457"/>
    </row>
    <row r="19" spans="2:23" ht="9" customHeight="1">
      <c r="B19" s="119"/>
      <c r="C19" s="68"/>
      <c r="D19" s="159"/>
      <c r="E19" s="98"/>
      <c r="F19" s="98"/>
      <c r="G19" s="262"/>
      <c r="H19" s="108"/>
      <c r="J19" s="454"/>
      <c r="K19" s="456"/>
      <c r="L19" s="456"/>
      <c r="M19" s="456"/>
      <c r="N19" s="456"/>
      <c r="O19" s="456"/>
      <c r="P19" s="456"/>
      <c r="Q19" s="456"/>
      <c r="R19" s="456"/>
      <c r="S19" s="456"/>
      <c r="T19" s="456"/>
      <c r="U19" s="456"/>
      <c r="V19" s="456"/>
      <c r="W19" s="457"/>
    </row>
    <row r="20" spans="2:23" s="131" customFormat="1" ht="22.9" customHeight="1" thickBot="1">
      <c r="B20" s="169"/>
      <c r="C20" s="1205" t="s">
        <v>587</v>
      </c>
      <c r="D20" s="1206"/>
      <c r="E20" s="278">
        <f>SUM(E21:E29)</f>
        <v>24723078.567691959</v>
      </c>
      <c r="F20" s="1214"/>
      <c r="G20" s="1215"/>
      <c r="H20" s="130"/>
      <c r="J20" s="454"/>
      <c r="K20" s="456"/>
      <c r="L20" s="456"/>
      <c r="M20" s="456"/>
      <c r="N20" s="456"/>
      <c r="O20" s="456"/>
      <c r="P20" s="456"/>
      <c r="Q20" s="456"/>
      <c r="R20" s="456"/>
      <c r="S20" s="456"/>
      <c r="T20" s="456"/>
      <c r="U20" s="456"/>
      <c r="V20" s="456"/>
      <c r="W20" s="457"/>
    </row>
    <row r="21" spans="2:23" ht="22.9" customHeight="1">
      <c r="B21" s="119"/>
      <c r="C21" s="187" t="s">
        <v>588</v>
      </c>
      <c r="D21" s="271"/>
      <c r="E21" s="643">
        <f>+'FC-3_CPyG'!G16</f>
        <v>18707566.489009105</v>
      </c>
      <c r="F21" s="1216"/>
      <c r="G21" s="1217"/>
      <c r="H21" s="108"/>
      <c r="J21" s="454"/>
      <c r="K21" s="456"/>
      <c r="L21" s="456"/>
      <c r="M21" s="456"/>
      <c r="N21" s="456"/>
      <c r="O21" s="456"/>
      <c r="P21" s="456"/>
      <c r="Q21" s="456"/>
      <c r="R21" s="456"/>
      <c r="S21" s="456"/>
      <c r="T21" s="456"/>
      <c r="U21" s="456"/>
      <c r="V21" s="456"/>
      <c r="W21" s="457"/>
    </row>
    <row r="22" spans="2:23" ht="22.9" customHeight="1">
      <c r="B22" s="119"/>
      <c r="C22" s="187" t="s">
        <v>589</v>
      </c>
      <c r="D22" s="271"/>
      <c r="E22" s="643">
        <f>+'FC-3_CPyG'!G21</f>
        <v>250000</v>
      </c>
      <c r="F22" s="1218"/>
      <c r="G22" s="1219"/>
      <c r="H22" s="108"/>
      <c r="J22" s="454"/>
      <c r="K22" s="456"/>
      <c r="L22" s="456"/>
      <c r="M22" s="456"/>
      <c r="N22" s="456"/>
      <c r="O22" s="456"/>
      <c r="P22" s="456"/>
      <c r="Q22" s="456"/>
      <c r="R22" s="456"/>
      <c r="S22" s="456"/>
      <c r="T22" s="456"/>
      <c r="U22" s="456"/>
      <c r="V22" s="456"/>
      <c r="W22" s="457"/>
    </row>
    <row r="23" spans="2:23" ht="22.9" customHeight="1">
      <c r="B23" s="119"/>
      <c r="C23" s="187" t="s">
        <v>590</v>
      </c>
      <c r="D23" s="271"/>
      <c r="E23" s="643">
        <f>+'FC-3_CPyG'!G28</f>
        <v>5190253.7533767037</v>
      </c>
      <c r="F23" s="1218"/>
      <c r="G23" s="1219"/>
      <c r="H23" s="108"/>
      <c r="J23" s="454"/>
      <c r="K23" s="456"/>
      <c r="L23" s="456"/>
      <c r="M23" s="456"/>
      <c r="N23" s="456"/>
      <c r="O23" s="456"/>
      <c r="P23" s="456"/>
      <c r="Q23" s="456"/>
      <c r="R23" s="456"/>
      <c r="S23" s="456"/>
      <c r="T23" s="456"/>
      <c r="U23" s="456"/>
      <c r="V23" s="456"/>
      <c r="W23" s="457"/>
    </row>
    <row r="24" spans="2:23" ht="22.9" customHeight="1">
      <c r="B24" s="119"/>
      <c r="C24" s="187" t="s">
        <v>591</v>
      </c>
      <c r="D24" s="271"/>
      <c r="E24" s="643">
        <f>+'FC-3_CPyG'!G29</f>
        <v>575258.32530615188</v>
      </c>
      <c r="F24" s="1218"/>
      <c r="G24" s="1219"/>
      <c r="H24" s="108"/>
      <c r="J24" s="454"/>
      <c r="K24" s="456"/>
      <c r="L24" s="456"/>
      <c r="M24" s="456"/>
      <c r="N24" s="456"/>
      <c r="O24" s="456"/>
      <c r="P24" s="456"/>
      <c r="Q24" s="456"/>
      <c r="R24" s="456"/>
      <c r="S24" s="456"/>
      <c r="T24" s="456"/>
      <c r="U24" s="456"/>
      <c r="V24" s="456"/>
      <c r="W24" s="457"/>
    </row>
    <row r="25" spans="2:23" ht="22.9" customHeight="1">
      <c r="B25" s="119"/>
      <c r="C25" s="187" t="s">
        <v>592</v>
      </c>
      <c r="D25" s="271"/>
      <c r="E25" s="643">
        <f>+'FC-3_CPyG'!G55+'FC-3_CPyG'!G70</f>
        <v>0</v>
      </c>
      <c r="F25" s="1218"/>
      <c r="G25" s="1219"/>
      <c r="H25" s="108"/>
      <c r="J25" s="454"/>
      <c r="K25" s="456"/>
      <c r="L25" s="456"/>
      <c r="M25" s="456"/>
      <c r="N25" s="456"/>
      <c r="O25" s="456"/>
      <c r="P25" s="456"/>
      <c r="Q25" s="456"/>
      <c r="R25" s="456"/>
      <c r="S25" s="456"/>
      <c r="T25" s="456"/>
      <c r="U25" s="456"/>
      <c r="V25" s="456"/>
      <c r="W25" s="457"/>
    </row>
    <row r="26" spans="2:23" ht="22.9" customHeight="1">
      <c r="B26" s="119"/>
      <c r="C26" s="187" t="s">
        <v>593</v>
      </c>
      <c r="D26" s="271"/>
      <c r="E26" s="643">
        <f>+'FC-3_CPyG'!G52</f>
        <v>0</v>
      </c>
      <c r="F26" s="1218"/>
      <c r="G26" s="1219"/>
      <c r="H26" s="108"/>
      <c r="J26" s="454"/>
      <c r="K26" s="456"/>
      <c r="L26" s="456"/>
      <c r="M26" s="456"/>
      <c r="N26" s="456"/>
      <c r="O26" s="456"/>
      <c r="P26" s="456"/>
      <c r="Q26" s="456"/>
      <c r="R26" s="456"/>
      <c r="S26" s="456"/>
      <c r="T26" s="456"/>
      <c r="U26" s="456"/>
      <c r="V26" s="456"/>
      <c r="W26" s="457"/>
    </row>
    <row r="27" spans="2:23" ht="22.9" customHeight="1">
      <c r="B27" s="119"/>
      <c r="C27" s="187" t="s">
        <v>594</v>
      </c>
      <c r="D27" s="271"/>
      <c r="E27" s="643">
        <f>+'FC-3_1_INF_ADIC_CPyG'!G47</f>
        <v>0</v>
      </c>
      <c r="F27" s="1218"/>
      <c r="G27" s="1219"/>
      <c r="H27" s="108"/>
      <c r="J27" s="454"/>
      <c r="K27" s="456"/>
      <c r="L27" s="456"/>
      <c r="M27" s="456"/>
      <c r="N27" s="456"/>
      <c r="O27" s="456"/>
      <c r="P27" s="456"/>
      <c r="Q27" s="456"/>
      <c r="R27" s="456"/>
      <c r="S27" s="456"/>
      <c r="T27" s="456"/>
      <c r="U27" s="456"/>
      <c r="V27" s="456"/>
      <c r="W27" s="457"/>
    </row>
    <row r="28" spans="2:23" ht="22.9" customHeight="1">
      <c r="B28" s="119"/>
      <c r="C28" s="958" t="s">
        <v>846</v>
      </c>
      <c r="D28" s="271"/>
      <c r="E28" s="643">
        <f>+'FC-9_TRANS_SUBV'!G65+'FC-9_TRANS_SUBV'!G79</f>
        <v>0</v>
      </c>
      <c r="F28" s="1218"/>
      <c r="G28" s="1219"/>
      <c r="H28" s="108"/>
      <c r="J28" s="454"/>
      <c r="K28" s="456"/>
      <c r="L28" s="456"/>
      <c r="M28" s="456"/>
      <c r="N28" s="456"/>
      <c r="O28" s="456"/>
      <c r="P28" s="456"/>
      <c r="Q28" s="456"/>
      <c r="R28" s="456"/>
      <c r="S28" s="456"/>
      <c r="T28" s="456"/>
      <c r="U28" s="456"/>
      <c r="V28" s="456"/>
      <c r="W28" s="457"/>
    </row>
    <row r="29" spans="2:23" ht="22.9" customHeight="1">
      <c r="B29" s="119"/>
      <c r="C29" s="164" t="s">
        <v>595</v>
      </c>
      <c r="D29" s="272"/>
      <c r="E29" s="644">
        <f>+'FC-9_TRANS_SUBV'!G30</f>
        <v>0</v>
      </c>
      <c r="F29" s="1220"/>
      <c r="G29" s="1221"/>
      <c r="H29" s="108"/>
      <c r="J29" s="454"/>
      <c r="K29" s="456"/>
      <c r="L29" s="456"/>
      <c r="M29" s="456"/>
      <c r="N29" s="456"/>
      <c r="O29" s="456"/>
      <c r="P29" s="456"/>
      <c r="Q29" s="456"/>
      <c r="R29" s="456"/>
      <c r="S29" s="456"/>
      <c r="T29" s="456"/>
      <c r="U29" s="456"/>
      <c r="V29" s="456"/>
      <c r="W29" s="457"/>
    </row>
    <row r="30" spans="2:23" ht="9" customHeight="1">
      <c r="B30" s="119"/>
      <c r="C30" s="68"/>
      <c r="D30" s="159"/>
      <c r="E30" s="98"/>
      <c r="F30" s="98"/>
      <c r="G30" s="262"/>
      <c r="H30" s="108"/>
      <c r="J30" s="454"/>
      <c r="K30" s="456"/>
      <c r="L30" s="456"/>
      <c r="M30" s="456"/>
      <c r="N30" s="456"/>
      <c r="O30" s="456"/>
      <c r="P30" s="456"/>
      <c r="Q30" s="456"/>
      <c r="R30" s="456"/>
      <c r="S30" s="456"/>
      <c r="T30" s="456"/>
      <c r="U30" s="456"/>
      <c r="V30" s="456"/>
      <c r="W30" s="457"/>
    </row>
    <row r="31" spans="2:23" ht="22.9" customHeight="1" thickBot="1">
      <c r="B31" s="119"/>
      <c r="C31" s="1205" t="s">
        <v>596</v>
      </c>
      <c r="D31" s="1206"/>
      <c r="E31" s="278">
        <f>SUM(E32:E43)</f>
        <v>-26564068.198153421</v>
      </c>
      <c r="F31" s="1214"/>
      <c r="G31" s="1215"/>
      <c r="H31" s="108"/>
      <c r="J31" s="454"/>
      <c r="K31" s="456"/>
      <c r="L31" s="456"/>
      <c r="M31" s="456"/>
      <c r="N31" s="456"/>
      <c r="O31" s="456"/>
      <c r="P31" s="456"/>
      <c r="Q31" s="456"/>
      <c r="R31" s="456"/>
      <c r="S31" s="456"/>
      <c r="T31" s="456"/>
      <c r="U31" s="456"/>
      <c r="V31" s="456"/>
      <c r="W31" s="457"/>
    </row>
    <row r="32" spans="2:23" ht="22.9" customHeight="1">
      <c r="B32" s="119"/>
      <c r="C32" s="187" t="s">
        <v>100</v>
      </c>
      <c r="D32" s="271"/>
      <c r="E32" s="643">
        <f>+'FC-3_CPyG'!G22</f>
        <v>-1478068.98</v>
      </c>
      <c r="F32" s="1218"/>
      <c r="G32" s="1219"/>
      <c r="H32" s="108"/>
      <c r="J32" s="454"/>
      <c r="K32" s="456"/>
      <c r="L32" s="456"/>
      <c r="M32" s="456"/>
      <c r="N32" s="456"/>
      <c r="O32" s="456"/>
      <c r="P32" s="456"/>
      <c r="Q32" s="456"/>
      <c r="R32" s="456"/>
      <c r="S32" s="456"/>
      <c r="T32" s="456"/>
      <c r="U32" s="456"/>
      <c r="V32" s="456"/>
      <c r="W32" s="457"/>
    </row>
    <row r="33" spans="2:23" ht="22.9" customHeight="1">
      <c r="B33" s="119"/>
      <c r="C33" s="187" t="s">
        <v>597</v>
      </c>
      <c r="D33" s="271"/>
      <c r="E33" s="643">
        <f>+'FC-3_CPyG'!G30</f>
        <v>-7245012</v>
      </c>
      <c r="F33" s="566"/>
      <c r="G33" s="519"/>
      <c r="H33" s="108"/>
      <c r="J33" s="454"/>
      <c r="K33" s="456"/>
      <c r="L33" s="456"/>
      <c r="M33" s="456"/>
      <c r="N33" s="456"/>
      <c r="O33" s="456"/>
      <c r="P33" s="456"/>
      <c r="Q33" s="456"/>
      <c r="R33" s="456"/>
      <c r="S33" s="456"/>
      <c r="T33" s="456"/>
      <c r="U33" s="456"/>
      <c r="V33" s="456"/>
      <c r="W33" s="457"/>
    </row>
    <row r="34" spans="2:23" ht="22.9" customHeight="1">
      <c r="B34" s="119"/>
      <c r="C34" s="187" t="s">
        <v>115</v>
      </c>
      <c r="D34" s="271"/>
      <c r="E34" s="643">
        <f>+'FC-3_CPyG'!G34-'FC-3_CPyG'!G36</f>
        <v>-4790757.5880640373</v>
      </c>
      <c r="F34" s="566"/>
      <c r="G34" s="519"/>
      <c r="H34" s="108"/>
      <c r="J34" s="454"/>
      <c r="K34" s="456"/>
      <c r="L34" s="456"/>
      <c r="M34" s="456"/>
      <c r="N34" s="456"/>
      <c r="O34" s="456"/>
      <c r="P34" s="456"/>
      <c r="Q34" s="456"/>
      <c r="R34" s="456"/>
      <c r="S34" s="456"/>
      <c r="T34" s="456"/>
      <c r="U34" s="456"/>
      <c r="V34" s="456"/>
      <c r="W34" s="457"/>
    </row>
    <row r="35" spans="2:23" ht="22.9" customHeight="1">
      <c r="B35" s="119"/>
      <c r="C35" s="187" t="s">
        <v>598</v>
      </c>
      <c r="D35" s="271"/>
      <c r="E35" s="643">
        <f>+'FC-3_CPyG'!G59+'FC-3_CPyG'!G63+'FC-3_CPyG'!G66+'FC-3_CPyG'!G67</f>
        <v>-4508675.3104829993</v>
      </c>
      <c r="F35" s="566"/>
      <c r="G35" s="519"/>
      <c r="H35" s="108"/>
      <c r="J35" s="454"/>
      <c r="K35" s="456"/>
      <c r="L35" s="456"/>
      <c r="M35" s="456"/>
      <c r="N35" s="456"/>
      <c r="O35" s="456"/>
      <c r="P35" s="456"/>
      <c r="Q35" s="456"/>
      <c r="R35" s="456"/>
      <c r="S35" s="456"/>
      <c r="T35" s="456"/>
      <c r="U35" s="456"/>
      <c r="V35" s="456"/>
      <c r="W35" s="457"/>
    </row>
    <row r="36" spans="2:23" ht="22.9" customHeight="1">
      <c r="B36" s="119"/>
      <c r="C36" s="187" t="s">
        <v>599</v>
      </c>
      <c r="D36" s="271"/>
      <c r="E36" s="643">
        <f>+'FC-3_CPyG'!G77</f>
        <v>-172346.17389841273</v>
      </c>
      <c r="F36" s="566"/>
      <c r="G36" s="519"/>
      <c r="H36" s="108"/>
      <c r="J36" s="454"/>
      <c r="K36" s="456"/>
      <c r="L36" s="456"/>
      <c r="M36" s="456"/>
      <c r="N36" s="456"/>
      <c r="O36" s="456"/>
      <c r="P36" s="456"/>
      <c r="Q36" s="456"/>
      <c r="R36" s="456"/>
      <c r="S36" s="456"/>
      <c r="T36" s="456"/>
      <c r="U36" s="456"/>
      <c r="V36" s="456"/>
      <c r="W36" s="457"/>
    </row>
    <row r="37" spans="2:23" ht="22.9" customHeight="1">
      <c r="B37" s="119"/>
      <c r="C37" s="187" t="s">
        <v>600</v>
      </c>
      <c r="D37" s="271"/>
      <c r="E37" s="643">
        <f>+'FC-3_CPyG'!G36</f>
        <v>-49841.9761</v>
      </c>
      <c r="F37" s="566"/>
      <c r="G37" s="519"/>
      <c r="H37" s="108"/>
      <c r="J37" s="454"/>
      <c r="K37" s="456"/>
      <c r="L37" s="456"/>
      <c r="M37" s="456"/>
      <c r="N37" s="456"/>
      <c r="O37" s="456"/>
      <c r="P37" s="456"/>
      <c r="Q37" s="456"/>
      <c r="R37" s="456"/>
      <c r="S37" s="456"/>
      <c r="T37" s="456"/>
      <c r="U37" s="456"/>
      <c r="V37" s="456"/>
      <c r="W37" s="457"/>
    </row>
    <row r="38" spans="2:23" ht="22.9" customHeight="1">
      <c r="B38" s="119"/>
      <c r="C38" s="187" t="s">
        <v>601</v>
      </c>
      <c r="D38" s="271"/>
      <c r="E38" s="643">
        <f>+'FC-3_1_INF_ADIC_CPyG'!G55</f>
        <v>-1492478.88</v>
      </c>
      <c r="F38" s="566"/>
      <c r="G38" s="519"/>
      <c r="H38" s="108"/>
      <c r="J38" s="454"/>
      <c r="K38" s="456"/>
      <c r="L38" s="456"/>
      <c r="M38" s="456"/>
      <c r="N38" s="456"/>
      <c r="O38" s="456"/>
      <c r="P38" s="456"/>
      <c r="Q38" s="456"/>
      <c r="R38" s="456"/>
      <c r="S38" s="456"/>
      <c r="T38" s="456"/>
      <c r="U38" s="456"/>
      <c r="V38" s="456"/>
      <c r="W38" s="457"/>
    </row>
    <row r="39" spans="2:23" ht="22.9" customHeight="1">
      <c r="B39" s="119"/>
      <c r="C39" s="187" t="s">
        <v>602</v>
      </c>
      <c r="D39" s="271"/>
      <c r="E39" s="643">
        <f>-'FC-7_INF'!F31-'FC-7_INF'!H31-'FC-7_INF'!K31-'FC-7_INF'!F33-'FC-7_INF'!H33-'FC-7_INF'!K33</f>
        <v>-6826887.2896079728</v>
      </c>
      <c r="F39" s="566"/>
      <c r="G39" s="519"/>
      <c r="H39" s="108"/>
      <c r="J39" s="454"/>
      <c r="K39" s="456"/>
      <c r="L39" s="456"/>
      <c r="M39" s="456"/>
      <c r="N39" s="456"/>
      <c r="O39" s="456"/>
      <c r="P39" s="456"/>
      <c r="Q39" s="456"/>
      <c r="R39" s="456"/>
      <c r="S39" s="456"/>
      <c r="T39" s="456"/>
      <c r="U39" s="456"/>
      <c r="V39" s="456"/>
      <c r="W39" s="457"/>
    </row>
    <row r="40" spans="2:23" ht="22.9" customHeight="1">
      <c r="B40" s="119"/>
      <c r="C40" s="642" t="s">
        <v>603</v>
      </c>
      <c r="D40" s="271"/>
      <c r="E40" s="643">
        <f>+'FC-3_CPyG'!G20</f>
        <v>0</v>
      </c>
      <c r="F40" s="566"/>
      <c r="G40" s="519"/>
      <c r="H40" s="108"/>
      <c r="J40" s="454"/>
      <c r="K40" s="456"/>
      <c r="L40" s="456"/>
      <c r="M40" s="456"/>
      <c r="N40" s="456"/>
      <c r="O40" s="456"/>
      <c r="P40" s="456"/>
      <c r="Q40" s="456"/>
      <c r="R40" s="456"/>
      <c r="S40" s="456"/>
      <c r="T40" s="456"/>
      <c r="U40" s="456"/>
      <c r="V40" s="456"/>
      <c r="W40" s="457"/>
    </row>
    <row r="41" spans="2:23" ht="22.9" customHeight="1">
      <c r="B41" s="119"/>
      <c r="C41" s="187" t="s">
        <v>604</v>
      </c>
      <c r="D41" s="271"/>
      <c r="E41" s="535"/>
      <c r="F41" s="566"/>
      <c r="G41" s="519"/>
      <c r="H41" s="108"/>
      <c r="J41" s="454"/>
      <c r="K41" s="456"/>
      <c r="L41" s="456"/>
      <c r="M41" s="456"/>
      <c r="N41" s="456"/>
      <c r="O41" s="456"/>
      <c r="P41" s="456"/>
      <c r="Q41" s="456"/>
      <c r="R41" s="456"/>
      <c r="S41" s="456"/>
      <c r="T41" s="456"/>
      <c r="U41" s="456"/>
      <c r="V41" s="456"/>
      <c r="W41" s="457"/>
    </row>
    <row r="42" spans="2:23" ht="22.9" customHeight="1">
      <c r="B42" s="119"/>
      <c r="C42" s="187" t="s">
        <v>605</v>
      </c>
      <c r="D42" s="271"/>
      <c r="E42" s="535"/>
      <c r="F42" s="1218"/>
      <c r="G42" s="1219"/>
      <c r="H42" s="108"/>
      <c r="J42" s="454"/>
      <c r="K42" s="456"/>
      <c r="L42" s="456"/>
      <c r="M42" s="456"/>
      <c r="N42" s="456"/>
      <c r="O42" s="456"/>
      <c r="P42" s="456"/>
      <c r="Q42" s="456"/>
      <c r="R42" s="456"/>
      <c r="S42" s="456"/>
      <c r="T42" s="456"/>
      <c r="U42" s="456"/>
      <c r="V42" s="456"/>
      <c r="W42" s="457"/>
    </row>
    <row r="43" spans="2:23" ht="22.9" customHeight="1">
      <c r="B43" s="119"/>
      <c r="C43" s="164" t="s">
        <v>606</v>
      </c>
      <c r="D43" s="272"/>
      <c r="E43" s="538"/>
      <c r="F43" s="1220"/>
      <c r="G43" s="1221"/>
      <c r="H43" s="108"/>
      <c r="J43" s="454"/>
      <c r="K43" s="456"/>
      <c r="L43" s="456"/>
      <c r="M43" s="456"/>
      <c r="N43" s="456"/>
      <c r="O43" s="456"/>
      <c r="P43" s="456"/>
      <c r="Q43" s="456"/>
      <c r="R43" s="456"/>
      <c r="S43" s="456"/>
      <c r="T43" s="456"/>
      <c r="U43" s="456"/>
      <c r="V43" s="456"/>
      <c r="W43" s="457"/>
    </row>
    <row r="44" spans="2:23" ht="9" customHeight="1">
      <c r="B44" s="119"/>
      <c r="C44" s="68"/>
      <c r="D44" s="159"/>
      <c r="E44" s="98"/>
      <c r="F44" s="98"/>
      <c r="G44" s="262"/>
      <c r="H44" s="108"/>
      <c r="J44" s="454"/>
      <c r="K44" s="456"/>
      <c r="L44" s="456"/>
      <c r="M44" s="456"/>
      <c r="N44" s="456"/>
      <c r="O44" s="456"/>
      <c r="P44" s="456"/>
      <c r="Q44" s="456"/>
      <c r="R44" s="456"/>
      <c r="S44" s="456"/>
      <c r="T44" s="456"/>
      <c r="U44" s="456"/>
      <c r="V44" s="456"/>
      <c r="W44" s="457"/>
    </row>
    <row r="45" spans="2:23" ht="22.9" customHeight="1" thickBot="1">
      <c r="B45" s="119"/>
      <c r="C45" s="166" t="s">
        <v>607</v>
      </c>
      <c r="D45" s="300"/>
      <c r="E45" s="179">
        <f>+E20+E31</f>
        <v>-1840989.6304614618</v>
      </c>
      <c r="F45" s="98"/>
      <c r="G45" s="98"/>
      <c r="H45" s="108"/>
      <c r="J45" s="454"/>
      <c r="K45" s="456"/>
      <c r="L45" s="456"/>
      <c r="M45" s="456"/>
      <c r="N45" s="456"/>
      <c r="O45" s="456"/>
      <c r="P45" s="456"/>
      <c r="Q45" s="456"/>
      <c r="R45" s="456"/>
      <c r="S45" s="456"/>
      <c r="T45" s="456"/>
      <c r="U45" s="456"/>
      <c r="V45" s="456"/>
      <c r="W45" s="457"/>
    </row>
    <row r="46" spans="2:23" ht="22.9" customHeight="1">
      <c r="B46" s="119"/>
      <c r="C46" s="221"/>
      <c r="D46" s="221"/>
      <c r="E46" s="222"/>
      <c r="F46" s="222"/>
      <c r="G46" s="98"/>
      <c r="H46" s="108"/>
      <c r="J46" s="454"/>
      <c r="K46" s="456"/>
      <c r="L46" s="456"/>
      <c r="M46" s="456"/>
      <c r="N46" s="456"/>
      <c r="O46" s="456"/>
      <c r="P46" s="456"/>
      <c r="Q46" s="456"/>
      <c r="R46" s="456"/>
      <c r="S46" s="456"/>
      <c r="T46" s="456"/>
      <c r="U46" s="456"/>
      <c r="V46" s="456"/>
      <c r="W46" s="457"/>
    </row>
    <row r="47" spans="2:23" ht="22.9" customHeight="1">
      <c r="B47" s="119"/>
      <c r="C47" s="175" t="s">
        <v>416</v>
      </c>
      <c r="D47" s="221"/>
      <c r="E47" s="222"/>
      <c r="F47" s="222"/>
      <c r="G47" s="98"/>
      <c r="H47" s="108"/>
      <c r="J47" s="454"/>
      <c r="K47" s="456"/>
      <c r="L47" s="456"/>
      <c r="M47" s="456"/>
      <c r="N47" s="456"/>
      <c r="O47" s="456"/>
      <c r="P47" s="456"/>
      <c r="Q47" s="456"/>
      <c r="R47" s="456"/>
      <c r="S47" s="456"/>
      <c r="T47" s="456"/>
      <c r="U47" s="456"/>
      <c r="V47" s="456"/>
      <c r="W47" s="457"/>
    </row>
    <row r="48" spans="2:23" ht="22.9" customHeight="1">
      <c r="B48" s="119"/>
      <c r="C48" s="173" t="s">
        <v>746</v>
      </c>
      <c r="D48" s="221"/>
      <c r="E48" s="222"/>
      <c r="F48" s="222"/>
      <c r="G48" s="98"/>
      <c r="H48" s="108"/>
      <c r="J48" s="454"/>
      <c r="K48" s="456"/>
      <c r="L48" s="456"/>
      <c r="M48" s="456"/>
      <c r="N48" s="456"/>
      <c r="O48" s="456"/>
      <c r="P48" s="456"/>
      <c r="Q48" s="456"/>
      <c r="R48" s="456"/>
      <c r="S48" s="456"/>
      <c r="T48" s="456"/>
      <c r="U48" s="456"/>
      <c r="V48" s="456"/>
      <c r="W48" s="457"/>
    </row>
    <row r="49" spans="2:23" ht="22.9" customHeight="1" thickBot="1">
      <c r="B49" s="123"/>
      <c r="C49" s="1128"/>
      <c r="D49" s="1128"/>
      <c r="E49" s="57"/>
      <c r="F49" s="57"/>
      <c r="G49" s="124"/>
      <c r="H49" s="125"/>
      <c r="J49" s="448"/>
      <c r="K49" s="449"/>
      <c r="L49" s="449"/>
      <c r="M49" s="449"/>
      <c r="N49" s="449"/>
      <c r="O49" s="449"/>
      <c r="P49" s="449"/>
      <c r="Q49" s="449"/>
      <c r="R49" s="449"/>
      <c r="S49" s="449"/>
      <c r="T49" s="449"/>
      <c r="U49" s="449"/>
      <c r="V49" s="449"/>
      <c r="W49" s="450"/>
    </row>
    <row r="50" spans="2:23" ht="22.9" customHeight="1">
      <c r="C50" s="106"/>
      <c r="D50" s="106"/>
      <c r="E50" s="107"/>
      <c r="F50" s="107"/>
      <c r="G50" s="107"/>
    </row>
    <row r="51" spans="2:23" ht="12.75">
      <c r="C51" s="126" t="s">
        <v>77</v>
      </c>
      <c r="D51" s="106"/>
      <c r="E51" s="107"/>
      <c r="F51" s="107"/>
      <c r="G51" s="97" t="s">
        <v>63</v>
      </c>
    </row>
    <row r="52" spans="2:23" ht="12.75">
      <c r="C52" s="127" t="s">
        <v>78</v>
      </c>
      <c r="D52" s="106"/>
      <c r="E52" s="107"/>
      <c r="F52" s="107"/>
      <c r="G52" s="107"/>
    </row>
    <row r="53" spans="2:23" ht="12.75">
      <c r="C53" s="127" t="s">
        <v>79</v>
      </c>
      <c r="D53" s="106"/>
      <c r="E53" s="107"/>
      <c r="F53" s="107"/>
      <c r="G53" s="107"/>
    </row>
    <row r="54" spans="2:23" ht="12.75">
      <c r="C54" s="127" t="s">
        <v>80</v>
      </c>
      <c r="D54" s="106"/>
      <c r="E54" s="107"/>
      <c r="F54" s="107"/>
      <c r="G54" s="107"/>
    </row>
    <row r="55" spans="2:23" ht="12.75">
      <c r="C55" s="127" t="s">
        <v>81</v>
      </c>
      <c r="D55" s="106"/>
      <c r="E55" s="107"/>
      <c r="F55" s="107"/>
      <c r="G55" s="107"/>
    </row>
    <row r="56" spans="2:23" ht="22.9" customHeight="1">
      <c r="C56" s="106"/>
      <c r="D56" s="106"/>
      <c r="E56" s="107"/>
      <c r="F56" s="107"/>
      <c r="G56" s="107"/>
    </row>
    <row r="57" spans="2:23" ht="22.9" customHeight="1">
      <c r="C57" s="106"/>
      <c r="D57" s="106"/>
      <c r="E57" s="107"/>
      <c r="F57" s="107"/>
      <c r="G57" s="107"/>
    </row>
    <row r="58" spans="2:23" ht="22.9" customHeight="1">
      <c r="C58" s="106"/>
      <c r="D58" s="106"/>
      <c r="E58" s="107"/>
      <c r="F58" s="107"/>
      <c r="G58" s="107"/>
    </row>
    <row r="59" spans="2:23" ht="22.9" customHeight="1">
      <c r="C59" s="106"/>
      <c r="D59" s="106"/>
      <c r="E59" s="107"/>
      <c r="F59" s="107"/>
      <c r="G59" s="107"/>
    </row>
    <row r="60" spans="2:23" ht="22.9" customHeight="1">
      <c r="E60" s="107"/>
      <c r="F60" s="107"/>
      <c r="G60" s="107"/>
    </row>
  </sheetData>
  <sheetProtection password="E059" sheet="1" objects="1" scenarios="1"/>
  <mergeCells count="21">
    <mergeCell ref="F27:G27"/>
    <mergeCell ref="F28:G28"/>
    <mergeCell ref="F29:G29"/>
    <mergeCell ref="F31:G31"/>
    <mergeCell ref="F32:G32"/>
    <mergeCell ref="G6:G7"/>
    <mergeCell ref="D9:G9"/>
    <mergeCell ref="C12:D12"/>
    <mergeCell ref="C49:D49"/>
    <mergeCell ref="F20:G20"/>
    <mergeCell ref="F21:G21"/>
    <mergeCell ref="F22:G22"/>
    <mergeCell ref="F23:G23"/>
    <mergeCell ref="F24:G24"/>
    <mergeCell ref="F25:G25"/>
    <mergeCell ref="F42:G42"/>
    <mergeCell ref="F43:G43"/>
    <mergeCell ref="C18:D18"/>
    <mergeCell ref="C20:D20"/>
    <mergeCell ref="C31:D31"/>
    <mergeCell ref="F26:G26"/>
  </mergeCells>
  <phoneticPr fontId="22" type="noConversion"/>
  <printOptions horizontalCentered="1" verticalCentered="1"/>
  <pageMargins left="0.35629921259842523" right="0.35629921259842523" top="0.60629921259842523" bottom="0.60629921259842523" header="0.5" footer="0.5"/>
  <pageSetup paperSize="9" scale="48" orientation="portrait" horizontalDpi="4294967292" verticalDpi="4294967292"/>
  <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V51"/>
  <sheetViews>
    <sheetView zoomScale="64" zoomScaleNormal="64" workbookViewId="0">
      <selection activeCell="J34" sqref="J34"/>
    </sheetView>
  </sheetViews>
  <sheetFormatPr baseColWidth="10" defaultColWidth="10.77734375" defaultRowHeight="22.9" customHeight="1"/>
  <cols>
    <col min="1" max="2" width="3.21875" style="99" customWidth="1"/>
    <col min="3" max="3" width="13.21875" style="99" customWidth="1"/>
    <col min="4" max="4" width="68" style="99" customWidth="1"/>
    <col min="5" max="5" width="17.77734375" style="100" customWidth="1"/>
    <col min="6" max="6" width="12.21875" style="100" customWidth="1"/>
    <col min="7" max="7" width="3.21875" style="99" customWidth="1"/>
    <col min="8" max="16384" width="10.77734375" style="99"/>
  </cols>
  <sheetData>
    <row r="2" spans="2:22" ht="22.9" customHeight="1">
      <c r="D2" s="221" t="s">
        <v>379</v>
      </c>
    </row>
    <row r="3" spans="2:22" ht="22.9" customHeight="1">
      <c r="D3" s="221" t="s">
        <v>380</v>
      </c>
    </row>
    <row r="4" spans="2:22" ht="22.9" customHeight="1" thickBot="1"/>
    <row r="5" spans="2:22" ht="9" customHeight="1">
      <c r="B5" s="101"/>
      <c r="C5" s="102"/>
      <c r="D5" s="102"/>
      <c r="E5" s="103"/>
      <c r="F5" s="103"/>
      <c r="G5" s="104"/>
      <c r="I5" s="451"/>
      <c r="J5" s="452"/>
      <c r="K5" s="452"/>
      <c r="L5" s="452"/>
      <c r="M5" s="452"/>
      <c r="N5" s="452"/>
      <c r="O5" s="452"/>
      <c r="P5" s="452"/>
      <c r="Q5" s="452"/>
      <c r="R5" s="452"/>
      <c r="S5" s="452"/>
      <c r="T5" s="452"/>
      <c r="U5" s="452"/>
      <c r="V5" s="453"/>
    </row>
    <row r="6" spans="2:22" ht="30" customHeight="1">
      <c r="B6" s="105"/>
      <c r="C6" s="69" t="s">
        <v>0</v>
      </c>
      <c r="D6" s="106"/>
      <c r="E6" s="107"/>
      <c r="F6" s="1105">
        <f>ejercicio</f>
        <v>2018</v>
      </c>
      <c r="G6" s="108"/>
      <c r="I6" s="454"/>
      <c r="J6" s="455" t="s">
        <v>707</v>
      </c>
      <c r="K6" s="455"/>
      <c r="L6" s="455"/>
      <c r="M6" s="455"/>
      <c r="N6" s="456"/>
      <c r="O6" s="456"/>
      <c r="P6" s="456"/>
      <c r="Q6" s="456"/>
      <c r="R6" s="456"/>
      <c r="S6" s="456"/>
      <c r="T6" s="456"/>
      <c r="U6" s="456"/>
      <c r="V6" s="457"/>
    </row>
    <row r="7" spans="2:22" ht="30" customHeight="1">
      <c r="B7" s="105"/>
      <c r="C7" s="69" t="s">
        <v>1</v>
      </c>
      <c r="D7" s="106"/>
      <c r="E7" s="107"/>
      <c r="F7" s="1105"/>
      <c r="G7" s="108"/>
      <c r="I7" s="454"/>
      <c r="J7" s="456"/>
      <c r="K7" s="456"/>
      <c r="L7" s="456"/>
      <c r="M7" s="456"/>
      <c r="N7" s="456"/>
      <c r="O7" s="456"/>
      <c r="P7" s="456"/>
      <c r="Q7" s="456"/>
      <c r="R7" s="456"/>
      <c r="S7" s="456"/>
      <c r="T7" s="456"/>
      <c r="U7" s="456"/>
      <c r="V7" s="457"/>
    </row>
    <row r="8" spans="2:22" ht="30" customHeight="1">
      <c r="B8" s="105"/>
      <c r="C8" s="109"/>
      <c r="D8" s="106"/>
      <c r="E8" s="107"/>
      <c r="F8" s="110"/>
      <c r="G8" s="108"/>
      <c r="I8" s="454"/>
      <c r="J8" s="456"/>
      <c r="K8" s="456"/>
      <c r="L8" s="456"/>
      <c r="M8" s="456"/>
      <c r="N8" s="456"/>
      <c r="O8" s="456"/>
      <c r="P8" s="456"/>
      <c r="Q8" s="456"/>
      <c r="R8" s="456"/>
      <c r="S8" s="456"/>
      <c r="T8" s="456"/>
      <c r="U8" s="456"/>
      <c r="V8" s="457"/>
    </row>
    <row r="9" spans="2:22" s="194" customFormat="1" ht="30" customHeight="1">
      <c r="B9" s="192"/>
      <c r="C9" s="56" t="s">
        <v>2</v>
      </c>
      <c r="D9" s="1129" t="str">
        <f>Entidad</f>
        <v>METROPOLITANO DE TENERIFE, S.A.</v>
      </c>
      <c r="E9" s="1129"/>
      <c r="F9" s="1129"/>
      <c r="G9" s="193"/>
      <c r="I9" s="454"/>
      <c r="J9" s="456"/>
      <c r="K9" s="456"/>
      <c r="L9" s="456"/>
      <c r="M9" s="456"/>
      <c r="N9" s="456"/>
      <c r="O9" s="456"/>
      <c r="P9" s="456"/>
      <c r="Q9" s="456"/>
      <c r="R9" s="456"/>
      <c r="S9" s="456"/>
      <c r="T9" s="456"/>
      <c r="U9" s="456"/>
      <c r="V9" s="457"/>
    </row>
    <row r="10" spans="2:22" ht="7.15" customHeight="1">
      <c r="B10" s="105"/>
      <c r="C10" s="106"/>
      <c r="D10" s="106"/>
      <c r="E10" s="107"/>
      <c r="F10" s="107"/>
      <c r="G10" s="108"/>
      <c r="I10" s="454"/>
      <c r="J10" s="456"/>
      <c r="K10" s="456"/>
      <c r="L10" s="456"/>
      <c r="M10" s="456"/>
      <c r="N10" s="456"/>
      <c r="O10" s="456"/>
      <c r="P10" s="456"/>
      <c r="Q10" s="456"/>
      <c r="R10" s="456"/>
      <c r="S10" s="456"/>
      <c r="T10" s="456"/>
      <c r="U10" s="456"/>
      <c r="V10" s="457"/>
    </row>
    <row r="11" spans="2:22" s="117" customFormat="1" ht="30" customHeight="1">
      <c r="B11" s="113"/>
      <c r="C11" s="114" t="s">
        <v>608</v>
      </c>
      <c r="D11" s="114"/>
      <c r="E11" s="115"/>
      <c r="F11" s="115"/>
      <c r="G11" s="116"/>
      <c r="I11" s="454"/>
      <c r="J11" s="456"/>
      <c r="K11" s="456"/>
      <c r="L11" s="456"/>
      <c r="M11" s="456"/>
      <c r="N11" s="456"/>
      <c r="O11" s="456"/>
      <c r="P11" s="456"/>
      <c r="Q11" s="456"/>
      <c r="R11" s="456"/>
      <c r="S11" s="456"/>
      <c r="T11" s="456"/>
      <c r="U11" s="456"/>
      <c r="V11" s="457"/>
    </row>
    <row r="12" spans="2:22" s="117" customFormat="1" ht="30" customHeight="1">
      <c r="B12" s="113"/>
      <c r="C12" s="1170"/>
      <c r="D12" s="1170"/>
      <c r="E12" s="98"/>
      <c r="F12" s="98"/>
      <c r="G12" s="116"/>
      <c r="I12" s="454"/>
      <c r="J12" s="456"/>
      <c r="K12" s="456"/>
      <c r="L12" s="456"/>
      <c r="M12" s="456"/>
      <c r="N12" s="456"/>
      <c r="O12" s="456"/>
      <c r="P12" s="456"/>
      <c r="Q12" s="456"/>
      <c r="R12" s="456"/>
      <c r="S12" s="456"/>
      <c r="T12" s="456"/>
      <c r="U12" s="456"/>
      <c r="V12" s="457"/>
    </row>
    <row r="13" spans="2:22" ht="9" customHeight="1">
      <c r="B13" s="119"/>
      <c r="C13" s="159"/>
      <c r="D13" s="159"/>
      <c r="E13" s="98"/>
      <c r="F13" s="98"/>
      <c r="G13" s="108"/>
      <c r="I13" s="454"/>
      <c r="J13" s="456"/>
      <c r="K13" s="456"/>
      <c r="L13" s="456"/>
      <c r="M13" s="456"/>
      <c r="N13" s="456"/>
      <c r="O13" s="456"/>
      <c r="P13" s="456"/>
      <c r="Q13" s="456"/>
      <c r="R13" s="456"/>
      <c r="S13" s="456"/>
      <c r="T13" s="456"/>
      <c r="U13" s="456"/>
      <c r="V13" s="457"/>
    </row>
    <row r="14" spans="2:22" s="258" customFormat="1" ht="24" customHeight="1">
      <c r="B14" s="255"/>
      <c r="C14" s="1160" t="s">
        <v>457</v>
      </c>
      <c r="D14" s="1162"/>
      <c r="E14" s="275" t="s">
        <v>484</v>
      </c>
      <c r="F14" s="287" t="s">
        <v>609</v>
      </c>
      <c r="G14" s="257"/>
      <c r="I14" s="454"/>
      <c r="J14" s="456"/>
      <c r="K14" s="456"/>
      <c r="L14" s="456"/>
      <c r="M14" s="456"/>
      <c r="N14" s="456"/>
      <c r="O14" s="456"/>
      <c r="P14" s="456"/>
      <c r="Q14" s="456"/>
      <c r="R14" s="456"/>
      <c r="S14" s="456"/>
      <c r="T14" s="456"/>
      <c r="U14" s="456"/>
      <c r="V14" s="457"/>
    </row>
    <row r="15" spans="2:22" ht="9" customHeight="1">
      <c r="B15" s="119"/>
      <c r="C15" s="68"/>
      <c r="D15" s="159"/>
      <c r="E15" s="98"/>
      <c r="F15" s="262"/>
      <c r="G15" s="108"/>
      <c r="I15" s="454"/>
      <c r="J15" s="456"/>
      <c r="K15" s="456"/>
      <c r="L15" s="456"/>
      <c r="M15" s="456"/>
      <c r="N15" s="456"/>
      <c r="O15" s="456"/>
      <c r="P15" s="456"/>
      <c r="Q15" s="456"/>
      <c r="R15" s="456"/>
      <c r="S15" s="456"/>
      <c r="T15" s="456"/>
      <c r="U15" s="456"/>
      <c r="V15" s="457"/>
    </row>
    <row r="16" spans="2:22" s="304" customFormat="1" ht="22.9" customHeight="1">
      <c r="B16" s="302"/>
      <c r="C16" s="1222" t="s">
        <v>610</v>
      </c>
      <c r="D16" s="1223"/>
      <c r="E16" s="305">
        <f>SUM(E17:E19)</f>
        <v>0</v>
      </c>
      <c r="F16" s="308">
        <f>E16/$E$33</f>
        <v>0</v>
      </c>
      <c r="G16" s="303"/>
      <c r="I16" s="454"/>
      <c r="J16" s="456"/>
      <c r="K16" s="456"/>
      <c r="L16" s="456"/>
      <c r="M16" s="456"/>
      <c r="N16" s="456"/>
      <c r="O16" s="456"/>
      <c r="P16" s="456"/>
      <c r="Q16" s="456"/>
      <c r="R16" s="456"/>
      <c r="S16" s="456"/>
      <c r="T16" s="456"/>
      <c r="U16" s="456"/>
      <c r="V16" s="457"/>
    </row>
    <row r="17" spans="2:22" s="194" customFormat="1" ht="22.9" customHeight="1">
      <c r="B17" s="192"/>
      <c r="C17" s="198" t="s">
        <v>611</v>
      </c>
      <c r="D17" s="271" t="s">
        <v>614</v>
      </c>
      <c r="E17" s="535">
        <f>+'FC-3_1_INF_ADIC_CPyG'!K16+'FC-3_1_INF_ADIC_CPyG'!K19</f>
        <v>0</v>
      </c>
      <c r="F17" s="309">
        <f t="shared" ref="F17:F19" si="0">E17/$E$33</f>
        <v>0</v>
      </c>
      <c r="G17" s="193"/>
      <c r="I17" s="454"/>
      <c r="J17" s="456"/>
      <c r="K17" s="456"/>
      <c r="L17" s="456"/>
      <c r="M17" s="456"/>
      <c r="N17" s="456"/>
      <c r="O17" s="456"/>
      <c r="P17" s="456"/>
      <c r="Q17" s="456"/>
      <c r="R17" s="456"/>
      <c r="S17" s="456"/>
      <c r="T17" s="456"/>
      <c r="U17" s="456"/>
      <c r="V17" s="457"/>
    </row>
    <row r="18" spans="2:22" s="194" customFormat="1" ht="22.9" customHeight="1">
      <c r="B18" s="192"/>
      <c r="C18" s="198" t="s">
        <v>612</v>
      </c>
      <c r="D18" s="271" t="s">
        <v>615</v>
      </c>
      <c r="E18" s="535">
        <f>+'FC-3_1_INF_ADIC_CPyG'!K31</f>
        <v>0</v>
      </c>
      <c r="F18" s="310">
        <f t="shared" si="0"/>
        <v>0</v>
      </c>
      <c r="G18" s="193"/>
      <c r="I18" s="454"/>
      <c r="J18" s="456"/>
      <c r="K18" s="456"/>
      <c r="L18" s="456"/>
      <c r="M18" s="456"/>
      <c r="N18" s="456"/>
      <c r="O18" s="456"/>
      <c r="P18" s="456"/>
      <c r="Q18" s="456"/>
      <c r="R18" s="456"/>
      <c r="S18" s="456"/>
      <c r="T18" s="456"/>
      <c r="U18" s="456"/>
      <c r="V18" s="457"/>
    </row>
    <row r="19" spans="2:22" s="194" customFormat="1" ht="22.9" customHeight="1">
      <c r="B19" s="192"/>
      <c r="C19" s="288" t="s">
        <v>613</v>
      </c>
      <c r="D19" s="272" t="s">
        <v>616</v>
      </c>
      <c r="E19" s="538"/>
      <c r="F19" s="311">
        <f t="shared" si="0"/>
        <v>0</v>
      </c>
      <c r="G19" s="193"/>
      <c r="I19" s="454"/>
      <c r="J19" s="456"/>
      <c r="K19" s="456"/>
      <c r="L19" s="456"/>
      <c r="M19" s="456"/>
      <c r="N19" s="456"/>
      <c r="O19" s="456"/>
      <c r="P19" s="456"/>
      <c r="Q19" s="456"/>
      <c r="R19" s="456"/>
      <c r="S19" s="456"/>
      <c r="T19" s="456"/>
      <c r="U19" s="456"/>
      <c r="V19" s="457"/>
    </row>
    <row r="20" spans="2:22" s="194" customFormat="1" ht="9" customHeight="1">
      <c r="B20" s="192"/>
      <c r="C20" s="22"/>
      <c r="D20" s="159"/>
      <c r="E20" s="155"/>
      <c r="F20" s="312"/>
      <c r="G20" s="193"/>
      <c r="I20" s="454"/>
      <c r="J20" s="456"/>
      <c r="K20" s="456"/>
      <c r="L20" s="456"/>
      <c r="M20" s="456"/>
      <c r="N20" s="456"/>
      <c r="O20" s="456"/>
      <c r="P20" s="456"/>
      <c r="Q20" s="456"/>
      <c r="R20" s="456"/>
      <c r="S20" s="456"/>
      <c r="T20" s="456"/>
      <c r="U20" s="456"/>
      <c r="V20" s="457"/>
    </row>
    <row r="21" spans="2:22" s="194" customFormat="1" ht="22.9" customHeight="1">
      <c r="B21" s="192"/>
      <c r="C21" s="1222" t="s">
        <v>617</v>
      </c>
      <c r="D21" s="1223"/>
      <c r="E21" s="641">
        <f>+'FC-3_1_INF_ADIC_CPyG'!K40</f>
        <v>18707566.489009108</v>
      </c>
      <c r="F21" s="313">
        <f>E21/$E$33</f>
        <v>0.95966727210027369</v>
      </c>
      <c r="G21" s="193"/>
      <c r="I21" s="454"/>
      <c r="J21" s="456"/>
      <c r="K21" s="456"/>
      <c r="L21" s="456"/>
      <c r="M21" s="456"/>
      <c r="N21" s="456"/>
      <c r="O21" s="456"/>
      <c r="P21" s="456"/>
      <c r="Q21" s="456"/>
      <c r="R21" s="456"/>
      <c r="S21" s="456"/>
      <c r="T21" s="456"/>
      <c r="U21" s="456"/>
      <c r="V21" s="457"/>
    </row>
    <row r="22" spans="2:22" s="194" customFormat="1" ht="9" customHeight="1">
      <c r="B22" s="192"/>
      <c r="C22" s="22"/>
      <c r="D22" s="159"/>
      <c r="E22" s="155"/>
      <c r="F22" s="312"/>
      <c r="G22" s="193"/>
      <c r="I22" s="454"/>
      <c r="J22" s="456"/>
      <c r="K22" s="456"/>
      <c r="L22" s="456"/>
      <c r="M22" s="456"/>
      <c r="N22" s="456"/>
      <c r="O22" s="456"/>
      <c r="P22" s="456"/>
      <c r="Q22" s="456"/>
      <c r="R22" s="456"/>
      <c r="S22" s="456"/>
      <c r="T22" s="456"/>
      <c r="U22" s="456"/>
      <c r="V22" s="457"/>
    </row>
    <row r="23" spans="2:22" s="304" customFormat="1" ht="22.9" customHeight="1">
      <c r="B23" s="302"/>
      <c r="C23" s="1222" t="s">
        <v>618</v>
      </c>
      <c r="D23" s="1223"/>
      <c r="E23" s="305">
        <f>SUM(E24:E26)</f>
        <v>786238.32530615188</v>
      </c>
      <c r="F23" s="313">
        <f t="shared" ref="F23:F26" si="1">E23/$E$33</f>
        <v>4.0332727899726299E-2</v>
      </c>
      <c r="G23" s="303"/>
      <c r="I23" s="454"/>
      <c r="J23" s="456"/>
      <c r="K23" s="456"/>
      <c r="L23" s="456"/>
      <c r="M23" s="456"/>
      <c r="N23" s="456"/>
      <c r="O23" s="456"/>
      <c r="P23" s="456"/>
      <c r="Q23" s="456"/>
      <c r="R23" s="456"/>
      <c r="S23" s="456"/>
      <c r="T23" s="456"/>
      <c r="U23" s="456"/>
      <c r="V23" s="457"/>
    </row>
    <row r="24" spans="2:22" s="194" customFormat="1" ht="22.9" customHeight="1">
      <c r="B24" s="192"/>
      <c r="C24" s="198" t="s">
        <v>611</v>
      </c>
      <c r="D24" s="271" t="s">
        <v>619</v>
      </c>
      <c r="E24" s="535">
        <f>+'FC-9_TRANS_SUBV'!G50+'FC-9_TRANS_SUBV'!G65</f>
        <v>575258.32530615188</v>
      </c>
      <c r="F24" s="309">
        <f t="shared" si="1"/>
        <v>2.95098022569566E-2</v>
      </c>
      <c r="G24" s="193"/>
      <c r="I24" s="454"/>
      <c r="J24" s="456"/>
      <c r="K24" s="456"/>
      <c r="L24" s="456"/>
      <c r="M24" s="456"/>
      <c r="N24" s="456"/>
      <c r="O24" s="456"/>
      <c r="P24" s="456"/>
      <c r="Q24" s="456"/>
      <c r="R24" s="456"/>
      <c r="S24" s="456"/>
      <c r="T24" s="456"/>
      <c r="U24" s="456"/>
      <c r="V24" s="457"/>
    </row>
    <row r="25" spans="2:22" s="194" customFormat="1" ht="22.9" customHeight="1">
      <c r="B25" s="192"/>
      <c r="C25" s="198" t="s">
        <v>612</v>
      </c>
      <c r="D25" s="271" t="s">
        <v>621</v>
      </c>
      <c r="E25" s="535">
        <f>+'FC-3_1_INF_ADIC_CPyG'!G76+'FC-3_1_INF_ADIC_CPyG'!G77+'FC-3_1_INF_ADIC_CPyG'!G78+'FC-3_1_INF_ADIC_CPyG'!G81</f>
        <v>210980</v>
      </c>
      <c r="F25" s="310">
        <f t="shared" si="1"/>
        <v>1.0822925642769697E-2</v>
      </c>
      <c r="G25" s="193"/>
      <c r="I25" s="454"/>
      <c r="J25" s="456"/>
      <c r="K25" s="456"/>
      <c r="L25" s="456"/>
      <c r="M25" s="456"/>
      <c r="N25" s="456"/>
      <c r="O25" s="456"/>
      <c r="P25" s="456"/>
      <c r="Q25" s="456"/>
      <c r="R25" s="456"/>
      <c r="S25" s="456"/>
      <c r="T25" s="456"/>
      <c r="U25" s="456"/>
      <c r="V25" s="457"/>
    </row>
    <row r="26" spans="2:22" s="194" customFormat="1" ht="22.9" customHeight="1">
      <c r="B26" s="192"/>
      <c r="C26" s="288" t="s">
        <v>613</v>
      </c>
      <c r="D26" s="272" t="s">
        <v>620</v>
      </c>
      <c r="E26" s="538">
        <f>+'FC-3_1_INF_ADIC_CPyG'!G80</f>
        <v>0</v>
      </c>
      <c r="F26" s="311">
        <f t="shared" si="1"/>
        <v>0</v>
      </c>
      <c r="G26" s="193"/>
      <c r="I26" s="454"/>
      <c r="J26" s="456"/>
      <c r="K26" s="456"/>
      <c r="L26" s="456"/>
      <c r="M26" s="456"/>
      <c r="N26" s="456"/>
      <c r="O26" s="456"/>
      <c r="P26" s="456"/>
      <c r="Q26" s="456"/>
      <c r="R26" s="456"/>
      <c r="S26" s="456"/>
      <c r="T26" s="456"/>
      <c r="U26" s="456"/>
      <c r="V26" s="457"/>
    </row>
    <row r="27" spans="2:22" s="194" customFormat="1" ht="9" customHeight="1">
      <c r="B27" s="192"/>
      <c r="C27" s="22"/>
      <c r="D27" s="159"/>
      <c r="E27" s="155"/>
      <c r="F27" s="312"/>
      <c r="G27" s="193"/>
      <c r="I27" s="454"/>
      <c r="J27" s="456"/>
      <c r="K27" s="456"/>
      <c r="L27" s="456"/>
      <c r="M27" s="456"/>
      <c r="N27" s="456"/>
      <c r="O27" s="456"/>
      <c r="P27" s="456"/>
      <c r="Q27" s="456"/>
      <c r="R27" s="456"/>
      <c r="S27" s="456"/>
      <c r="T27" s="456"/>
      <c r="U27" s="456"/>
      <c r="V27" s="457"/>
    </row>
    <row r="28" spans="2:22" s="304" customFormat="1" ht="22.9" customHeight="1">
      <c r="B28" s="302"/>
      <c r="C28" s="1222" t="s">
        <v>622</v>
      </c>
      <c r="D28" s="1223"/>
      <c r="E28" s="305">
        <f>SUM(E29:E31)</f>
        <v>0</v>
      </c>
      <c r="F28" s="313">
        <f t="shared" ref="F28:F31" si="2">E28/$E$33</f>
        <v>0</v>
      </c>
      <c r="G28" s="303"/>
      <c r="I28" s="454"/>
      <c r="J28" s="456"/>
      <c r="K28" s="456"/>
      <c r="L28" s="456"/>
      <c r="M28" s="456"/>
      <c r="N28" s="456"/>
      <c r="O28" s="456"/>
      <c r="P28" s="456"/>
      <c r="Q28" s="456"/>
      <c r="R28" s="456"/>
      <c r="S28" s="456"/>
      <c r="T28" s="456"/>
      <c r="U28" s="456"/>
      <c r="V28" s="457"/>
    </row>
    <row r="29" spans="2:22" s="194" customFormat="1" ht="22.9" customHeight="1">
      <c r="B29" s="192"/>
      <c r="C29" s="198" t="s">
        <v>611</v>
      </c>
      <c r="D29" s="271"/>
      <c r="E29" s="535"/>
      <c r="F29" s="309">
        <f t="shared" si="2"/>
        <v>0</v>
      </c>
      <c r="G29" s="193"/>
      <c r="I29" s="454"/>
      <c r="J29" s="456"/>
      <c r="K29" s="456"/>
      <c r="L29" s="456"/>
      <c r="M29" s="456"/>
      <c r="N29" s="456"/>
      <c r="O29" s="456"/>
      <c r="P29" s="456"/>
      <c r="Q29" s="456"/>
      <c r="R29" s="456"/>
      <c r="S29" s="456"/>
      <c r="T29" s="456"/>
      <c r="U29" s="456"/>
      <c r="V29" s="457"/>
    </row>
    <row r="30" spans="2:22" s="194" customFormat="1" ht="22.9" customHeight="1">
      <c r="B30" s="192"/>
      <c r="C30" s="198" t="s">
        <v>612</v>
      </c>
      <c r="D30" s="271"/>
      <c r="E30" s="535"/>
      <c r="F30" s="310">
        <f t="shared" si="2"/>
        <v>0</v>
      </c>
      <c r="G30" s="193"/>
      <c r="I30" s="454"/>
      <c r="J30" s="456"/>
      <c r="K30" s="456"/>
      <c r="L30" s="456"/>
      <c r="M30" s="456"/>
      <c r="N30" s="456"/>
      <c r="O30" s="456"/>
      <c r="P30" s="456"/>
      <c r="Q30" s="456"/>
      <c r="R30" s="456"/>
      <c r="S30" s="456"/>
      <c r="T30" s="456"/>
      <c r="U30" s="456"/>
      <c r="V30" s="457"/>
    </row>
    <row r="31" spans="2:22" s="194" customFormat="1" ht="22.9" customHeight="1">
      <c r="B31" s="192"/>
      <c r="C31" s="288" t="s">
        <v>613</v>
      </c>
      <c r="D31" s="272"/>
      <c r="E31" s="538"/>
      <c r="F31" s="311">
        <f t="shared" si="2"/>
        <v>0</v>
      </c>
      <c r="G31" s="193"/>
      <c r="I31" s="454"/>
      <c r="J31" s="456"/>
      <c r="K31" s="456"/>
      <c r="L31" s="456"/>
      <c r="M31" s="456"/>
      <c r="N31" s="456"/>
      <c r="O31" s="456"/>
      <c r="P31" s="456"/>
      <c r="Q31" s="456"/>
      <c r="R31" s="456"/>
      <c r="S31" s="456"/>
      <c r="T31" s="456"/>
      <c r="U31" s="456"/>
      <c r="V31" s="457"/>
    </row>
    <row r="32" spans="2:22" s="194" customFormat="1" ht="22.9" customHeight="1">
      <c r="B32" s="192"/>
      <c r="C32" s="159"/>
      <c r="D32" s="221"/>
      <c r="E32" s="223"/>
      <c r="F32" s="306"/>
      <c r="G32" s="193"/>
      <c r="I32" s="454"/>
      <c r="J32" s="456"/>
      <c r="K32" s="456"/>
      <c r="L32" s="456"/>
      <c r="M32" s="456"/>
      <c r="N32" s="456"/>
      <c r="O32" s="456"/>
      <c r="P32" s="456"/>
      <c r="Q32" s="456"/>
      <c r="R32" s="456"/>
      <c r="S32" s="456"/>
      <c r="T32" s="456"/>
      <c r="U32" s="456"/>
      <c r="V32" s="457"/>
    </row>
    <row r="33" spans="2:22" s="194" customFormat="1" ht="22.9" customHeight="1" thickBot="1">
      <c r="B33" s="192"/>
      <c r="C33" s="1224" t="s">
        <v>623</v>
      </c>
      <c r="D33" s="1225"/>
      <c r="E33" s="301">
        <f>E28+E23+E21+E16</f>
        <v>19493804.814315259</v>
      </c>
      <c r="F33" s="307">
        <f>E33/E33</f>
        <v>1</v>
      </c>
      <c r="G33" s="193"/>
      <c r="I33" s="454"/>
      <c r="J33" s="456"/>
      <c r="K33" s="456"/>
      <c r="L33" s="456"/>
      <c r="M33" s="456"/>
      <c r="N33" s="456"/>
      <c r="O33" s="456"/>
      <c r="P33" s="456"/>
      <c r="Q33" s="456"/>
      <c r="R33" s="456"/>
      <c r="S33" s="456"/>
      <c r="T33" s="456"/>
      <c r="U33" s="456"/>
      <c r="V33" s="457"/>
    </row>
    <row r="34" spans="2:22" ht="22.9" customHeight="1">
      <c r="B34" s="119"/>
      <c r="C34" s="159"/>
      <c r="D34" s="221"/>
      <c r="E34" s="223"/>
      <c r="F34" s="224"/>
      <c r="G34" s="108"/>
      <c r="I34" s="454"/>
      <c r="J34" s="456"/>
      <c r="K34" s="456"/>
      <c r="L34" s="456"/>
      <c r="M34" s="456"/>
      <c r="N34" s="456"/>
      <c r="O34" s="456"/>
      <c r="P34" s="456"/>
      <c r="Q34" s="456"/>
      <c r="R34" s="456"/>
      <c r="S34" s="456"/>
      <c r="T34" s="456"/>
      <c r="U34" s="456"/>
      <c r="V34" s="457"/>
    </row>
    <row r="35" spans="2:22" ht="22.9" customHeight="1">
      <c r="B35" s="119"/>
      <c r="C35" s="159"/>
      <c r="D35" s="221"/>
      <c r="E35" s="223"/>
      <c r="F35" s="224"/>
      <c r="G35" s="108"/>
      <c r="I35" s="454"/>
      <c r="J35" s="456"/>
      <c r="K35" s="456"/>
      <c r="L35" s="456"/>
      <c r="M35" s="456"/>
      <c r="N35" s="456"/>
      <c r="O35" s="456"/>
      <c r="P35" s="456"/>
      <c r="Q35" s="456"/>
      <c r="R35" s="456"/>
      <c r="S35" s="456"/>
      <c r="T35" s="456"/>
      <c r="U35" s="456"/>
      <c r="V35" s="457"/>
    </row>
    <row r="36" spans="2:22" ht="22.9" customHeight="1">
      <c r="B36" s="119"/>
      <c r="C36" s="159"/>
      <c r="D36" s="221"/>
      <c r="E36" s="223"/>
      <c r="F36" s="224"/>
      <c r="G36" s="108"/>
      <c r="I36" s="454"/>
      <c r="J36" s="456"/>
      <c r="K36" s="456"/>
      <c r="L36" s="456"/>
      <c r="M36" s="456"/>
      <c r="N36" s="456"/>
      <c r="O36" s="456"/>
      <c r="P36" s="456"/>
      <c r="Q36" s="456"/>
      <c r="R36" s="456"/>
      <c r="S36" s="456"/>
      <c r="T36" s="456"/>
      <c r="U36" s="456"/>
      <c r="V36" s="457"/>
    </row>
    <row r="37" spans="2:22" ht="22.9" customHeight="1">
      <c r="B37" s="119"/>
      <c r="C37" s="159"/>
      <c r="D37" s="221"/>
      <c r="E37" s="223"/>
      <c r="F37" s="224"/>
      <c r="G37" s="108"/>
      <c r="I37" s="454"/>
      <c r="J37" s="456"/>
      <c r="K37" s="456"/>
      <c r="L37" s="456"/>
      <c r="M37" s="456"/>
      <c r="N37" s="456"/>
      <c r="O37" s="456"/>
      <c r="P37" s="456"/>
      <c r="Q37" s="456"/>
      <c r="R37" s="456"/>
      <c r="S37" s="456"/>
      <c r="T37" s="456"/>
      <c r="U37" s="456"/>
      <c r="V37" s="457"/>
    </row>
    <row r="38" spans="2:22" ht="22.9" customHeight="1">
      <c r="B38" s="119"/>
      <c r="C38" s="159"/>
      <c r="D38" s="221"/>
      <c r="E38" s="223"/>
      <c r="F38" s="224"/>
      <c r="G38" s="108"/>
      <c r="I38" s="454"/>
      <c r="J38" s="456"/>
      <c r="K38" s="456"/>
      <c r="L38" s="456"/>
      <c r="M38" s="456"/>
      <c r="N38" s="456"/>
      <c r="O38" s="456"/>
      <c r="P38" s="456"/>
      <c r="Q38" s="456"/>
      <c r="R38" s="456"/>
      <c r="S38" s="456"/>
      <c r="T38" s="456"/>
      <c r="U38" s="456"/>
      <c r="V38" s="457"/>
    </row>
    <row r="39" spans="2:22" ht="22.9" customHeight="1">
      <c r="B39" s="119"/>
      <c r="C39" s="221"/>
      <c r="D39" s="221"/>
      <c r="E39" s="222"/>
      <c r="F39" s="98"/>
      <c r="G39" s="108"/>
      <c r="I39" s="454"/>
      <c r="J39" s="456"/>
      <c r="K39" s="456"/>
      <c r="L39" s="456"/>
      <c r="M39" s="456"/>
      <c r="N39" s="456"/>
      <c r="O39" s="456"/>
      <c r="P39" s="456"/>
      <c r="Q39" s="456"/>
      <c r="R39" s="456"/>
      <c r="S39" s="456"/>
      <c r="T39" s="456"/>
      <c r="U39" s="456"/>
      <c r="V39" s="457"/>
    </row>
    <row r="40" spans="2:22" ht="22.9" customHeight="1" thickBot="1">
      <c r="B40" s="123"/>
      <c r="C40" s="1128"/>
      <c r="D40" s="1128"/>
      <c r="E40" s="57"/>
      <c r="F40" s="124"/>
      <c r="G40" s="125"/>
      <c r="I40" s="448"/>
      <c r="J40" s="449"/>
      <c r="K40" s="449"/>
      <c r="L40" s="449"/>
      <c r="M40" s="449"/>
      <c r="N40" s="449"/>
      <c r="O40" s="449"/>
      <c r="P40" s="449"/>
      <c r="Q40" s="449"/>
      <c r="R40" s="449"/>
      <c r="S40" s="449"/>
      <c r="T40" s="449"/>
      <c r="U40" s="449"/>
      <c r="V40" s="450"/>
    </row>
    <row r="41" spans="2:22" ht="22.9" customHeight="1">
      <c r="C41" s="106"/>
      <c r="D41" s="106"/>
      <c r="E41" s="107"/>
      <c r="F41" s="107"/>
    </row>
    <row r="42" spans="2:22" ht="12.75">
      <c r="C42" s="126" t="s">
        <v>77</v>
      </c>
      <c r="D42" s="106"/>
      <c r="E42" s="107"/>
      <c r="F42" s="97" t="s">
        <v>68</v>
      </c>
    </row>
    <row r="43" spans="2:22" ht="12.75">
      <c r="C43" s="127" t="s">
        <v>78</v>
      </c>
      <c r="D43" s="106"/>
      <c r="E43" s="107"/>
      <c r="F43" s="107"/>
    </row>
    <row r="44" spans="2:22" ht="12.75">
      <c r="C44" s="127" t="s">
        <v>79</v>
      </c>
      <c r="D44" s="106"/>
      <c r="E44" s="107"/>
      <c r="F44" s="107"/>
    </row>
    <row r="45" spans="2:22" ht="12.75">
      <c r="C45" s="127" t="s">
        <v>80</v>
      </c>
      <c r="D45" s="106"/>
      <c r="E45" s="107"/>
      <c r="F45" s="107"/>
    </row>
    <row r="46" spans="2:22" ht="12.75">
      <c r="C46" s="127" t="s">
        <v>81</v>
      </c>
      <c r="D46" s="106"/>
      <c r="E46" s="107"/>
      <c r="F46" s="107"/>
    </row>
    <row r="47" spans="2:22" ht="22.9" customHeight="1">
      <c r="C47" s="106"/>
      <c r="D47" s="106"/>
      <c r="E47" s="107"/>
      <c r="F47" s="107"/>
    </row>
    <row r="48" spans="2:22" ht="22.9" customHeight="1">
      <c r="C48" s="106"/>
      <c r="D48" s="106"/>
      <c r="E48" s="107"/>
      <c r="F48" s="107"/>
    </row>
    <row r="49" spans="3:6" ht="22.9" customHeight="1">
      <c r="C49" s="106"/>
      <c r="D49" s="106"/>
      <c r="E49" s="107"/>
      <c r="F49" s="107"/>
    </row>
    <row r="50" spans="3:6" ht="22.9" customHeight="1">
      <c r="C50" s="106"/>
      <c r="D50" s="106"/>
      <c r="E50" s="107"/>
      <c r="F50" s="107"/>
    </row>
    <row r="51" spans="3:6" ht="22.9" customHeight="1">
      <c r="E51" s="107"/>
      <c r="F51" s="107"/>
    </row>
  </sheetData>
  <sheetProtection password="E059" sheet="1" objects="1" scenarios="1"/>
  <mergeCells count="10">
    <mergeCell ref="C40:D40"/>
    <mergeCell ref="C23:D23"/>
    <mergeCell ref="C28:D28"/>
    <mergeCell ref="C33:D33"/>
    <mergeCell ref="C21:D21"/>
    <mergeCell ref="F6:F7"/>
    <mergeCell ref="D9:F9"/>
    <mergeCell ref="C12:D12"/>
    <mergeCell ref="C14:D14"/>
    <mergeCell ref="C16:D16"/>
  </mergeCells>
  <phoneticPr fontId="22" type="noConversion"/>
  <printOptions horizontalCentered="1" verticalCentered="1"/>
  <pageMargins left="0.36000000000000004" right="0.36000000000000004" top="0.6100000000000001" bottom="0.6100000000000001" header="0.5" footer="0.5"/>
  <pageSetup paperSize="9" scale="68" orientation="portrait" horizontalDpi="4294967292" verticalDpi="4294967292" r:id="rId1"/>
  <ignoredErrors>
    <ignoredError sqref="F16:F33" evalError="1"/>
  </ignoredErrors>
  <drawing r:id="rId2"/>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H86"/>
  <sheetViews>
    <sheetView workbookViewId="0">
      <selection activeCell="D73" sqref="D73"/>
    </sheetView>
  </sheetViews>
  <sheetFormatPr baseColWidth="10" defaultColWidth="10.77734375" defaultRowHeight="22.9" customHeight="1"/>
  <cols>
    <col min="1" max="2" width="3.21875" style="99" customWidth="1"/>
    <col min="3" max="3" width="13.21875" style="99" customWidth="1"/>
    <col min="4" max="4" width="68" style="99" customWidth="1"/>
    <col min="5" max="5" width="16.77734375" style="100" customWidth="1"/>
    <col min="6" max="6" width="3.21875" style="99" customWidth="1"/>
    <col min="7" max="16384" width="10.77734375" style="99"/>
  </cols>
  <sheetData>
    <row r="2" spans="2:6" ht="22.9" customHeight="1">
      <c r="D2" s="221" t="s">
        <v>379</v>
      </c>
    </row>
    <row r="3" spans="2:6" ht="22.9" customHeight="1">
      <c r="D3" s="221" t="s">
        <v>380</v>
      </c>
    </row>
    <row r="4" spans="2:6" ht="22.9" customHeight="1" thickBot="1"/>
    <row r="5" spans="2:6" ht="9" customHeight="1">
      <c r="B5" s="101"/>
      <c r="C5" s="102"/>
      <c r="D5" s="102"/>
      <c r="E5" s="103"/>
      <c r="F5" s="104"/>
    </row>
    <row r="6" spans="2:6" ht="30" customHeight="1">
      <c r="B6" s="105"/>
      <c r="C6" s="69" t="s">
        <v>0</v>
      </c>
      <c r="D6" s="106"/>
      <c r="E6" s="1105">
        <f>ejercicio</f>
        <v>2018</v>
      </c>
      <c r="F6" s="108"/>
    </row>
    <row r="7" spans="2:6" ht="30" customHeight="1">
      <c r="B7" s="105"/>
      <c r="C7" s="69" t="s">
        <v>1</v>
      </c>
      <c r="D7" s="106"/>
      <c r="E7" s="1105"/>
      <c r="F7" s="108"/>
    </row>
    <row r="8" spans="2:6" ht="30" customHeight="1">
      <c r="B8" s="105"/>
      <c r="C8" s="109"/>
      <c r="D8" s="106"/>
      <c r="E8" s="110"/>
      <c r="F8" s="108"/>
    </row>
    <row r="9" spans="2:6" s="194" customFormat="1" ht="30" customHeight="1">
      <c r="B9" s="192"/>
      <c r="C9" s="56" t="s">
        <v>2</v>
      </c>
      <c r="D9" s="1129" t="str">
        <f>Entidad</f>
        <v>METROPOLITANO DE TENERIFE, S.A.</v>
      </c>
      <c r="E9" s="1129"/>
      <c r="F9" s="193"/>
    </row>
    <row r="10" spans="2:6" ht="7.15" customHeight="1">
      <c r="B10" s="105"/>
      <c r="C10" s="106"/>
      <c r="D10" s="106"/>
      <c r="E10" s="107"/>
      <c r="F10" s="108"/>
    </row>
    <row r="11" spans="2:6" s="117" customFormat="1" ht="30" customHeight="1">
      <c r="B11" s="113"/>
      <c r="C11" s="114" t="s">
        <v>624</v>
      </c>
      <c r="D11" s="114"/>
      <c r="E11" s="115"/>
      <c r="F11" s="116"/>
    </row>
    <row r="12" spans="2:6" s="117" customFormat="1" ht="30" customHeight="1">
      <c r="B12" s="113"/>
      <c r="C12" s="1170"/>
      <c r="D12" s="1170"/>
      <c r="E12" s="98"/>
      <c r="F12" s="116"/>
    </row>
    <row r="13" spans="2:6" ht="9" customHeight="1">
      <c r="B13" s="119"/>
      <c r="C13" s="159"/>
      <c r="D13" s="159"/>
      <c r="E13" s="98"/>
      <c r="F13" s="108"/>
    </row>
    <row r="14" spans="2:6" s="258" customFormat="1" ht="24" customHeight="1">
      <c r="B14" s="255"/>
      <c r="C14" s="1160" t="s">
        <v>639</v>
      </c>
      <c r="D14" s="1162"/>
      <c r="E14" s="275" t="s">
        <v>484</v>
      </c>
      <c r="F14" s="257"/>
    </row>
    <row r="15" spans="2:6" ht="9" customHeight="1">
      <c r="B15" s="119"/>
      <c r="C15" s="68"/>
      <c r="D15" s="159"/>
      <c r="E15" s="98"/>
      <c r="F15" s="108"/>
    </row>
    <row r="16" spans="2:6" s="194" customFormat="1" ht="22.9" customHeight="1">
      <c r="B16" s="192"/>
      <c r="C16" s="298" t="s">
        <v>189</v>
      </c>
      <c r="D16" s="236" t="s">
        <v>625</v>
      </c>
      <c r="E16" s="177">
        <f>+'FC-91_PRESUPUESTO'!E16</f>
        <v>0</v>
      </c>
      <c r="F16" s="193"/>
    </row>
    <row r="17" spans="2:6" s="194" customFormat="1" ht="22.9" customHeight="1">
      <c r="B17" s="192"/>
      <c r="C17" s="198" t="s">
        <v>199</v>
      </c>
      <c r="D17" s="271" t="s">
        <v>626</v>
      </c>
      <c r="E17" s="199">
        <f>+'FC-91_PRESUPUESTO'!E17</f>
        <v>0</v>
      </c>
      <c r="F17" s="193"/>
    </row>
    <row r="18" spans="2:6" s="194" customFormat="1" ht="22.9" customHeight="1">
      <c r="B18" s="192"/>
      <c r="C18" s="198" t="s">
        <v>204</v>
      </c>
      <c r="D18" s="271" t="s">
        <v>627</v>
      </c>
      <c r="E18" s="199">
        <f>+'FC-91_PRESUPUESTO'!E18</f>
        <v>23897820.242385808</v>
      </c>
      <c r="F18" s="193"/>
    </row>
    <row r="19" spans="2:6" s="194" customFormat="1" ht="22.9" customHeight="1">
      <c r="B19" s="192"/>
      <c r="C19" s="198" t="s">
        <v>208</v>
      </c>
      <c r="D19" s="271" t="s">
        <v>628</v>
      </c>
      <c r="E19" s="199">
        <f>+'FC-91_PRESUPUESTO'!E19</f>
        <v>575258.32530615188</v>
      </c>
      <c r="F19" s="193"/>
    </row>
    <row r="20" spans="2:6" s="194" customFormat="1" ht="22.9" customHeight="1">
      <c r="B20" s="192"/>
      <c r="C20" s="288" t="s">
        <v>216</v>
      </c>
      <c r="D20" s="272" t="s">
        <v>629</v>
      </c>
      <c r="E20" s="178">
        <f>+'FC-91_PRESUPUESTO'!E20</f>
        <v>0</v>
      </c>
      <c r="F20" s="193"/>
    </row>
    <row r="21" spans="2:6" s="194" customFormat="1" ht="22.9" customHeight="1">
      <c r="B21" s="192"/>
      <c r="C21" s="1222" t="s">
        <v>630</v>
      </c>
      <c r="D21" s="1223"/>
      <c r="E21" s="305">
        <f>SUM(E16:E20)</f>
        <v>24473078.567691959</v>
      </c>
      <c r="F21" s="193"/>
    </row>
    <row r="22" spans="2:6" s="194" customFormat="1" ht="9" customHeight="1">
      <c r="B22" s="192"/>
      <c r="C22" s="22"/>
      <c r="D22" s="159"/>
      <c r="E22" s="155"/>
      <c r="F22" s="193"/>
    </row>
    <row r="23" spans="2:6" s="194" customFormat="1" ht="22.9" customHeight="1">
      <c r="B23" s="192"/>
      <c r="C23" s="298" t="s">
        <v>219</v>
      </c>
      <c r="D23" s="236" t="s">
        <v>631</v>
      </c>
      <c r="E23" s="177">
        <f>+'FC-91_PRESUPUESTO'!E23</f>
        <v>0</v>
      </c>
      <c r="F23" s="193"/>
    </row>
    <row r="24" spans="2:6" s="194" customFormat="1" ht="22.9" customHeight="1">
      <c r="B24" s="192"/>
      <c r="C24" s="198" t="s">
        <v>221</v>
      </c>
      <c r="D24" s="271" t="s">
        <v>632</v>
      </c>
      <c r="E24" s="199">
        <f>+'FC-91_PRESUPUESTO'!E24</f>
        <v>0</v>
      </c>
      <c r="F24" s="193"/>
    </row>
    <row r="25" spans="2:6" s="194" customFormat="1" ht="22.9" customHeight="1">
      <c r="B25" s="192"/>
      <c r="C25" s="1222" t="s">
        <v>633</v>
      </c>
      <c r="D25" s="1223"/>
      <c r="E25" s="305">
        <f>SUM(E23:E24)</f>
        <v>0</v>
      </c>
      <c r="F25" s="193"/>
    </row>
    <row r="26" spans="2:6" s="194" customFormat="1" ht="9" customHeight="1">
      <c r="B26" s="192"/>
      <c r="C26" s="22"/>
      <c r="D26" s="159"/>
      <c r="E26" s="155"/>
      <c r="F26" s="193"/>
    </row>
    <row r="27" spans="2:6" s="194" customFormat="1" ht="22.9" customHeight="1">
      <c r="B27" s="192"/>
      <c r="C27" s="298" t="s">
        <v>272</v>
      </c>
      <c r="D27" s="236" t="s">
        <v>634</v>
      </c>
      <c r="E27" s="177">
        <f>+'FC-91_PRESUPUESTO'!E27</f>
        <v>381168.63</v>
      </c>
      <c r="F27" s="193"/>
    </row>
    <row r="28" spans="2:6" s="194" customFormat="1" ht="22.9" customHeight="1">
      <c r="B28" s="192"/>
      <c r="C28" s="198" t="s">
        <v>274</v>
      </c>
      <c r="D28" s="271" t="s">
        <v>635</v>
      </c>
      <c r="E28" s="199">
        <f>+'FC-91_PRESUPUESTO'!E28</f>
        <v>3421775.9599999944</v>
      </c>
      <c r="F28" s="193"/>
    </row>
    <row r="29" spans="2:6" s="194" customFormat="1" ht="22.9" customHeight="1">
      <c r="B29" s="192"/>
      <c r="C29" s="1222" t="s">
        <v>636</v>
      </c>
      <c r="D29" s="1223"/>
      <c r="E29" s="305">
        <f>SUM(E27:E28)</f>
        <v>3802944.5899999943</v>
      </c>
      <c r="F29" s="193"/>
    </row>
    <row r="30" spans="2:6" s="194" customFormat="1" ht="22.9" customHeight="1">
      <c r="B30" s="192"/>
      <c r="C30" s="159"/>
      <c r="D30" s="221"/>
      <c r="E30" s="223"/>
      <c r="F30" s="193"/>
    </row>
    <row r="31" spans="2:6" s="315" customFormat="1" ht="22.9" customHeight="1" thickBot="1">
      <c r="B31" s="113"/>
      <c r="C31" s="1226" t="s">
        <v>637</v>
      </c>
      <c r="D31" s="1227"/>
      <c r="E31" s="314">
        <f>E21+E25+E29</f>
        <v>28276023.157691956</v>
      </c>
      <c r="F31" s="116"/>
    </row>
    <row r="32" spans="2:6" s="194" customFormat="1" ht="9" customHeight="1">
      <c r="B32" s="192"/>
      <c r="C32" s="22"/>
      <c r="D32" s="159"/>
      <c r="E32" s="155"/>
      <c r="F32" s="193"/>
    </row>
    <row r="33" spans="2:6" s="194" customFormat="1" ht="22.9" customHeight="1">
      <c r="B33" s="192"/>
      <c r="C33" s="1222" t="s">
        <v>638</v>
      </c>
      <c r="D33" s="1223"/>
      <c r="E33" s="305">
        <f>+'FC-92_PRESUPUESTO_PYG'!E33</f>
        <v>525196.69999999995</v>
      </c>
      <c r="F33" s="193"/>
    </row>
    <row r="34" spans="2:6" s="194" customFormat="1" ht="9" customHeight="1">
      <c r="B34" s="192"/>
      <c r="C34" s="22"/>
      <c r="D34" s="159"/>
      <c r="E34" s="155"/>
      <c r="F34" s="193"/>
    </row>
    <row r="35" spans="2:6" s="194" customFormat="1" ht="22.9" customHeight="1" thickBot="1">
      <c r="B35" s="192"/>
      <c r="C35" s="1226" t="s">
        <v>637</v>
      </c>
      <c r="D35" s="1227"/>
      <c r="E35" s="314">
        <f>+E31+E33</f>
        <v>28801219.857691955</v>
      </c>
      <c r="F35" s="193"/>
    </row>
    <row r="36" spans="2:6" s="194" customFormat="1" ht="22.9" customHeight="1">
      <c r="B36" s="192"/>
      <c r="C36" s="316"/>
      <c r="D36" s="316"/>
      <c r="E36" s="317"/>
      <c r="F36" s="193"/>
    </row>
    <row r="37" spans="2:6" s="258" customFormat="1" ht="24" customHeight="1">
      <c r="B37" s="255"/>
      <c r="C37" s="1160" t="s">
        <v>640</v>
      </c>
      <c r="D37" s="1162"/>
      <c r="E37" s="275" t="s">
        <v>484</v>
      </c>
      <c r="F37" s="257"/>
    </row>
    <row r="38" spans="2:6" ht="9" customHeight="1">
      <c r="B38" s="119"/>
      <c r="C38" s="68"/>
      <c r="D38" s="159"/>
      <c r="E38" s="98"/>
      <c r="F38" s="108"/>
    </row>
    <row r="39" spans="2:6" s="194" customFormat="1" ht="22.9" customHeight="1">
      <c r="B39" s="192"/>
      <c r="C39" s="298" t="s">
        <v>189</v>
      </c>
      <c r="D39" s="236" t="s">
        <v>641</v>
      </c>
      <c r="E39" s="177">
        <f>+'FC-91_PRESUPUESTO'!E36</f>
        <v>7245012</v>
      </c>
      <c r="F39" s="193"/>
    </row>
    <row r="40" spans="2:6" s="194" customFormat="1" ht="22.9" customHeight="1">
      <c r="B40" s="192"/>
      <c r="C40" s="198" t="s">
        <v>199</v>
      </c>
      <c r="D40" s="271" t="s">
        <v>642</v>
      </c>
      <c r="E40" s="199">
        <f>+'FC-91_PRESUPUESTO'!E37</f>
        <v>7983493.5980624501</v>
      </c>
      <c r="F40" s="193"/>
    </row>
    <row r="41" spans="2:6" s="194" customFormat="1" ht="22.9" customHeight="1">
      <c r="B41" s="192"/>
      <c r="C41" s="198" t="s">
        <v>204</v>
      </c>
      <c r="D41" s="271" t="s">
        <v>395</v>
      </c>
      <c r="E41" s="199">
        <f>+'FC-91_PRESUPUESTO'!E38</f>
        <v>4508675.3104829993</v>
      </c>
      <c r="F41" s="193"/>
    </row>
    <row r="42" spans="2:6" s="194" customFormat="1" ht="22.9" customHeight="1">
      <c r="B42" s="192"/>
      <c r="C42" s="198" t="s">
        <v>208</v>
      </c>
      <c r="D42" s="271" t="s">
        <v>643</v>
      </c>
      <c r="E42" s="199">
        <f>+'FC-91_PRESUPUESTO'!E39</f>
        <v>0</v>
      </c>
      <c r="F42" s="193"/>
    </row>
    <row r="43" spans="2:6" s="194" customFormat="1" ht="22.9" customHeight="1">
      <c r="B43" s="192"/>
      <c r="C43" s="1222" t="s">
        <v>644</v>
      </c>
      <c r="D43" s="1223"/>
      <c r="E43" s="305">
        <f>SUM(E39:E42)</f>
        <v>19737180.908545449</v>
      </c>
      <c r="F43" s="193"/>
    </row>
    <row r="44" spans="2:6" s="194" customFormat="1" ht="9" customHeight="1">
      <c r="B44" s="192"/>
      <c r="C44" s="22"/>
      <c r="D44" s="159"/>
      <c r="E44" s="155"/>
      <c r="F44" s="193"/>
    </row>
    <row r="45" spans="2:6" s="194" customFormat="1" ht="22.9" customHeight="1">
      <c r="B45" s="192"/>
      <c r="C45" s="298" t="s">
        <v>219</v>
      </c>
      <c r="D45" s="236" t="s">
        <v>645</v>
      </c>
      <c r="E45" s="177">
        <f>+'FC-91_PRESUPUESTO'!E42</f>
        <v>6826887.2896079728</v>
      </c>
      <c r="F45" s="193"/>
    </row>
    <row r="46" spans="2:6" s="194" customFormat="1" ht="22.9" customHeight="1">
      <c r="B46" s="192"/>
      <c r="C46" s="198" t="s">
        <v>221</v>
      </c>
      <c r="D46" s="271" t="s">
        <v>632</v>
      </c>
      <c r="E46" s="199">
        <f>+'FC-91_PRESUPUESTO'!E43</f>
        <v>0</v>
      </c>
      <c r="F46" s="193"/>
    </row>
    <row r="47" spans="2:6" s="194" customFormat="1" ht="22.9" customHeight="1">
      <c r="B47" s="192"/>
      <c r="C47" s="1222" t="s">
        <v>646</v>
      </c>
      <c r="D47" s="1223"/>
      <c r="E47" s="305">
        <f>SUM(E45:E46)</f>
        <v>6826887.2896079728</v>
      </c>
      <c r="F47" s="193"/>
    </row>
    <row r="48" spans="2:6" s="194" customFormat="1" ht="9" customHeight="1">
      <c r="B48" s="192"/>
      <c r="C48" s="22"/>
      <c r="D48" s="159"/>
      <c r="E48" s="155"/>
      <c r="F48" s="193"/>
    </row>
    <row r="49" spans="2:8" s="194" customFormat="1" ht="22.9" customHeight="1">
      <c r="B49" s="192"/>
      <c r="C49" s="298" t="s">
        <v>272</v>
      </c>
      <c r="D49" s="236" t="s">
        <v>634</v>
      </c>
      <c r="E49" s="177">
        <f>+'FC-91_PRESUPUESTO'!E46</f>
        <v>2335123.38</v>
      </c>
      <c r="F49" s="193"/>
    </row>
    <row r="50" spans="2:8" s="194" customFormat="1" ht="22.9" customHeight="1">
      <c r="B50" s="192"/>
      <c r="C50" s="198" t="s">
        <v>274</v>
      </c>
      <c r="D50" s="271" t="s">
        <v>635</v>
      </c>
      <c r="E50" s="199">
        <f>+'FC-91_PRESUPUESTO'!E47</f>
        <v>3442059.6428108891</v>
      </c>
      <c r="F50" s="193"/>
    </row>
    <row r="51" spans="2:8" s="194" customFormat="1" ht="22.9" customHeight="1">
      <c r="B51" s="192"/>
      <c r="C51" s="1222" t="s">
        <v>647</v>
      </c>
      <c r="D51" s="1223"/>
      <c r="E51" s="305">
        <f>SUM(E49:E50)</f>
        <v>5777183.0228108894</v>
      </c>
      <c r="F51" s="193"/>
    </row>
    <row r="52" spans="2:8" s="194" customFormat="1" ht="22.9" customHeight="1">
      <c r="B52" s="192"/>
      <c r="C52" s="159"/>
      <c r="D52" s="221"/>
      <c r="E52" s="223"/>
      <c r="F52" s="193"/>
    </row>
    <row r="53" spans="2:8" s="315" customFormat="1" ht="22.9" customHeight="1" thickBot="1">
      <c r="B53" s="113"/>
      <c r="C53" s="1226" t="s">
        <v>648</v>
      </c>
      <c r="D53" s="1227"/>
      <c r="E53" s="314">
        <f>E43+E47+E51</f>
        <v>32341251.220964313</v>
      </c>
      <c r="F53" s="116"/>
    </row>
    <row r="54" spans="2:8" s="194" customFormat="1" ht="9" customHeight="1">
      <c r="B54" s="192"/>
      <c r="C54" s="22"/>
      <c r="D54" s="159"/>
      <c r="E54" s="155"/>
      <c r="F54" s="193"/>
    </row>
    <row r="55" spans="2:8" s="194" customFormat="1" ht="22.9" customHeight="1">
      <c r="B55" s="192"/>
      <c r="C55" s="1222" t="s">
        <v>649</v>
      </c>
      <c r="D55" s="1223"/>
      <c r="E55" s="305">
        <f>+'FC-92_PRESUPUESTO_PYG'!E55</f>
        <v>4375578.969939108</v>
      </c>
      <c r="F55" s="193"/>
    </row>
    <row r="56" spans="2:8" s="194" customFormat="1" ht="9" customHeight="1">
      <c r="B56" s="192"/>
      <c r="C56" s="22"/>
      <c r="D56" s="159"/>
      <c r="E56" s="155"/>
      <c r="F56" s="193"/>
    </row>
    <row r="57" spans="2:8" s="194" customFormat="1" ht="22.9" customHeight="1" thickBot="1">
      <c r="B57" s="192"/>
      <c r="C57" s="1226" t="s">
        <v>648</v>
      </c>
      <c r="D57" s="1227"/>
      <c r="E57" s="314">
        <f>+E53+E55</f>
        <v>36716830.190903418</v>
      </c>
      <c r="F57" s="193"/>
    </row>
    <row r="58" spans="2:8" s="194" customFormat="1" ht="22.9" customHeight="1">
      <c r="B58" s="192"/>
      <c r="C58" s="316"/>
      <c r="D58" s="316"/>
      <c r="E58" s="317"/>
      <c r="F58" s="193"/>
    </row>
    <row r="59" spans="2:8" s="315" customFormat="1" ht="22.9" customHeight="1" thickBot="1">
      <c r="B59" s="113"/>
      <c r="C59" s="318" t="s">
        <v>650</v>
      </c>
      <c r="D59" s="319"/>
      <c r="E59" s="320">
        <f>+E35-E57</f>
        <v>-7915610.3332114629</v>
      </c>
      <c r="F59" s="116"/>
      <c r="H59" s="325"/>
    </row>
    <row r="60" spans="2:8" s="194" customFormat="1" ht="22.9" customHeight="1" thickTop="1">
      <c r="B60" s="192"/>
      <c r="C60" s="22"/>
      <c r="D60" s="159"/>
      <c r="E60" s="155"/>
      <c r="F60" s="193"/>
    </row>
    <row r="61" spans="2:8" s="315" customFormat="1" ht="22.9" customHeight="1" thickBot="1">
      <c r="B61" s="113"/>
      <c r="C61" s="318" t="s">
        <v>651</v>
      </c>
      <c r="D61" s="319"/>
      <c r="E61" s="320">
        <f>E62+SUM(E67:E71)</f>
        <v>7915610.3381091375</v>
      </c>
      <c r="F61" s="116"/>
      <c r="H61" s="325"/>
    </row>
    <row r="62" spans="2:8" s="194" customFormat="1" ht="22.9" customHeight="1" thickTop="1">
      <c r="B62" s="192"/>
      <c r="C62" s="322"/>
      <c r="D62" s="323" t="s">
        <v>652</v>
      </c>
      <c r="E62" s="1099">
        <f>SUM(E63:E66)</f>
        <v>4375578.969939108</v>
      </c>
      <c r="F62" s="193"/>
    </row>
    <row r="63" spans="2:8" s="194" customFormat="1" ht="22.9" customHeight="1">
      <c r="B63" s="192"/>
      <c r="C63" s="198"/>
      <c r="D63" s="271" t="s">
        <v>408</v>
      </c>
      <c r="E63" s="1100">
        <f>-'FC-7_INF'!G31</f>
        <v>0</v>
      </c>
      <c r="F63" s="193"/>
    </row>
    <row r="64" spans="2:8" s="194" customFormat="1" ht="22.9" customHeight="1">
      <c r="B64" s="192"/>
      <c r="C64" s="198"/>
      <c r="D64" s="271" t="s">
        <v>396</v>
      </c>
      <c r="E64" s="1100">
        <f>-'FC-7_INF'!I31</f>
        <v>4354995.6206666669</v>
      </c>
      <c r="F64" s="193"/>
    </row>
    <row r="65" spans="2:8" s="194" customFormat="1" ht="22.9" customHeight="1">
      <c r="B65" s="192"/>
      <c r="C65" s="198"/>
      <c r="D65" s="271" t="s">
        <v>397</v>
      </c>
      <c r="E65" s="1100">
        <f>-'FC-7_INF'!J31</f>
        <v>20583.349272441039</v>
      </c>
      <c r="F65" s="193"/>
    </row>
    <row r="66" spans="2:8" s="194" customFormat="1" ht="22.9" customHeight="1">
      <c r="B66" s="192"/>
      <c r="C66" s="324"/>
      <c r="D66" s="299" t="s">
        <v>398</v>
      </c>
      <c r="E66" s="1101">
        <f>-'FC-7_INF'!L31</f>
        <v>0</v>
      </c>
      <c r="F66" s="193"/>
    </row>
    <row r="67" spans="2:8" s="194" customFormat="1" ht="22.9" customHeight="1">
      <c r="B67" s="192"/>
      <c r="C67" s="185"/>
      <c r="D67" s="273" t="s">
        <v>741</v>
      </c>
      <c r="E67" s="1102">
        <f>-'FC-8_INV_FINANCIERAS'!I25-'FC-8_INV_FINANCIERAS'!I34-'FC-8_INV_FINANCIERAS'!I49-'FC-8_INV_FINANCIERAS'!I58</f>
        <v>8986.77</v>
      </c>
      <c r="F67" s="193"/>
    </row>
    <row r="68" spans="2:8" s="194" customFormat="1" ht="22.9" customHeight="1">
      <c r="B68" s="192"/>
      <c r="C68" s="185"/>
      <c r="D68" s="897" t="s">
        <v>847</v>
      </c>
      <c r="E68" s="1102">
        <f>'FC-4_ACTIVO'!F48-'FC-4_ACTIVO'!G48</f>
        <v>0</v>
      </c>
      <c r="F68" s="193"/>
    </row>
    <row r="69" spans="2:8" s="194" customFormat="1" ht="22.9" customHeight="1">
      <c r="B69" s="192"/>
      <c r="C69" s="185"/>
      <c r="D69" s="542" t="s">
        <v>744</v>
      </c>
      <c r="E69" s="1103">
        <f>-(('FC-4_ACTIVO'!G50-'FC-4_ACTIVO'!G75-'FC-4_ACTIVO'!G82)-('FC-4_ACTIVO'!F50-'FC-4_ACTIVO'!F75-'FC-4_ACTIVO'!F82))</f>
        <v>3799444.0381700303</v>
      </c>
      <c r="F69" s="193"/>
    </row>
    <row r="70" spans="2:8" s="194" customFormat="1" ht="22.9" customHeight="1">
      <c r="B70" s="192"/>
      <c r="C70" s="185"/>
      <c r="D70" s="542" t="s">
        <v>742</v>
      </c>
      <c r="E70" s="1103">
        <f>'FC-9_TRANS_SUBV'!G32+'FC-9_TRANS_SUBV'!G34+'FC-9_TRANS_SUBV'!G33</f>
        <v>-206397.52500000002</v>
      </c>
      <c r="F70" s="193"/>
      <c r="H70" s="326"/>
    </row>
    <row r="71" spans="2:8" s="194" customFormat="1" ht="22.9" customHeight="1">
      <c r="B71" s="192"/>
      <c r="C71" s="185"/>
      <c r="D71" s="542" t="s">
        <v>743</v>
      </c>
      <c r="E71" s="1103">
        <f>'FC-4_PASIVO'!G56-'FC-4_PASIVO'!F56+'FC-4_PASIVO'!G57-'FC-4_PASIVO'!F57+'FC-4_PASIVO'!G73-'FC-4_PASIVO'!F73+0.02</f>
        <v>-62001.915000000758</v>
      </c>
      <c r="F71" s="193"/>
      <c r="H71" s="326"/>
    </row>
    <row r="72" spans="2:8" s="194" customFormat="1" ht="22.9" customHeight="1">
      <c r="B72" s="192"/>
      <c r="C72" s="22"/>
      <c r="D72" s="321"/>
      <c r="E72" s="222"/>
      <c r="F72" s="193"/>
    </row>
    <row r="73" spans="2:8" s="315" customFormat="1" ht="22.9" customHeight="1" thickBot="1">
      <c r="B73" s="113"/>
      <c r="C73" s="318" t="s">
        <v>653</v>
      </c>
      <c r="D73" s="319"/>
      <c r="E73" s="320">
        <f>+E59+E61</f>
        <v>4.8976745456457138E-3</v>
      </c>
      <c r="F73" s="116"/>
      <c r="H73" s="325"/>
    </row>
    <row r="74" spans="2:8" s="194" customFormat="1" ht="22.9" customHeight="1" thickTop="1">
      <c r="B74" s="192"/>
      <c r="C74" s="22"/>
      <c r="D74" s="159"/>
      <c r="E74" s="155"/>
      <c r="F74" s="193"/>
    </row>
    <row r="75" spans="2:8" ht="22.9" customHeight="1" thickBot="1">
      <c r="B75" s="123"/>
      <c r="C75" s="1128"/>
      <c r="D75" s="1128"/>
      <c r="E75" s="124"/>
      <c r="F75" s="125"/>
    </row>
    <row r="76" spans="2:8" ht="22.9" customHeight="1">
      <c r="C76" s="106"/>
      <c r="D76" s="106"/>
      <c r="E76" s="107"/>
    </row>
    <row r="77" spans="2:8" ht="12.75">
      <c r="C77" s="126" t="s">
        <v>77</v>
      </c>
      <c r="D77" s="106"/>
      <c r="E77" s="97" t="s">
        <v>70</v>
      </c>
    </row>
    <row r="78" spans="2:8" ht="12.75">
      <c r="C78" s="127" t="s">
        <v>78</v>
      </c>
      <c r="D78" s="106"/>
      <c r="E78" s="107"/>
    </row>
    <row r="79" spans="2:8" ht="12.75">
      <c r="C79" s="127" t="s">
        <v>79</v>
      </c>
      <c r="D79" s="106"/>
      <c r="E79" s="107"/>
    </row>
    <row r="80" spans="2:8" ht="12.75">
      <c r="C80" s="127" t="s">
        <v>80</v>
      </c>
      <c r="D80" s="106"/>
      <c r="E80" s="107"/>
    </row>
    <row r="81" spans="3:5" ht="12.75">
      <c r="C81" s="127" t="s">
        <v>81</v>
      </c>
      <c r="D81" s="106"/>
      <c r="E81" s="107"/>
    </row>
    <row r="82" spans="3:5" ht="22.9" customHeight="1">
      <c r="C82" s="106"/>
      <c r="D82" s="106"/>
      <c r="E82" s="107"/>
    </row>
    <row r="83" spans="3:5" ht="22.9" customHeight="1">
      <c r="C83" s="106"/>
      <c r="D83" s="106"/>
      <c r="E83" s="107"/>
    </row>
    <row r="84" spans="3:5" ht="22.9" customHeight="1">
      <c r="C84" s="106"/>
      <c r="D84" s="106"/>
      <c r="E84" s="107"/>
    </row>
    <row r="85" spans="3:5" ht="22.9" customHeight="1">
      <c r="C85" s="106"/>
      <c r="D85" s="106"/>
      <c r="E85" s="107"/>
    </row>
    <row r="86" spans="3:5" ht="22.9" customHeight="1">
      <c r="E86" s="107"/>
    </row>
  </sheetData>
  <mergeCells count="18">
    <mergeCell ref="C55:D55"/>
    <mergeCell ref="C57:D57"/>
    <mergeCell ref="C75:D75"/>
    <mergeCell ref="C21:D21"/>
    <mergeCell ref="C25:D25"/>
    <mergeCell ref="C29:D29"/>
    <mergeCell ref="C31:D31"/>
    <mergeCell ref="C35:D35"/>
    <mergeCell ref="C33:D33"/>
    <mergeCell ref="C43:D43"/>
    <mergeCell ref="C47:D47"/>
    <mergeCell ref="C51:D51"/>
    <mergeCell ref="C53:D53"/>
    <mergeCell ref="E6:E7"/>
    <mergeCell ref="D9:E9"/>
    <mergeCell ref="C12:D12"/>
    <mergeCell ref="C14:D14"/>
    <mergeCell ref="C37:D37"/>
  </mergeCells>
  <phoneticPr fontId="22" type="noConversion"/>
  <printOptions horizontalCentered="1" verticalCentered="1"/>
  <pageMargins left="0.35629921259842523" right="0.35629921259842523" top="0.60629921259842523" bottom="0.60629921259842523" header="0.5" footer="0.5"/>
  <pageSetup paperSize="9" scale="46" orientation="portrait" horizontalDpi="4294967292" verticalDpi="4294967292" r:id="rId1"/>
  <drawing r:id="rId2"/>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B2:H63"/>
  <sheetViews>
    <sheetView topLeftCell="B21" workbookViewId="0">
      <selection activeCell="H48" sqref="H48"/>
    </sheetView>
  </sheetViews>
  <sheetFormatPr baseColWidth="10" defaultColWidth="10.77734375" defaultRowHeight="22.9" customHeight="1"/>
  <cols>
    <col min="1" max="2" width="3.21875" style="99" customWidth="1"/>
    <col min="3" max="3" width="13.21875" style="99" customWidth="1"/>
    <col min="4" max="4" width="68" style="99" customWidth="1"/>
    <col min="5" max="5" width="16.77734375" style="100" customWidth="1"/>
    <col min="6" max="6" width="3.21875" style="99" customWidth="1"/>
    <col min="7" max="16384" width="10.77734375" style="99"/>
  </cols>
  <sheetData>
    <row r="2" spans="2:6" ht="22.9" customHeight="1">
      <c r="D2" s="221" t="s">
        <v>379</v>
      </c>
    </row>
    <row r="3" spans="2:6" ht="22.9" customHeight="1">
      <c r="D3" s="221" t="s">
        <v>380</v>
      </c>
    </row>
    <row r="4" spans="2:6" ht="22.9" customHeight="1" thickBot="1"/>
    <row r="5" spans="2:6" ht="9" customHeight="1">
      <c r="B5" s="101"/>
      <c r="C5" s="102"/>
      <c r="D5" s="102"/>
      <c r="E5" s="103"/>
      <c r="F5" s="104"/>
    </row>
    <row r="6" spans="2:6" ht="30" customHeight="1">
      <c r="B6" s="105"/>
      <c r="C6" s="69" t="s">
        <v>0</v>
      </c>
      <c r="D6" s="106"/>
      <c r="E6" s="1105">
        <f>ejercicio</f>
        <v>2018</v>
      </c>
      <c r="F6" s="108"/>
    </row>
    <row r="7" spans="2:6" ht="30" customHeight="1">
      <c r="B7" s="105"/>
      <c r="C7" s="69" t="s">
        <v>1</v>
      </c>
      <c r="D7" s="106"/>
      <c r="E7" s="1105"/>
      <c r="F7" s="108"/>
    </row>
    <row r="8" spans="2:6" ht="30" customHeight="1">
      <c r="B8" s="105"/>
      <c r="C8" s="109"/>
      <c r="D8" s="106"/>
      <c r="E8" s="110"/>
      <c r="F8" s="108"/>
    </row>
    <row r="9" spans="2:6" s="194" customFormat="1" ht="30" customHeight="1">
      <c r="B9" s="192"/>
      <c r="C9" s="56" t="s">
        <v>2</v>
      </c>
      <c r="D9" s="1129" t="str">
        <f>Entidad</f>
        <v>METROPOLITANO DE TENERIFE, S.A.</v>
      </c>
      <c r="E9" s="1129"/>
      <c r="F9" s="193"/>
    </row>
    <row r="10" spans="2:6" ht="7.15" customHeight="1">
      <c r="B10" s="105"/>
      <c r="C10" s="106"/>
      <c r="D10" s="106"/>
      <c r="E10" s="107"/>
      <c r="F10" s="108"/>
    </row>
    <row r="11" spans="2:6" s="117" customFormat="1" ht="30" customHeight="1">
      <c r="B11" s="113"/>
      <c r="C11" s="114" t="s">
        <v>624</v>
      </c>
      <c r="D11" s="114"/>
      <c r="E11" s="115"/>
      <c r="F11" s="116"/>
    </row>
    <row r="12" spans="2:6" s="117" customFormat="1" ht="30" customHeight="1">
      <c r="B12" s="113"/>
      <c r="C12" s="1170"/>
      <c r="D12" s="1170"/>
      <c r="E12" s="98"/>
      <c r="F12" s="116"/>
    </row>
    <row r="13" spans="2:6" ht="9" customHeight="1">
      <c r="B13" s="119"/>
      <c r="C13" s="159"/>
      <c r="D13" s="159"/>
      <c r="E13" s="98"/>
      <c r="F13" s="108"/>
    </row>
    <row r="14" spans="2:6" s="258" customFormat="1" ht="24" customHeight="1">
      <c r="B14" s="255"/>
      <c r="C14" s="1160" t="s">
        <v>639</v>
      </c>
      <c r="D14" s="1162"/>
      <c r="E14" s="275" t="s">
        <v>484</v>
      </c>
      <c r="F14" s="257"/>
    </row>
    <row r="15" spans="2:6" ht="9" customHeight="1">
      <c r="B15" s="119"/>
      <c r="C15" s="68"/>
      <c r="D15" s="159"/>
      <c r="E15" s="98"/>
      <c r="F15" s="108"/>
    </row>
    <row r="16" spans="2:6" s="194" customFormat="1" ht="22.9" customHeight="1">
      <c r="B16" s="192"/>
      <c r="C16" s="298" t="s">
        <v>189</v>
      </c>
      <c r="D16" s="236" t="s">
        <v>625</v>
      </c>
      <c r="E16" s="177">
        <v>0</v>
      </c>
      <c r="F16" s="193"/>
    </row>
    <row r="17" spans="2:8" s="194" customFormat="1" ht="22.9" customHeight="1">
      <c r="B17" s="192"/>
      <c r="C17" s="198" t="s">
        <v>199</v>
      </c>
      <c r="D17" s="271" t="s">
        <v>626</v>
      </c>
      <c r="E17" s="199">
        <v>0</v>
      </c>
      <c r="F17" s="193"/>
    </row>
    <row r="18" spans="2:8" s="194" customFormat="1" ht="22.9" customHeight="1">
      <c r="B18" s="192"/>
      <c r="C18" s="198" t="s">
        <v>204</v>
      </c>
      <c r="D18" s="271" t="s">
        <v>627</v>
      </c>
      <c r="E18" s="199">
        <f>+'FC-92_PRESUPUESTO_PYG'!E18</f>
        <v>23897820.242385808</v>
      </c>
      <c r="F18" s="193"/>
    </row>
    <row r="19" spans="2:8" s="194" customFormat="1" ht="22.9" customHeight="1">
      <c r="B19" s="192"/>
      <c r="C19" s="198" t="s">
        <v>208</v>
      </c>
      <c r="D19" s="271" t="s">
        <v>628</v>
      </c>
      <c r="E19" s="199">
        <f>+'FC-92_PRESUPUESTO_PYG'!E19+'FC-9_TRANS_SUBV'!G65</f>
        <v>575258.32530615188</v>
      </c>
      <c r="F19" s="193"/>
    </row>
    <row r="20" spans="2:8" s="194" customFormat="1" ht="22.9" customHeight="1">
      <c r="B20" s="192"/>
      <c r="C20" s="288" t="s">
        <v>216</v>
      </c>
      <c r="D20" s="272" t="s">
        <v>629</v>
      </c>
      <c r="E20" s="178">
        <f>+'FC-92_PRESUPUESTO_PYG'!E20</f>
        <v>0</v>
      </c>
      <c r="F20" s="193"/>
    </row>
    <row r="21" spans="2:8" s="194" customFormat="1" ht="22.9" customHeight="1">
      <c r="B21" s="192"/>
      <c r="C21" s="1222" t="s">
        <v>630</v>
      </c>
      <c r="D21" s="1223"/>
      <c r="E21" s="305">
        <f>SUM(E16:E20)</f>
        <v>24473078.567691959</v>
      </c>
      <c r="F21" s="193"/>
    </row>
    <row r="22" spans="2:8" s="194" customFormat="1" ht="9" customHeight="1">
      <c r="B22" s="192"/>
      <c r="C22" s="22"/>
      <c r="D22" s="159"/>
      <c r="E22" s="155"/>
      <c r="F22" s="193"/>
    </row>
    <row r="23" spans="2:8" s="194" customFormat="1" ht="22.9" customHeight="1">
      <c r="B23" s="192"/>
      <c r="C23" s="298" t="s">
        <v>219</v>
      </c>
      <c r="D23" s="236" t="s">
        <v>631</v>
      </c>
      <c r="E23" s="177">
        <f>-'FC-7_INF'!K31</f>
        <v>0</v>
      </c>
      <c r="F23" s="193"/>
    </row>
    <row r="24" spans="2:8" s="194" customFormat="1" ht="22.9" customHeight="1">
      <c r="B24" s="192"/>
      <c r="C24" s="198" t="s">
        <v>221</v>
      </c>
      <c r="D24" s="271" t="s">
        <v>632</v>
      </c>
      <c r="E24" s="199">
        <f>+'FC-9_TRANS_SUBV'!G30</f>
        <v>0</v>
      </c>
      <c r="F24" s="193"/>
    </row>
    <row r="25" spans="2:8" s="194" customFormat="1" ht="22.9" customHeight="1">
      <c r="B25" s="192"/>
      <c r="C25" s="1222" t="s">
        <v>633</v>
      </c>
      <c r="D25" s="1223"/>
      <c r="E25" s="305">
        <f>SUM(E23:E24)</f>
        <v>0</v>
      </c>
      <c r="F25" s="193"/>
    </row>
    <row r="26" spans="2:8" s="194" customFormat="1" ht="9" customHeight="1">
      <c r="B26" s="192"/>
      <c r="C26" s="22"/>
      <c r="D26" s="159"/>
      <c r="E26" s="155"/>
      <c r="F26" s="193"/>
    </row>
    <row r="27" spans="2:8" s="194" customFormat="1" ht="22.9" customHeight="1">
      <c r="B27" s="192"/>
      <c r="C27" s="298" t="s">
        <v>272</v>
      </c>
      <c r="D27" s="236" t="s">
        <v>634</v>
      </c>
      <c r="E27" s="177">
        <f>-('FC-8_INV_FINANCIERAS'!H25+'FC-8_INV_FINANCIERAS'!H34+'FC-8_INV_FINANCIERAS'!H49+'FC-8_INV_FINANCIERAS'!H58)</f>
        <v>381168.63</v>
      </c>
      <c r="F27" s="193"/>
    </row>
    <row r="28" spans="2:8" s="194" customFormat="1" ht="22.9" customHeight="1">
      <c r="B28" s="192"/>
      <c r="C28" s="198" t="s">
        <v>274</v>
      </c>
      <c r="D28" s="271" t="s">
        <v>635</v>
      </c>
      <c r="E28" s="199">
        <f>+'FC-10_DEUDAS'!M42+'FC-10_DEUDAS'!M74+458400.45</f>
        <v>3421775.9599999944</v>
      </c>
      <c r="F28" s="193"/>
      <c r="H28" s="326"/>
    </row>
    <row r="29" spans="2:8" s="194" customFormat="1" ht="22.9" customHeight="1">
      <c r="B29" s="192"/>
      <c r="C29" s="1222" t="s">
        <v>636</v>
      </c>
      <c r="D29" s="1223"/>
      <c r="E29" s="305">
        <f>SUM(E27:E28)</f>
        <v>3802944.5899999943</v>
      </c>
      <c r="F29" s="193"/>
    </row>
    <row r="30" spans="2:8" s="194" customFormat="1" ht="22.9" customHeight="1">
      <c r="B30" s="192"/>
      <c r="C30" s="159"/>
      <c r="D30" s="221"/>
      <c r="E30" s="223"/>
      <c r="F30" s="193"/>
    </row>
    <row r="31" spans="2:8" s="315" customFormat="1" ht="22.9" customHeight="1" thickBot="1">
      <c r="B31" s="113"/>
      <c r="C31" s="1226" t="s">
        <v>637</v>
      </c>
      <c r="D31" s="1227"/>
      <c r="E31" s="314">
        <f>E21+E25+E29</f>
        <v>28276023.157691956</v>
      </c>
      <c r="F31" s="116"/>
    </row>
    <row r="32" spans="2:8" s="194" customFormat="1" ht="9" customHeight="1">
      <c r="B32" s="192"/>
      <c r="C32" s="22"/>
      <c r="D32" s="159"/>
      <c r="E32" s="155"/>
      <c r="F32" s="193"/>
    </row>
    <row r="33" spans="2:8" s="194" customFormat="1" ht="22.9" customHeight="1">
      <c r="B33" s="192"/>
      <c r="C33" s="316"/>
      <c r="D33" s="316"/>
      <c r="E33" s="317"/>
      <c r="F33" s="193"/>
    </row>
    <row r="34" spans="2:8" s="258" customFormat="1" ht="24" customHeight="1">
      <c r="B34" s="255"/>
      <c r="C34" s="1160" t="s">
        <v>640</v>
      </c>
      <c r="D34" s="1162"/>
      <c r="E34" s="275" t="s">
        <v>484</v>
      </c>
      <c r="F34" s="257"/>
    </row>
    <row r="35" spans="2:8" ht="9" customHeight="1">
      <c r="B35" s="119"/>
      <c r="C35" s="68"/>
      <c r="D35" s="159"/>
      <c r="E35" s="98"/>
      <c r="F35" s="108"/>
    </row>
    <row r="36" spans="2:8" s="194" customFormat="1" ht="22.9" customHeight="1">
      <c r="B36" s="192"/>
      <c r="C36" s="298" t="s">
        <v>189</v>
      </c>
      <c r="D36" s="236" t="s">
        <v>641</v>
      </c>
      <c r="E36" s="177">
        <f>+'FC-92_PRESUPUESTO_PYG'!E39</f>
        <v>7245012</v>
      </c>
      <c r="F36" s="193"/>
    </row>
    <row r="37" spans="2:8" s="194" customFormat="1" ht="22.9" customHeight="1">
      <c r="B37" s="192"/>
      <c r="C37" s="198" t="s">
        <v>199</v>
      </c>
      <c r="D37" s="271" t="s">
        <v>642</v>
      </c>
      <c r="E37" s="199">
        <f>+'FC-92_PRESUPUESTO_PYG'!E40</f>
        <v>7983493.5980624501</v>
      </c>
      <c r="F37" s="193"/>
    </row>
    <row r="38" spans="2:8" s="194" customFormat="1" ht="22.9" customHeight="1">
      <c r="B38" s="192"/>
      <c r="C38" s="198" t="s">
        <v>204</v>
      </c>
      <c r="D38" s="271" t="s">
        <v>395</v>
      </c>
      <c r="E38" s="199">
        <f>+'FC-92_PRESUPUESTO_PYG'!E41</f>
        <v>4508675.3104829993</v>
      </c>
      <c r="F38" s="193"/>
    </row>
    <row r="39" spans="2:8" s="194" customFormat="1" ht="22.9" customHeight="1">
      <c r="B39" s="192"/>
      <c r="C39" s="198" t="s">
        <v>208</v>
      </c>
      <c r="D39" s="271" t="s">
        <v>643</v>
      </c>
      <c r="E39" s="199">
        <f>+'FC-92_PRESUPUESTO_PYG'!E42</f>
        <v>0</v>
      </c>
      <c r="F39" s="193"/>
    </row>
    <row r="40" spans="2:8" s="194" customFormat="1" ht="22.9" customHeight="1">
      <c r="B40" s="192"/>
      <c r="C40" s="1222" t="s">
        <v>644</v>
      </c>
      <c r="D40" s="1223"/>
      <c r="E40" s="305">
        <f>SUM(E36:E39)</f>
        <v>19737180.908545449</v>
      </c>
      <c r="F40" s="193"/>
    </row>
    <row r="41" spans="2:8" s="194" customFormat="1" ht="9" customHeight="1">
      <c r="B41" s="192"/>
      <c r="C41" s="22"/>
      <c r="D41" s="159"/>
      <c r="E41" s="155"/>
      <c r="F41" s="193"/>
    </row>
    <row r="42" spans="2:8" s="194" customFormat="1" ht="22.9" customHeight="1">
      <c r="B42" s="192"/>
      <c r="C42" s="298" t="s">
        <v>219</v>
      </c>
      <c r="D42" s="236" t="s">
        <v>645</v>
      </c>
      <c r="E42" s="177">
        <f>'FC-7_INF'!F31+'FC-7_INF'!H31</f>
        <v>6826887.2896079728</v>
      </c>
      <c r="F42" s="193"/>
    </row>
    <row r="43" spans="2:8" s="194" customFormat="1" ht="22.9" customHeight="1">
      <c r="B43" s="192"/>
      <c r="C43" s="198" t="s">
        <v>221</v>
      </c>
      <c r="D43" s="271" t="s">
        <v>632</v>
      </c>
      <c r="E43" s="199">
        <v>0</v>
      </c>
      <c r="F43" s="193"/>
    </row>
    <row r="44" spans="2:8" s="194" customFormat="1" ht="22.9" customHeight="1">
      <c r="B44" s="192"/>
      <c r="C44" s="1222" t="s">
        <v>646</v>
      </c>
      <c r="D44" s="1223"/>
      <c r="E44" s="305">
        <f>SUM(E42:E43)</f>
        <v>6826887.2896079728</v>
      </c>
      <c r="F44" s="193"/>
    </row>
    <row r="45" spans="2:8" s="194" customFormat="1" ht="9" customHeight="1">
      <c r="B45" s="192"/>
      <c r="C45" s="22"/>
      <c r="D45" s="159"/>
      <c r="E45" s="155"/>
      <c r="F45" s="193"/>
    </row>
    <row r="46" spans="2:8" s="194" customFormat="1" ht="22.9" customHeight="1">
      <c r="B46" s="192"/>
      <c r="C46" s="298" t="s">
        <v>272</v>
      </c>
      <c r="D46" s="236" t="s">
        <v>634</v>
      </c>
      <c r="E46" s="177">
        <f>'FC-8_INV_FINANCIERAS'!G25+'FC-8_INV_FINANCIERAS'!G34+'FC-8_INV_FINANCIERAS'!G49+'FC-8_INV_FINANCIERAS'!G58</f>
        <v>2335123.38</v>
      </c>
      <c r="F46" s="193"/>
    </row>
    <row r="47" spans="2:8" s="194" customFormat="1" ht="22.9" customHeight="1">
      <c r="B47" s="192"/>
      <c r="C47" s="198" t="s">
        <v>274</v>
      </c>
      <c r="D47" s="271" t="s">
        <v>635</v>
      </c>
      <c r="E47" s="199">
        <f>'FC-10_DEUDAS'!N42+'FC-10_DEUDAS'!N74+391087.66</f>
        <v>3442059.6428108891</v>
      </c>
      <c r="F47" s="193"/>
      <c r="H47" s="326"/>
    </row>
    <row r="48" spans="2:8" s="194" customFormat="1" ht="22.9" customHeight="1">
      <c r="B48" s="192"/>
      <c r="C48" s="1222" t="s">
        <v>647</v>
      </c>
      <c r="D48" s="1223"/>
      <c r="E48" s="305">
        <f>SUM(E46:E47)</f>
        <v>5777183.0228108894</v>
      </c>
      <c r="F48" s="193"/>
    </row>
    <row r="49" spans="2:8" s="194" customFormat="1" ht="22.9" customHeight="1">
      <c r="B49" s="192"/>
      <c r="C49" s="159"/>
      <c r="D49" s="221"/>
      <c r="E49" s="223"/>
      <c r="F49" s="193"/>
    </row>
    <row r="50" spans="2:8" s="315" customFormat="1" ht="22.9" customHeight="1" thickBot="1">
      <c r="B50" s="113"/>
      <c r="C50" s="1226" t="s">
        <v>648</v>
      </c>
      <c r="D50" s="1227"/>
      <c r="E50" s="314">
        <f>E40+E44+E48</f>
        <v>32341251.220964313</v>
      </c>
      <c r="F50" s="116"/>
    </row>
    <row r="51" spans="2:8" s="194" customFormat="1" ht="9" customHeight="1">
      <c r="B51" s="192"/>
      <c r="C51" s="22"/>
      <c r="D51" s="159"/>
      <c r="E51" s="155"/>
      <c r="F51" s="193"/>
    </row>
    <row r="52" spans="2:8" ht="22.9" customHeight="1" thickBot="1">
      <c r="B52" s="123"/>
      <c r="C52" s="1128"/>
      <c r="D52" s="1128"/>
      <c r="E52" s="124"/>
      <c r="F52" s="125"/>
      <c r="H52" s="194"/>
    </row>
    <row r="53" spans="2:8" ht="22.9" customHeight="1">
      <c r="C53" s="106"/>
      <c r="D53" s="106"/>
      <c r="E53" s="107"/>
    </row>
    <row r="54" spans="2:8" ht="12.75">
      <c r="C54" s="126" t="s">
        <v>77</v>
      </c>
      <c r="D54" s="106"/>
      <c r="E54" s="97" t="s">
        <v>72</v>
      </c>
    </row>
    <row r="55" spans="2:8" ht="12.75">
      <c r="C55" s="127" t="s">
        <v>78</v>
      </c>
      <c r="D55" s="106"/>
      <c r="E55" s="107"/>
    </row>
    <row r="56" spans="2:8" ht="12.75">
      <c r="C56" s="127" t="s">
        <v>79</v>
      </c>
      <c r="D56" s="106"/>
      <c r="E56" s="107"/>
    </row>
    <row r="57" spans="2:8" ht="12.75">
      <c r="C57" s="127" t="s">
        <v>80</v>
      </c>
      <c r="D57" s="106"/>
      <c r="E57" s="107"/>
    </row>
    <row r="58" spans="2:8" ht="12.75">
      <c r="C58" s="127" t="s">
        <v>81</v>
      </c>
      <c r="D58" s="106"/>
      <c r="E58" s="107"/>
    </row>
    <row r="59" spans="2:8" ht="22.9" customHeight="1">
      <c r="C59" s="106"/>
      <c r="D59" s="106"/>
      <c r="E59" s="107"/>
    </row>
    <row r="60" spans="2:8" ht="22.9" customHeight="1">
      <c r="C60" s="106"/>
      <c r="D60" s="106"/>
      <c r="E60" s="107"/>
    </row>
    <row r="61" spans="2:8" ht="22.9" customHeight="1">
      <c r="C61" s="106"/>
      <c r="D61" s="106"/>
      <c r="E61" s="107"/>
    </row>
    <row r="62" spans="2:8" ht="22.9" customHeight="1">
      <c r="C62" s="106"/>
      <c r="D62" s="106"/>
      <c r="E62" s="107"/>
    </row>
    <row r="63" spans="2:8" ht="22.9" customHeight="1">
      <c r="E63" s="107"/>
    </row>
  </sheetData>
  <sheetProtection password="E059" sheet="1" objects="1" scenarios="1"/>
  <mergeCells count="14">
    <mergeCell ref="C44:D44"/>
    <mergeCell ref="C48:D48"/>
    <mergeCell ref="C50:D50"/>
    <mergeCell ref="C52:D52"/>
    <mergeCell ref="C29:D29"/>
    <mergeCell ref="C31:D31"/>
    <mergeCell ref="C34:D34"/>
    <mergeCell ref="C40:D40"/>
    <mergeCell ref="C25:D25"/>
    <mergeCell ref="E6:E7"/>
    <mergeCell ref="D9:E9"/>
    <mergeCell ref="C12:D12"/>
    <mergeCell ref="C14:D14"/>
    <mergeCell ref="C21:D21"/>
  </mergeCells>
  <phoneticPr fontId="22" type="noConversion"/>
  <printOptions horizontalCentered="1" verticalCentered="1"/>
  <pageMargins left="0.36000000000000004" right="0.36000000000000004" top="0.6100000000000001" bottom="0.6100000000000001" header="0.5" footer="0.5"/>
  <pageSetup paperSize="9" scale="74" orientation="portrait" horizontalDpi="4294967292" verticalDpi="4294967292"/>
  <drawing r:id="rId1"/>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B2:H72"/>
  <sheetViews>
    <sheetView topLeftCell="A9" workbookViewId="0">
      <selection activeCell="H48" sqref="H48"/>
    </sheetView>
  </sheetViews>
  <sheetFormatPr baseColWidth="10" defaultColWidth="10.77734375" defaultRowHeight="22.9" customHeight="1"/>
  <cols>
    <col min="1" max="2" width="3.21875" style="99" customWidth="1"/>
    <col min="3" max="3" width="13.21875" style="99" customWidth="1"/>
    <col min="4" max="4" width="68" style="99" customWidth="1"/>
    <col min="5" max="5" width="16.77734375" style="100" customWidth="1"/>
    <col min="6" max="6" width="3.21875" style="99" customWidth="1"/>
    <col min="7" max="16384" width="10.77734375" style="99"/>
  </cols>
  <sheetData>
    <row r="2" spans="2:6" ht="22.9" customHeight="1">
      <c r="D2" s="221" t="s">
        <v>379</v>
      </c>
    </row>
    <row r="3" spans="2:6" ht="22.9" customHeight="1">
      <c r="D3" s="221" t="s">
        <v>380</v>
      </c>
    </row>
    <row r="4" spans="2:6" ht="22.9" customHeight="1" thickBot="1"/>
    <row r="5" spans="2:6" ht="9" customHeight="1">
      <c r="B5" s="101"/>
      <c r="C5" s="102"/>
      <c r="D5" s="102"/>
      <c r="E5" s="103"/>
      <c r="F5" s="104"/>
    </row>
    <row r="6" spans="2:6" ht="30" customHeight="1">
      <c r="B6" s="105"/>
      <c r="C6" s="69" t="s">
        <v>0</v>
      </c>
      <c r="D6" s="106"/>
      <c r="E6" s="1105">
        <f>ejercicio</f>
        <v>2018</v>
      </c>
      <c r="F6" s="108"/>
    </row>
    <row r="7" spans="2:6" ht="30" customHeight="1">
      <c r="B7" s="105"/>
      <c r="C7" s="69" t="s">
        <v>1</v>
      </c>
      <c r="D7" s="106"/>
      <c r="E7" s="1105"/>
      <c r="F7" s="108"/>
    </row>
    <row r="8" spans="2:6" ht="30" customHeight="1">
      <c r="B8" s="105"/>
      <c r="C8" s="109"/>
      <c r="D8" s="106"/>
      <c r="E8" s="110"/>
      <c r="F8" s="108"/>
    </row>
    <row r="9" spans="2:6" s="194" customFormat="1" ht="30" customHeight="1">
      <c r="B9" s="192"/>
      <c r="C9" s="154" t="s">
        <v>2</v>
      </c>
      <c r="D9" s="1129" t="str">
        <f>Entidad</f>
        <v>METROPOLITANO DE TENERIFE, S.A.</v>
      </c>
      <c r="E9" s="1129"/>
      <c r="F9" s="193"/>
    </row>
    <row r="10" spans="2:6" ht="7.15" customHeight="1">
      <c r="B10" s="105"/>
      <c r="C10" s="106"/>
      <c r="D10" s="106"/>
      <c r="E10" s="107"/>
      <c r="F10" s="108"/>
    </row>
    <row r="11" spans="2:6" s="117" customFormat="1" ht="30" customHeight="1">
      <c r="B11" s="113"/>
      <c r="C11" s="114" t="s">
        <v>624</v>
      </c>
      <c r="D11" s="114"/>
      <c r="E11" s="115"/>
      <c r="F11" s="116"/>
    </row>
    <row r="12" spans="2:6" s="117" customFormat="1" ht="30" customHeight="1">
      <c r="B12" s="113"/>
      <c r="C12" s="1170"/>
      <c r="D12" s="1170"/>
      <c r="E12" s="98"/>
      <c r="F12" s="116"/>
    </row>
    <row r="13" spans="2:6" ht="9" customHeight="1">
      <c r="B13" s="119"/>
      <c r="C13" s="159"/>
      <c r="D13" s="159"/>
      <c r="E13" s="98"/>
      <c r="F13" s="108"/>
    </row>
    <row r="14" spans="2:6" s="258" customFormat="1" ht="24" customHeight="1">
      <c r="B14" s="255"/>
      <c r="C14" s="1160" t="s">
        <v>639</v>
      </c>
      <c r="D14" s="1162"/>
      <c r="E14" s="275" t="s">
        <v>484</v>
      </c>
      <c r="F14" s="257"/>
    </row>
    <row r="15" spans="2:6" ht="9" customHeight="1">
      <c r="B15" s="119"/>
      <c r="C15" s="68"/>
      <c r="D15" s="159"/>
      <c r="E15" s="98"/>
      <c r="F15" s="108"/>
    </row>
    <row r="16" spans="2:6" s="194" customFormat="1" ht="22.9" customHeight="1">
      <c r="B16" s="192"/>
      <c r="C16" s="298" t="s">
        <v>189</v>
      </c>
      <c r="D16" s="236" t="s">
        <v>625</v>
      </c>
      <c r="E16" s="177">
        <v>0</v>
      </c>
      <c r="F16" s="193"/>
    </row>
    <row r="17" spans="2:6" s="194" customFormat="1" ht="22.9" customHeight="1">
      <c r="B17" s="192"/>
      <c r="C17" s="198" t="s">
        <v>199</v>
      </c>
      <c r="D17" s="271" t="s">
        <v>626</v>
      </c>
      <c r="E17" s="199">
        <v>0</v>
      </c>
      <c r="F17" s="193"/>
    </row>
    <row r="18" spans="2:6" s="194" customFormat="1" ht="22.9" customHeight="1">
      <c r="B18" s="192"/>
      <c r="C18" s="198" t="s">
        <v>204</v>
      </c>
      <c r="D18" s="271" t="s">
        <v>627</v>
      </c>
      <c r="E18" s="199">
        <f>+'FC-3_CPyG'!G16+'FC-3_1_INF_ADIC_CPyG'!G72+'FC-3_1_INF_ADIC_CPyG'!G74</f>
        <v>23897820.242385808</v>
      </c>
      <c r="F18" s="193"/>
    </row>
    <row r="19" spans="2:6" s="194" customFormat="1" ht="22.9" customHeight="1">
      <c r="B19" s="192"/>
      <c r="C19" s="198" t="s">
        <v>208</v>
      </c>
      <c r="D19" s="271" t="s">
        <v>628</v>
      </c>
      <c r="E19" s="199">
        <f>'FC-3_CPyG'!G29</f>
        <v>575258.32530615188</v>
      </c>
      <c r="F19" s="193"/>
    </row>
    <row r="20" spans="2:6" s="194" customFormat="1" ht="22.9" customHeight="1">
      <c r="B20" s="192"/>
      <c r="C20" s="288" t="s">
        <v>216</v>
      </c>
      <c r="D20" s="272" t="s">
        <v>629</v>
      </c>
      <c r="E20" s="178">
        <f>'FC-3_1_INF_ADIC_CPyG'!G73+'FC-3_CPyG'!G52+'FC-3_CPyG'!G55+'FC-3_CPyG'!G72+'FC-3_CPyG'!G73</f>
        <v>0</v>
      </c>
      <c r="F20" s="193"/>
    </row>
    <row r="21" spans="2:6" s="194" customFormat="1" ht="22.9" customHeight="1">
      <c r="B21" s="192"/>
      <c r="C21" s="1222" t="s">
        <v>630</v>
      </c>
      <c r="D21" s="1223"/>
      <c r="E21" s="305">
        <f>SUM(E16:E20)</f>
        <v>24473078.567691959</v>
      </c>
      <c r="F21" s="193"/>
    </row>
    <row r="22" spans="2:6" s="194" customFormat="1" ht="9" customHeight="1">
      <c r="B22" s="192"/>
      <c r="C22" s="22"/>
      <c r="D22" s="159"/>
      <c r="E22" s="155"/>
      <c r="F22" s="193"/>
    </row>
    <row r="23" spans="2:6" s="194" customFormat="1" ht="22.9" customHeight="1">
      <c r="B23" s="192"/>
      <c r="C23" s="298" t="s">
        <v>219</v>
      </c>
      <c r="D23" s="236" t="s">
        <v>631</v>
      </c>
      <c r="E23" s="177"/>
      <c r="F23" s="193"/>
    </row>
    <row r="24" spans="2:6" s="194" customFormat="1" ht="22.9" customHeight="1">
      <c r="B24" s="192"/>
      <c r="C24" s="198" t="s">
        <v>221</v>
      </c>
      <c r="D24" s="271" t="s">
        <v>632</v>
      </c>
      <c r="E24" s="199"/>
      <c r="F24" s="193"/>
    </row>
    <row r="25" spans="2:6" s="194" customFormat="1" ht="22.9" customHeight="1">
      <c r="B25" s="192"/>
      <c r="C25" s="1222" t="s">
        <v>633</v>
      </c>
      <c r="D25" s="1223"/>
      <c r="E25" s="305">
        <f>SUM(E23:E24)</f>
        <v>0</v>
      </c>
      <c r="F25" s="193"/>
    </row>
    <row r="26" spans="2:6" s="194" customFormat="1" ht="9" customHeight="1">
      <c r="B26" s="192"/>
      <c r="C26" s="22"/>
      <c r="D26" s="159"/>
      <c r="E26" s="155"/>
      <c r="F26" s="193"/>
    </row>
    <row r="27" spans="2:6" s="194" customFormat="1" ht="22.9" customHeight="1">
      <c r="B27" s="192"/>
      <c r="C27" s="298" t="s">
        <v>272</v>
      </c>
      <c r="D27" s="236" t="s">
        <v>634</v>
      </c>
      <c r="E27" s="177"/>
      <c r="F27" s="193"/>
    </row>
    <row r="28" spans="2:6" s="194" customFormat="1" ht="22.9" customHeight="1">
      <c r="B28" s="192"/>
      <c r="C28" s="198" t="s">
        <v>274</v>
      </c>
      <c r="D28" s="271" t="s">
        <v>635</v>
      </c>
      <c r="E28" s="199"/>
      <c r="F28" s="193"/>
    </row>
    <row r="29" spans="2:6" s="194" customFormat="1" ht="22.9" customHeight="1">
      <c r="B29" s="192"/>
      <c r="C29" s="1222" t="s">
        <v>636</v>
      </c>
      <c r="D29" s="1223"/>
      <c r="E29" s="305">
        <f>SUM(E27:E28)</f>
        <v>0</v>
      </c>
      <c r="F29" s="193"/>
    </row>
    <row r="30" spans="2:6" s="194" customFormat="1" ht="22.9" customHeight="1">
      <c r="B30" s="192"/>
      <c r="C30" s="159"/>
      <c r="D30" s="221"/>
      <c r="E30" s="223"/>
      <c r="F30" s="193"/>
    </row>
    <row r="31" spans="2:6" s="315" customFormat="1" ht="22.9" customHeight="1" thickBot="1">
      <c r="B31" s="113"/>
      <c r="C31" s="1226" t="s">
        <v>637</v>
      </c>
      <c r="D31" s="1227"/>
      <c r="E31" s="314">
        <f>E21+E25+E29</f>
        <v>24473078.567691959</v>
      </c>
      <c r="F31" s="116"/>
    </row>
    <row r="32" spans="2:6" s="194" customFormat="1" ht="9" customHeight="1">
      <c r="B32" s="192"/>
      <c r="C32" s="22"/>
      <c r="D32" s="159"/>
      <c r="E32" s="155"/>
      <c r="F32" s="193"/>
    </row>
    <row r="33" spans="2:6" s="194" customFormat="1" ht="22.9" customHeight="1">
      <c r="B33" s="192"/>
      <c r="C33" s="1222" t="s">
        <v>638</v>
      </c>
      <c r="D33" s="1223"/>
      <c r="E33" s="305">
        <f>IF('FC-3_CPyG'!G20&gt;0,'FC-3_CPyG'!G20,0)+'FC-3_CPyG'!G21+'FC-3_CPyG'!G41+'FC-3_CPyG'!G42+'FC-3_CPyG'!G45+'FC-3_CPyG'!G47+'FC-3_CPyG'!G58+'FC-3_CPyG'!G63</f>
        <v>525196.69999999995</v>
      </c>
      <c r="F33" s="193"/>
    </row>
    <row r="34" spans="2:6" s="194" customFormat="1" ht="9" customHeight="1">
      <c r="B34" s="192"/>
      <c r="C34" s="22"/>
      <c r="D34" s="159"/>
      <c r="E34" s="155"/>
      <c r="F34" s="193"/>
    </row>
    <row r="35" spans="2:6" s="194" customFormat="1" ht="22.9" customHeight="1" thickBot="1">
      <c r="B35" s="192"/>
      <c r="C35" s="1226" t="s">
        <v>654</v>
      </c>
      <c r="D35" s="1227"/>
      <c r="E35" s="314">
        <f>+E31+E33</f>
        <v>24998275.267691959</v>
      </c>
      <c r="F35" s="193"/>
    </row>
    <row r="36" spans="2:6" s="194" customFormat="1" ht="22.9" customHeight="1">
      <c r="B36" s="192"/>
      <c r="C36" s="316"/>
      <c r="D36" s="316"/>
      <c r="E36" s="317"/>
      <c r="F36" s="193"/>
    </row>
    <row r="37" spans="2:6" s="258" customFormat="1" ht="24" customHeight="1">
      <c r="B37" s="255"/>
      <c r="C37" s="1160" t="s">
        <v>640</v>
      </c>
      <c r="D37" s="1162"/>
      <c r="E37" s="275" t="s">
        <v>484</v>
      </c>
      <c r="F37" s="257"/>
    </row>
    <row r="38" spans="2:6" ht="9" customHeight="1">
      <c r="B38" s="119"/>
      <c r="C38" s="68"/>
      <c r="D38" s="159"/>
      <c r="E38" s="98"/>
      <c r="F38" s="108"/>
    </row>
    <row r="39" spans="2:6" s="194" customFormat="1" ht="22.9" customHeight="1">
      <c r="B39" s="192"/>
      <c r="C39" s="298" t="s">
        <v>189</v>
      </c>
      <c r="D39" s="236" t="s">
        <v>641</v>
      </c>
      <c r="E39" s="177">
        <f>-'FC-3_CPyG'!G30+'FC-3_CPyG'!G33</f>
        <v>7245012</v>
      </c>
      <c r="F39" s="193"/>
    </row>
    <row r="40" spans="2:6" s="194" customFormat="1" ht="22.9" customHeight="1">
      <c r="B40" s="192"/>
      <c r="C40" s="198" t="s">
        <v>199</v>
      </c>
      <c r="D40" s="271" t="s">
        <v>642</v>
      </c>
      <c r="E40" s="199">
        <f>-'FC-3_CPyG'!G22+'FC-3_CPyG'!G26-'FC-3_CPyG'!G35-'FC-3_CPyG'!G36-'FC-3_CPyG'!G38-'FC-3_CPyG'!G77-'FC-3_1_INF_ADIC_CPyG'!G55-E42</f>
        <v>7983493.5980624501</v>
      </c>
      <c r="F40" s="193"/>
    </row>
    <row r="41" spans="2:6" s="194" customFormat="1" ht="22.9" customHeight="1">
      <c r="B41" s="192"/>
      <c r="C41" s="198" t="s">
        <v>204</v>
      </c>
      <c r="D41" s="271" t="s">
        <v>395</v>
      </c>
      <c r="E41" s="199">
        <f>-'FC-3_CPyG'!G60-'FC-3_CPyG'!G61-'FC-3_CPyG'!G70</f>
        <v>4508675.3104829993</v>
      </c>
      <c r="F41" s="193"/>
    </row>
    <row r="42" spans="2:6" s="194" customFormat="1" ht="22.9" customHeight="1">
      <c r="B42" s="192"/>
      <c r="C42" s="198" t="s">
        <v>208</v>
      </c>
      <c r="D42" s="271" t="s">
        <v>643</v>
      </c>
      <c r="E42" s="178">
        <f>+'FC-3_1_INF_ADIC_CPyG'!G85</f>
        <v>0</v>
      </c>
      <c r="F42" s="193"/>
    </row>
    <row r="43" spans="2:6" s="194" customFormat="1" ht="22.9" customHeight="1">
      <c r="B43" s="192"/>
      <c r="C43" s="1222" t="s">
        <v>644</v>
      </c>
      <c r="D43" s="1223"/>
      <c r="E43" s="305">
        <f>SUM(E39:E42)</f>
        <v>19737180.908545449</v>
      </c>
      <c r="F43" s="193"/>
    </row>
    <row r="44" spans="2:6" s="194" customFormat="1" ht="9" customHeight="1">
      <c r="B44" s="192"/>
      <c r="C44" s="22"/>
      <c r="D44" s="159"/>
      <c r="E44" s="155"/>
      <c r="F44" s="193"/>
    </row>
    <row r="45" spans="2:6" s="194" customFormat="1" ht="22.9" customHeight="1">
      <c r="B45" s="192"/>
      <c r="C45" s="298" t="s">
        <v>219</v>
      </c>
      <c r="D45" s="236" t="s">
        <v>645</v>
      </c>
      <c r="E45" s="177"/>
      <c r="F45" s="193"/>
    </row>
    <row r="46" spans="2:6" s="194" customFormat="1" ht="22.9" customHeight="1">
      <c r="B46" s="192"/>
      <c r="C46" s="198" t="s">
        <v>221</v>
      </c>
      <c r="D46" s="271" t="s">
        <v>632</v>
      </c>
      <c r="E46" s="199"/>
      <c r="F46" s="193"/>
    </row>
    <row r="47" spans="2:6" s="194" customFormat="1" ht="22.9" customHeight="1">
      <c r="B47" s="192"/>
      <c r="C47" s="1222" t="s">
        <v>646</v>
      </c>
      <c r="D47" s="1223"/>
      <c r="E47" s="305">
        <f>SUM(E45:E46)</f>
        <v>0</v>
      </c>
      <c r="F47" s="193"/>
    </row>
    <row r="48" spans="2:6" s="194" customFormat="1" ht="9" customHeight="1">
      <c r="B48" s="192"/>
      <c r="C48" s="22"/>
      <c r="D48" s="159"/>
      <c r="E48" s="155"/>
      <c r="F48" s="193"/>
    </row>
    <row r="49" spans="2:8" s="194" customFormat="1" ht="22.9" customHeight="1">
      <c r="B49" s="192"/>
      <c r="C49" s="298" t="s">
        <v>272</v>
      </c>
      <c r="D49" s="236" t="s">
        <v>634</v>
      </c>
      <c r="E49" s="177"/>
      <c r="F49" s="193"/>
    </row>
    <row r="50" spans="2:8" s="194" customFormat="1" ht="22.9" customHeight="1">
      <c r="B50" s="192"/>
      <c r="C50" s="198" t="s">
        <v>274</v>
      </c>
      <c r="D50" s="271" t="s">
        <v>635</v>
      </c>
      <c r="E50" s="199"/>
      <c r="F50" s="193"/>
    </row>
    <row r="51" spans="2:8" s="194" customFormat="1" ht="22.9" customHeight="1">
      <c r="B51" s="192"/>
      <c r="C51" s="1222" t="s">
        <v>647</v>
      </c>
      <c r="D51" s="1223"/>
      <c r="E51" s="305">
        <f>SUM(E49:E50)</f>
        <v>0</v>
      </c>
      <c r="F51" s="193"/>
    </row>
    <row r="52" spans="2:8" s="194" customFormat="1" ht="22.9" customHeight="1">
      <c r="B52" s="192"/>
      <c r="C52" s="159"/>
      <c r="D52" s="221"/>
      <c r="E52" s="223"/>
      <c r="F52" s="193"/>
    </row>
    <row r="53" spans="2:8" s="315" customFormat="1" ht="22.9" customHeight="1" thickBot="1">
      <c r="B53" s="113"/>
      <c r="C53" s="1226" t="s">
        <v>648</v>
      </c>
      <c r="D53" s="1227"/>
      <c r="E53" s="314">
        <f>E43+E47+E51</f>
        <v>19737180.908545449</v>
      </c>
      <c r="F53" s="116"/>
    </row>
    <row r="54" spans="2:8" s="194" customFormat="1" ht="9" customHeight="1">
      <c r="B54" s="192"/>
      <c r="C54" s="22"/>
      <c r="D54" s="159"/>
      <c r="E54" s="155"/>
      <c r="F54" s="193"/>
    </row>
    <row r="55" spans="2:8" s="194" customFormat="1" ht="22.9" customHeight="1">
      <c r="B55" s="192"/>
      <c r="C55" s="1222" t="s">
        <v>649</v>
      </c>
      <c r="D55" s="1223"/>
      <c r="E55" s="305">
        <f>IF('FC-3_CPyG'!G20&lt;0,-'FC-3_CPyG'!G20,0)-'FC-3_CPyG'!G26-'FC-3_CPyG'!G33-'FC-3_CPyG'!G37-'FC-3_CPyG'!G40-'FC-3_CPyG'!G44-'FC-3_CPyG'!G62-'FC-3_CPyG'!G66-'FC-3_CPyG'!G67</f>
        <v>4375578.969939108</v>
      </c>
      <c r="F55" s="193"/>
    </row>
    <row r="56" spans="2:8" s="194" customFormat="1" ht="9" customHeight="1">
      <c r="B56" s="192"/>
      <c r="C56" s="22"/>
      <c r="D56" s="159"/>
      <c r="E56" s="155"/>
      <c r="F56" s="193"/>
    </row>
    <row r="57" spans="2:8" s="194" customFormat="1" ht="22.9" customHeight="1" thickBot="1">
      <c r="B57" s="192"/>
      <c r="C57" s="1226" t="s">
        <v>655</v>
      </c>
      <c r="D57" s="1227"/>
      <c r="E57" s="314">
        <f>+E53+E55</f>
        <v>24112759.878484558</v>
      </c>
      <c r="F57" s="193"/>
    </row>
    <row r="58" spans="2:8" s="194" customFormat="1" ht="22.9" customHeight="1">
      <c r="B58" s="192"/>
      <c r="C58" s="316"/>
      <c r="D58" s="316"/>
      <c r="E58" s="317"/>
      <c r="F58" s="193"/>
    </row>
    <row r="59" spans="2:8" s="315" customFormat="1" ht="22.9" customHeight="1" thickBot="1">
      <c r="B59" s="113"/>
      <c r="C59" s="318" t="s">
        <v>650</v>
      </c>
      <c r="D59" s="319"/>
      <c r="E59" s="320">
        <f>+E35-E57</f>
        <v>885515.38920740038</v>
      </c>
      <c r="F59" s="116"/>
      <c r="H59" s="194"/>
    </row>
    <row r="60" spans="2:8" s="194" customFormat="1" ht="22.9" customHeight="1" thickTop="1">
      <c r="B60" s="192"/>
      <c r="C60" s="22"/>
      <c r="D60" s="159"/>
      <c r="E60" s="155"/>
      <c r="F60" s="193"/>
    </row>
    <row r="61" spans="2:8" ht="22.9" customHeight="1" thickBot="1">
      <c r="B61" s="123"/>
      <c r="C61" s="1128"/>
      <c r="D61" s="1128"/>
      <c r="E61" s="124"/>
      <c r="F61" s="125"/>
      <c r="H61" s="194"/>
    </row>
    <row r="62" spans="2:8" ht="22.9" customHeight="1">
      <c r="C62" s="106"/>
      <c r="D62" s="106"/>
      <c r="E62" s="107"/>
    </row>
    <row r="63" spans="2:8" ht="12.75">
      <c r="C63" s="126" t="s">
        <v>77</v>
      </c>
      <c r="D63" s="106"/>
      <c r="E63" s="97" t="s">
        <v>74</v>
      </c>
    </row>
    <row r="64" spans="2:8" ht="12.75">
      <c r="C64" s="127" t="s">
        <v>78</v>
      </c>
      <c r="D64" s="106"/>
      <c r="E64" s="107"/>
    </row>
    <row r="65" spans="3:5" ht="12.75">
      <c r="C65" s="127" t="s">
        <v>79</v>
      </c>
      <c r="D65" s="106"/>
      <c r="E65" s="107"/>
    </row>
    <row r="66" spans="3:5" ht="12.75">
      <c r="C66" s="127" t="s">
        <v>80</v>
      </c>
      <c r="D66" s="106"/>
      <c r="E66" s="107"/>
    </row>
    <row r="67" spans="3:5" ht="12.75">
      <c r="C67" s="127" t="s">
        <v>81</v>
      </c>
      <c r="D67" s="106"/>
      <c r="E67" s="107"/>
    </row>
    <row r="68" spans="3:5" ht="22.9" customHeight="1">
      <c r="C68" s="106"/>
      <c r="D68" s="106"/>
      <c r="E68" s="107"/>
    </row>
    <row r="69" spans="3:5" ht="22.9" customHeight="1">
      <c r="C69" s="106"/>
      <c r="D69" s="106"/>
      <c r="E69" s="107"/>
    </row>
    <row r="70" spans="3:5" ht="22.9" customHeight="1">
      <c r="C70" s="106"/>
      <c r="D70" s="106"/>
      <c r="E70" s="107"/>
    </row>
    <row r="71" spans="3:5" ht="22.9" customHeight="1">
      <c r="C71" s="106"/>
      <c r="D71" s="106"/>
      <c r="E71" s="107"/>
    </row>
    <row r="72" spans="3:5" ht="22.9" customHeight="1">
      <c r="E72" s="107"/>
    </row>
  </sheetData>
  <sheetProtection password="E059" sheet="1" objects="1" scenarios="1"/>
  <mergeCells count="18">
    <mergeCell ref="C61:D61"/>
    <mergeCell ref="C29:D29"/>
    <mergeCell ref="C31:D31"/>
    <mergeCell ref="C33:D33"/>
    <mergeCell ref="C35:D35"/>
    <mergeCell ref="C37:D37"/>
    <mergeCell ref="C43:D43"/>
    <mergeCell ref="C47:D47"/>
    <mergeCell ref="C51:D51"/>
    <mergeCell ref="C53:D53"/>
    <mergeCell ref="C55:D55"/>
    <mergeCell ref="C57:D57"/>
    <mergeCell ref="C25:D25"/>
    <mergeCell ref="E6:E7"/>
    <mergeCell ref="D9:E9"/>
    <mergeCell ref="C12:D12"/>
    <mergeCell ref="C14:D14"/>
    <mergeCell ref="C21:D21"/>
  </mergeCells>
  <phoneticPr fontId="22" type="noConversion"/>
  <printOptions horizontalCentered="1" verticalCentered="1"/>
  <pageMargins left="0.36000000000000004" right="0.36000000000000004" top="0.6100000000000001" bottom="0.6100000000000001" header="0.5" footer="0.5"/>
  <pageSetup paperSize="9" scale="64"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Y55"/>
  <sheetViews>
    <sheetView zoomScale="70" zoomScaleNormal="70" zoomScalePageLayoutView="70" workbookViewId="0">
      <selection activeCell="G60" sqref="G60"/>
    </sheetView>
  </sheetViews>
  <sheetFormatPr baseColWidth="10" defaultColWidth="10.77734375" defaultRowHeight="22.9" customHeight="1"/>
  <cols>
    <col min="1" max="1" width="3" style="2" customWidth="1"/>
    <col min="2" max="2" width="3.21875" style="2" customWidth="1"/>
    <col min="3" max="3" width="12.21875" style="2" customWidth="1"/>
    <col min="4" max="4" width="7.5546875" style="2" customWidth="1"/>
    <col min="5" max="5" width="15.21875" style="2" customWidth="1"/>
    <col min="6" max="7" width="18.21875" style="2" customWidth="1"/>
    <col min="8" max="8" width="13" style="2" customWidth="1"/>
    <col min="9" max="9" width="3.5546875" style="2" customWidth="1"/>
    <col min="10" max="16384" width="10.77734375" style="2"/>
  </cols>
  <sheetData>
    <row r="1" spans="2:24" ht="22.9" customHeight="1">
      <c r="E1" s="3"/>
    </row>
    <row r="2" spans="2:24" ht="22.9" customHeight="1">
      <c r="D2" s="63" t="s">
        <v>31</v>
      </c>
    </row>
    <row r="3" spans="2:24" ht="22.9" customHeight="1">
      <c r="D3" s="63" t="s">
        <v>32</v>
      </c>
    </row>
    <row r="4" spans="2:24" ht="22.9" customHeight="1" thickBot="1"/>
    <row r="5" spans="2:24" ht="9" customHeight="1">
      <c r="B5" s="5"/>
      <c r="C5" s="6"/>
      <c r="D5" s="6"/>
      <c r="E5" s="6"/>
      <c r="F5" s="6"/>
      <c r="G5" s="6"/>
      <c r="H5" s="6"/>
      <c r="I5" s="7"/>
      <c r="K5" s="426"/>
      <c r="L5" s="427"/>
      <c r="M5" s="427"/>
      <c r="N5" s="427"/>
      <c r="O5" s="427"/>
      <c r="P5" s="427"/>
      <c r="Q5" s="427"/>
      <c r="R5" s="427"/>
      <c r="S5" s="427"/>
      <c r="T5" s="427"/>
      <c r="U5" s="427"/>
      <c r="V5" s="427"/>
      <c r="W5" s="427"/>
      <c r="X5" s="428"/>
    </row>
    <row r="6" spans="2:24" ht="30" customHeight="1">
      <c r="B6" s="8"/>
      <c r="C6" s="1" t="s">
        <v>0</v>
      </c>
      <c r="D6" s="23"/>
      <c r="E6" s="23"/>
      <c r="F6" s="23"/>
      <c r="G6" s="3"/>
      <c r="H6" s="1105">
        <f>ejercicio</f>
        <v>2018</v>
      </c>
      <c r="I6" s="9"/>
      <c r="K6" s="429"/>
      <c r="L6" s="430" t="s">
        <v>707</v>
      </c>
      <c r="M6" s="431"/>
      <c r="N6" s="431"/>
      <c r="O6" s="431"/>
      <c r="P6" s="431"/>
      <c r="Q6" s="431"/>
      <c r="R6" s="431"/>
      <c r="S6" s="431"/>
      <c r="T6" s="431"/>
      <c r="U6" s="431"/>
      <c r="V6" s="431"/>
      <c r="W6" s="431"/>
      <c r="X6" s="432"/>
    </row>
    <row r="7" spans="2:24" ht="30" customHeight="1">
      <c r="B7" s="8"/>
      <c r="C7" s="1" t="s">
        <v>1</v>
      </c>
      <c r="D7" s="3"/>
      <c r="E7" s="3"/>
      <c r="F7" s="3"/>
      <c r="G7" s="3"/>
      <c r="H7" s="1105">
        <v>2018</v>
      </c>
      <c r="I7" s="9"/>
      <c r="K7" s="429"/>
      <c r="L7" s="431"/>
      <c r="M7" s="431"/>
      <c r="N7" s="431"/>
      <c r="O7" s="431"/>
      <c r="P7" s="431"/>
      <c r="Q7" s="431"/>
      <c r="R7" s="431"/>
      <c r="S7" s="431"/>
      <c r="T7" s="431"/>
      <c r="U7" s="431"/>
      <c r="V7" s="431"/>
      <c r="W7" s="431"/>
      <c r="X7" s="432"/>
    </row>
    <row r="8" spans="2:24" ht="30" customHeight="1">
      <c r="B8" s="8"/>
      <c r="C8" s="3"/>
      <c r="D8" s="3"/>
      <c r="E8" s="3"/>
      <c r="F8" s="3"/>
      <c r="G8" s="3"/>
      <c r="H8" s="16"/>
      <c r="I8" s="9"/>
      <c r="K8" s="429"/>
      <c r="L8" s="431"/>
      <c r="M8" s="431"/>
      <c r="N8" s="431"/>
      <c r="O8" s="431"/>
      <c r="P8" s="431"/>
      <c r="Q8" s="431"/>
      <c r="R8" s="431"/>
      <c r="S8" s="431"/>
      <c r="T8" s="431"/>
      <c r="U8" s="431"/>
      <c r="V8" s="431"/>
      <c r="W8" s="431"/>
      <c r="X8" s="432"/>
    </row>
    <row r="9" spans="2:24" ht="30" customHeight="1">
      <c r="B9" s="8"/>
      <c r="C9" s="39" t="s">
        <v>2</v>
      </c>
      <c r="D9" s="1110" t="str">
        <f>Entidad</f>
        <v>METROPOLITANO DE TENERIFE, S.A.</v>
      </c>
      <c r="E9" s="1110"/>
      <c r="F9" s="1110"/>
      <c r="G9" s="1110"/>
      <c r="H9" s="1110"/>
      <c r="I9" s="9"/>
      <c r="K9" s="433"/>
      <c r="L9" s="434"/>
      <c r="M9" s="434"/>
      <c r="N9" s="434"/>
      <c r="O9" s="434"/>
      <c r="P9" s="434"/>
      <c r="Q9" s="434"/>
      <c r="R9" s="434"/>
      <c r="S9" s="434"/>
      <c r="T9" s="434"/>
      <c r="U9" s="434"/>
      <c r="V9" s="434"/>
      <c r="W9" s="434"/>
      <c r="X9" s="435"/>
    </row>
    <row r="10" spans="2:24" ht="7.15" customHeight="1">
      <c r="B10" s="8"/>
      <c r="C10" s="3"/>
      <c r="D10" s="3"/>
      <c r="E10" s="3"/>
      <c r="F10" s="3"/>
      <c r="G10" s="3"/>
      <c r="H10" s="10"/>
      <c r="I10" s="9"/>
      <c r="K10" s="429"/>
      <c r="L10" s="431"/>
      <c r="M10" s="431"/>
      <c r="N10" s="431"/>
      <c r="O10" s="431"/>
      <c r="P10" s="431"/>
      <c r="Q10" s="431"/>
      <c r="R10" s="431"/>
      <c r="S10" s="431"/>
      <c r="T10" s="431"/>
      <c r="U10" s="431"/>
      <c r="V10" s="431"/>
      <c r="W10" s="431"/>
      <c r="X10" s="432"/>
    </row>
    <row r="11" spans="2:24" s="12" customFormat="1" ht="30" customHeight="1">
      <c r="B11" s="24"/>
      <c r="C11" s="11" t="s">
        <v>76</v>
      </c>
      <c r="D11" s="11"/>
      <c r="E11" s="11"/>
      <c r="F11" s="11"/>
      <c r="G11" s="11"/>
      <c r="H11" s="11"/>
      <c r="I11" s="25"/>
      <c r="K11" s="436"/>
      <c r="L11" s="437"/>
      <c r="M11" s="437"/>
      <c r="N11" s="437"/>
      <c r="O11" s="437"/>
      <c r="P11" s="437"/>
      <c r="Q11" s="437"/>
      <c r="R11" s="437"/>
      <c r="S11" s="437"/>
      <c r="T11" s="437"/>
      <c r="U11" s="437"/>
      <c r="V11" s="437"/>
      <c r="W11" s="437"/>
      <c r="X11" s="438"/>
    </row>
    <row r="12" spans="2:24" ht="22.9" customHeight="1">
      <c r="B12" s="8"/>
      <c r="C12" s="3"/>
      <c r="D12" s="3"/>
      <c r="E12" s="3"/>
      <c r="F12" s="3"/>
      <c r="G12" s="3"/>
      <c r="H12" s="3"/>
      <c r="I12" s="9"/>
      <c r="K12" s="436"/>
      <c r="L12" s="437"/>
      <c r="M12" s="437"/>
      <c r="N12" s="437"/>
      <c r="O12" s="437"/>
      <c r="P12" s="437"/>
      <c r="Q12" s="437"/>
      <c r="R12" s="437"/>
      <c r="S12" s="437"/>
      <c r="T12" s="437"/>
      <c r="U12" s="437"/>
      <c r="V12" s="437"/>
      <c r="W12" s="437"/>
      <c r="X12" s="438"/>
    </row>
    <row r="13" spans="2:24" ht="22.9" customHeight="1">
      <c r="B13" s="8"/>
      <c r="C13" s="13" t="s">
        <v>685</v>
      </c>
      <c r="D13" s="13"/>
      <c r="E13" s="13"/>
      <c r="F13" s="13"/>
      <c r="G13" s="13"/>
      <c r="H13" s="568">
        <f>+H15+H19</f>
        <v>10</v>
      </c>
      <c r="I13" s="9"/>
      <c r="K13" s="429"/>
      <c r="L13" s="431"/>
      <c r="M13" s="431"/>
      <c r="N13" s="431"/>
      <c r="O13" s="431"/>
      <c r="P13" s="431"/>
      <c r="Q13" s="431"/>
      <c r="R13" s="431"/>
      <c r="S13" s="431"/>
      <c r="T13" s="431"/>
      <c r="U13" s="431"/>
      <c r="V13" s="431"/>
      <c r="W13" s="431"/>
      <c r="X13" s="432"/>
    </row>
    <row r="14" spans="2:24" ht="22.9" customHeight="1">
      <c r="B14" s="8"/>
      <c r="C14" s="3"/>
      <c r="D14" s="3"/>
      <c r="E14" s="3"/>
      <c r="F14" s="3"/>
      <c r="G14" s="3"/>
      <c r="H14" s="3"/>
      <c r="I14" s="9"/>
      <c r="K14" s="429"/>
      <c r="L14" s="431"/>
      <c r="M14" s="431"/>
      <c r="N14" s="431"/>
      <c r="O14" s="431"/>
      <c r="P14" s="431"/>
      <c r="Q14" s="431"/>
      <c r="R14" s="431"/>
      <c r="S14" s="431"/>
      <c r="T14" s="431"/>
      <c r="U14" s="431"/>
      <c r="V14" s="431"/>
      <c r="W14" s="431"/>
      <c r="X14" s="432"/>
    </row>
    <row r="15" spans="2:24" ht="22.9" customHeight="1">
      <c r="B15" s="8"/>
      <c r="C15" s="3"/>
      <c r="D15" s="569" t="s">
        <v>686</v>
      </c>
      <c r="E15" s="569"/>
      <c r="F15" s="569"/>
      <c r="G15" s="569"/>
      <c r="H15" s="570">
        <f>H16+H17</f>
        <v>10</v>
      </c>
      <c r="I15" s="9"/>
      <c r="K15" s="429"/>
      <c r="L15" s="431"/>
      <c r="M15" s="431"/>
      <c r="N15" s="431"/>
      <c r="O15" s="431"/>
      <c r="P15" s="431"/>
      <c r="Q15" s="431"/>
      <c r="R15" s="431"/>
      <c r="S15" s="431"/>
      <c r="T15" s="431"/>
      <c r="U15" s="431"/>
      <c r="V15" s="431"/>
      <c r="W15" s="431"/>
      <c r="X15" s="432"/>
    </row>
    <row r="16" spans="2:24" ht="22.9" customHeight="1">
      <c r="B16" s="8"/>
      <c r="C16" s="3"/>
      <c r="D16" s="3"/>
      <c r="E16" s="26" t="s">
        <v>3</v>
      </c>
      <c r="F16" s="26"/>
      <c r="G16" s="26"/>
      <c r="H16" s="458">
        <v>10</v>
      </c>
      <c r="I16" s="9"/>
      <c r="K16" s="429"/>
      <c r="L16" s="431"/>
      <c r="M16" s="431"/>
      <c r="N16" s="431"/>
      <c r="O16" s="431"/>
      <c r="P16" s="431"/>
      <c r="Q16" s="431"/>
      <c r="R16" s="431"/>
      <c r="S16" s="431"/>
      <c r="T16" s="431"/>
      <c r="U16" s="431"/>
      <c r="V16" s="431"/>
      <c r="W16" s="431"/>
      <c r="X16" s="432"/>
    </row>
    <row r="17" spans="2:24" ht="22.9" customHeight="1">
      <c r="B17" s="8"/>
      <c r="C17" s="3"/>
      <c r="D17" s="3"/>
      <c r="E17" s="26" t="s">
        <v>4</v>
      </c>
      <c r="F17" s="26"/>
      <c r="G17" s="26"/>
      <c r="H17" s="458"/>
      <c r="I17" s="9"/>
      <c r="K17" s="429"/>
      <c r="L17" s="431"/>
      <c r="M17" s="431"/>
      <c r="N17" s="431"/>
      <c r="O17" s="431"/>
      <c r="P17" s="431"/>
      <c r="Q17" s="431"/>
      <c r="R17" s="431"/>
      <c r="S17" s="431"/>
      <c r="T17" s="431"/>
      <c r="U17" s="431"/>
      <c r="V17" s="431"/>
      <c r="W17" s="431"/>
      <c r="X17" s="432"/>
    </row>
    <row r="18" spans="2:24" ht="22.9" customHeight="1">
      <c r="B18" s="8"/>
      <c r="C18" s="3"/>
      <c r="D18" s="3"/>
      <c r="E18" s="3"/>
      <c r="F18" s="3"/>
      <c r="G18" s="3"/>
      <c r="H18" s="3"/>
      <c r="I18" s="9"/>
      <c r="K18" s="429"/>
      <c r="L18" s="431"/>
      <c r="M18" s="431"/>
      <c r="N18" s="431"/>
      <c r="O18" s="431"/>
      <c r="P18" s="431"/>
      <c r="Q18" s="431"/>
      <c r="R18" s="431"/>
      <c r="S18" s="431"/>
      <c r="T18" s="431"/>
      <c r="U18" s="431"/>
      <c r="V18" s="431"/>
      <c r="W18" s="431"/>
      <c r="X18" s="432"/>
    </row>
    <row r="19" spans="2:24" ht="22.9" customHeight="1">
      <c r="B19" s="8"/>
      <c r="C19" s="3"/>
      <c r="D19" s="569" t="s">
        <v>687</v>
      </c>
      <c r="E19" s="569"/>
      <c r="F19" s="569"/>
      <c r="G19" s="569"/>
      <c r="H19" s="571"/>
      <c r="I19" s="9"/>
      <c r="K19" s="429"/>
      <c r="L19" s="431"/>
      <c r="M19" s="431"/>
      <c r="N19" s="431"/>
      <c r="O19" s="431"/>
      <c r="P19" s="431"/>
      <c r="Q19" s="431"/>
      <c r="R19" s="431"/>
      <c r="S19" s="431"/>
      <c r="T19" s="431"/>
      <c r="U19" s="431"/>
      <c r="V19" s="431"/>
      <c r="W19" s="431"/>
      <c r="X19" s="432"/>
    </row>
    <row r="20" spans="2:24" ht="22.9" customHeight="1">
      <c r="B20" s="8"/>
      <c r="C20" s="3"/>
      <c r="D20" s="3"/>
      <c r="E20" s="3"/>
      <c r="F20" s="3"/>
      <c r="G20" s="3"/>
      <c r="H20" s="3"/>
      <c r="I20" s="9"/>
      <c r="K20" s="429"/>
      <c r="L20" s="431"/>
      <c r="M20" s="431"/>
      <c r="N20" s="431"/>
      <c r="O20" s="431"/>
      <c r="P20" s="431"/>
      <c r="Q20" s="431"/>
      <c r="R20" s="431"/>
      <c r="S20" s="431"/>
      <c r="T20" s="431"/>
      <c r="U20" s="431"/>
      <c r="V20" s="431"/>
      <c r="W20" s="431"/>
      <c r="X20" s="432"/>
    </row>
    <row r="21" spans="2:24" ht="22.9" customHeight="1">
      <c r="B21" s="8"/>
      <c r="C21" s="3"/>
      <c r="D21" s="3"/>
      <c r="E21" s="3"/>
      <c r="F21" s="3"/>
      <c r="G21" s="3"/>
      <c r="H21" s="3"/>
      <c r="I21" s="9"/>
      <c r="K21" s="429"/>
      <c r="L21" s="431"/>
      <c r="M21" s="431"/>
      <c r="N21" s="431"/>
      <c r="O21" s="431"/>
      <c r="P21" s="431"/>
      <c r="Q21" s="431"/>
      <c r="R21" s="431"/>
      <c r="S21" s="431"/>
      <c r="T21" s="431"/>
      <c r="U21" s="431"/>
      <c r="V21" s="431"/>
      <c r="W21" s="431"/>
      <c r="X21" s="432"/>
    </row>
    <row r="22" spans="2:24" ht="31.15" customHeight="1">
      <c r="B22" s="8"/>
      <c r="C22" s="27" t="s">
        <v>6</v>
      </c>
      <c r="D22" s="27" t="s">
        <v>5</v>
      </c>
      <c r="E22" s="27"/>
      <c r="F22" s="27"/>
      <c r="G22" s="27"/>
      <c r="H22" s="28" t="s">
        <v>7</v>
      </c>
      <c r="I22" s="9"/>
      <c r="K22" s="429"/>
      <c r="L22" s="431"/>
      <c r="M22" s="431"/>
      <c r="N22" s="431"/>
      <c r="O22" s="431"/>
      <c r="P22" s="431"/>
      <c r="Q22" s="431"/>
      <c r="R22" s="431"/>
      <c r="S22" s="431"/>
      <c r="T22" s="431"/>
      <c r="U22" s="431"/>
      <c r="V22" s="431"/>
      <c r="W22" s="431"/>
      <c r="X22" s="432"/>
    </row>
    <row r="23" spans="2:24" ht="22.9" customHeight="1">
      <c r="B23" s="8"/>
      <c r="C23" s="29" t="s">
        <v>688</v>
      </c>
      <c r="D23" s="572" t="s">
        <v>894</v>
      </c>
      <c r="E23" s="572"/>
      <c r="F23" s="572"/>
      <c r="G23" s="572"/>
      <c r="H23" s="459">
        <v>42853</v>
      </c>
      <c r="I23" s="9"/>
      <c r="K23" s="429"/>
      <c r="L23" s="431"/>
      <c r="M23" s="431"/>
      <c r="N23" s="431"/>
      <c r="O23" s="431"/>
      <c r="P23" s="431"/>
      <c r="Q23" s="431"/>
      <c r="R23" s="431"/>
      <c r="S23" s="431"/>
      <c r="T23" s="431"/>
      <c r="U23" s="431"/>
      <c r="V23" s="431"/>
      <c r="W23" s="431"/>
      <c r="X23" s="432"/>
    </row>
    <row r="24" spans="2:24" ht="22.9" customHeight="1">
      <c r="B24" s="8"/>
      <c r="C24" s="30" t="s">
        <v>689</v>
      </c>
      <c r="D24" s="573" t="s">
        <v>895</v>
      </c>
      <c r="E24" s="573"/>
      <c r="F24" s="573"/>
      <c r="G24" s="573"/>
      <c r="H24" s="460">
        <v>42853</v>
      </c>
      <c r="I24" s="9"/>
      <c r="K24" s="429"/>
      <c r="L24" s="431"/>
      <c r="M24" s="431"/>
      <c r="N24" s="431"/>
      <c r="O24" s="431"/>
      <c r="P24" s="431"/>
      <c r="Q24" s="431"/>
      <c r="R24" s="431"/>
      <c r="S24" s="431"/>
      <c r="T24" s="431"/>
      <c r="U24" s="431"/>
      <c r="V24" s="431"/>
      <c r="W24" s="431"/>
      <c r="X24" s="432"/>
    </row>
    <row r="25" spans="2:24" ht="22.9" customHeight="1">
      <c r="B25" s="8"/>
      <c r="C25" s="30" t="s">
        <v>690</v>
      </c>
      <c r="D25" s="573" t="s">
        <v>896</v>
      </c>
      <c r="E25" s="573"/>
      <c r="F25" s="573"/>
      <c r="G25" s="573"/>
      <c r="H25" s="460">
        <v>37013</v>
      </c>
      <c r="I25" s="9"/>
      <c r="K25" s="429"/>
      <c r="L25" s="431"/>
      <c r="M25" s="431"/>
      <c r="N25" s="431"/>
      <c r="O25" s="431"/>
      <c r="P25" s="431"/>
      <c r="Q25" s="431"/>
      <c r="R25" s="431"/>
      <c r="S25" s="431"/>
      <c r="T25" s="431"/>
      <c r="U25" s="431"/>
      <c r="V25" s="431"/>
      <c r="W25" s="431"/>
      <c r="X25" s="432"/>
    </row>
    <row r="26" spans="2:24" ht="22.9" customHeight="1">
      <c r="B26" s="8"/>
      <c r="C26" s="30" t="s">
        <v>691</v>
      </c>
      <c r="D26" s="573"/>
      <c r="E26" s="573"/>
      <c r="F26" s="573"/>
      <c r="G26" s="573"/>
      <c r="H26" s="460"/>
      <c r="I26" s="9"/>
      <c r="K26" s="429"/>
      <c r="L26" s="431"/>
      <c r="M26" s="431"/>
      <c r="N26" s="431"/>
      <c r="O26" s="431"/>
      <c r="P26" s="431"/>
      <c r="Q26" s="431"/>
      <c r="R26" s="431"/>
      <c r="S26" s="431"/>
      <c r="T26" s="431"/>
      <c r="U26" s="431"/>
      <c r="V26" s="431"/>
      <c r="W26" s="431"/>
      <c r="X26" s="432"/>
    </row>
    <row r="27" spans="2:24" ht="22.9" customHeight="1">
      <c r="B27" s="8"/>
      <c r="C27" s="30" t="s">
        <v>8</v>
      </c>
      <c r="D27" s="573" t="s">
        <v>897</v>
      </c>
      <c r="E27" s="573"/>
      <c r="F27" s="573"/>
      <c r="G27" s="573"/>
      <c r="H27" s="460">
        <v>42853</v>
      </c>
      <c r="I27" s="9"/>
      <c r="K27" s="429"/>
      <c r="L27" s="431"/>
      <c r="M27" s="431"/>
      <c r="N27" s="431"/>
      <c r="O27" s="431"/>
      <c r="P27" s="431"/>
      <c r="Q27" s="431"/>
      <c r="R27" s="431"/>
      <c r="S27" s="431"/>
      <c r="T27" s="431"/>
      <c r="U27" s="431"/>
      <c r="V27" s="431"/>
      <c r="W27" s="431"/>
      <c r="X27" s="432"/>
    </row>
    <row r="28" spans="2:24" ht="22.9" customHeight="1">
      <c r="B28" s="8"/>
      <c r="C28" s="30" t="s">
        <v>9</v>
      </c>
      <c r="D28" s="573" t="s">
        <v>898</v>
      </c>
      <c r="E28" s="573"/>
      <c r="F28" s="573"/>
      <c r="G28" s="573"/>
      <c r="H28" s="460">
        <v>42853</v>
      </c>
      <c r="I28" s="9"/>
      <c r="K28" s="429"/>
      <c r="L28" s="431"/>
      <c r="M28" s="431"/>
      <c r="N28" s="431"/>
      <c r="O28" s="431"/>
      <c r="P28" s="431"/>
      <c r="Q28" s="431"/>
      <c r="R28" s="431"/>
      <c r="S28" s="431"/>
      <c r="T28" s="431"/>
      <c r="U28" s="431"/>
      <c r="V28" s="431"/>
      <c r="W28" s="431"/>
      <c r="X28" s="432"/>
    </row>
    <row r="29" spans="2:24" ht="22.9" customHeight="1">
      <c r="B29" s="8"/>
      <c r="C29" s="30" t="s">
        <v>10</v>
      </c>
      <c r="D29" s="573" t="s">
        <v>899</v>
      </c>
      <c r="E29" s="573"/>
      <c r="F29" s="573"/>
      <c r="G29" s="573"/>
      <c r="H29" s="460">
        <v>42853</v>
      </c>
      <c r="I29" s="9"/>
      <c r="K29" s="429"/>
      <c r="L29" s="431"/>
      <c r="M29" s="431"/>
      <c r="N29" s="431"/>
      <c r="O29" s="431"/>
      <c r="P29" s="431"/>
      <c r="Q29" s="431"/>
      <c r="R29" s="431"/>
      <c r="S29" s="431"/>
      <c r="T29" s="431"/>
      <c r="U29" s="431"/>
      <c r="V29" s="431"/>
      <c r="W29" s="431"/>
      <c r="X29" s="432"/>
    </row>
    <row r="30" spans="2:24" ht="22.9" customHeight="1">
      <c r="B30" s="8"/>
      <c r="C30" s="30" t="s">
        <v>11</v>
      </c>
      <c r="D30" s="573" t="s">
        <v>900</v>
      </c>
      <c r="E30" s="573"/>
      <c r="F30" s="573"/>
      <c r="G30" s="573"/>
      <c r="H30" s="460">
        <v>42853</v>
      </c>
      <c r="I30" s="9"/>
      <c r="K30" s="439"/>
      <c r="L30" s="440"/>
      <c r="M30" s="440"/>
      <c r="N30" s="440"/>
      <c r="O30" s="440"/>
      <c r="P30" s="440"/>
      <c r="Q30" s="440"/>
      <c r="R30" s="440"/>
      <c r="S30" s="440"/>
      <c r="T30" s="440"/>
      <c r="U30" s="440"/>
      <c r="V30" s="440"/>
      <c r="W30" s="440"/>
      <c r="X30" s="441"/>
    </row>
    <row r="31" spans="2:24" ht="22.9" customHeight="1">
      <c r="B31" s="8"/>
      <c r="C31" s="30" t="s">
        <v>12</v>
      </c>
      <c r="D31" s="573" t="s">
        <v>901</v>
      </c>
      <c r="E31" s="573"/>
      <c r="F31" s="573"/>
      <c r="G31" s="573"/>
      <c r="H31" s="460">
        <v>42853</v>
      </c>
      <c r="I31" s="9"/>
      <c r="K31" s="439"/>
      <c r="L31" s="440"/>
      <c r="M31" s="440"/>
      <c r="N31" s="440"/>
      <c r="O31" s="440"/>
      <c r="P31" s="440"/>
      <c r="Q31" s="440"/>
      <c r="R31" s="440"/>
      <c r="S31" s="440"/>
      <c r="T31" s="440"/>
      <c r="U31" s="440"/>
      <c r="V31" s="440"/>
      <c r="W31" s="440"/>
      <c r="X31" s="441"/>
    </row>
    <row r="32" spans="2:24" ht="22.9" customHeight="1">
      <c r="B32" s="8"/>
      <c r="C32" s="30" t="s">
        <v>13</v>
      </c>
      <c r="D32" s="573" t="s">
        <v>902</v>
      </c>
      <c r="E32" s="573"/>
      <c r="F32" s="573"/>
      <c r="G32" s="573"/>
      <c r="H32" s="460">
        <v>42853</v>
      </c>
      <c r="I32" s="9"/>
      <c r="K32" s="429"/>
      <c r="L32" s="431"/>
      <c r="M32" s="431"/>
      <c r="N32" s="431"/>
      <c r="O32" s="431"/>
      <c r="P32" s="431"/>
      <c r="Q32" s="431"/>
      <c r="R32" s="431"/>
      <c r="S32" s="431"/>
      <c r="T32" s="431"/>
      <c r="U32" s="431"/>
      <c r="V32" s="431"/>
      <c r="W32" s="431"/>
      <c r="X32" s="432"/>
    </row>
    <row r="33" spans="2:25" ht="22.9" customHeight="1">
      <c r="B33" s="8"/>
      <c r="C33" s="30" t="s">
        <v>14</v>
      </c>
      <c r="D33" s="573" t="s">
        <v>903</v>
      </c>
      <c r="E33" s="573"/>
      <c r="F33" s="573"/>
      <c r="G33" s="573"/>
      <c r="H33" s="460">
        <v>42853</v>
      </c>
      <c r="I33" s="9"/>
      <c r="K33" s="429"/>
      <c r="L33" s="431"/>
      <c r="M33" s="431"/>
      <c r="N33" s="431"/>
      <c r="O33" s="431"/>
      <c r="P33" s="431"/>
      <c r="Q33" s="431"/>
      <c r="R33" s="431"/>
      <c r="S33" s="431"/>
      <c r="T33" s="431"/>
      <c r="U33" s="431"/>
      <c r="V33" s="431"/>
      <c r="W33" s="431"/>
      <c r="X33" s="432"/>
    </row>
    <row r="34" spans="2:25" ht="22.9" customHeight="1">
      <c r="B34" s="8"/>
      <c r="C34" s="30" t="s">
        <v>15</v>
      </c>
      <c r="D34" s="573" t="s">
        <v>905</v>
      </c>
      <c r="E34" s="573"/>
      <c r="F34" s="573"/>
      <c r="G34" s="573"/>
      <c r="H34" s="460">
        <v>42853</v>
      </c>
      <c r="I34" s="9"/>
      <c r="K34" s="429"/>
      <c r="L34" s="431"/>
      <c r="M34" s="431"/>
      <c r="N34" s="431"/>
      <c r="O34" s="431"/>
      <c r="P34" s="431"/>
      <c r="Q34" s="431"/>
      <c r="R34" s="431"/>
      <c r="S34" s="431"/>
      <c r="T34" s="431"/>
      <c r="U34" s="431"/>
      <c r="V34" s="431"/>
      <c r="W34" s="431"/>
      <c r="X34" s="432"/>
    </row>
    <row r="35" spans="2:25" ht="22.9" customHeight="1">
      <c r="B35" s="8"/>
      <c r="C35" s="30" t="s">
        <v>16</v>
      </c>
      <c r="D35" s="573"/>
      <c r="E35" s="573"/>
      <c r="F35" s="573"/>
      <c r="G35" s="573"/>
      <c r="H35" s="460"/>
      <c r="I35" s="9"/>
      <c r="K35" s="429"/>
      <c r="L35" s="431"/>
      <c r="M35" s="431"/>
      <c r="N35" s="431"/>
      <c r="O35" s="431"/>
      <c r="P35" s="431"/>
      <c r="Q35" s="431"/>
      <c r="R35" s="431"/>
      <c r="S35" s="431"/>
      <c r="T35" s="431"/>
      <c r="U35" s="431"/>
      <c r="V35" s="431"/>
      <c r="W35" s="431"/>
      <c r="X35" s="432"/>
    </row>
    <row r="36" spans="2:25" ht="22.9" customHeight="1">
      <c r="B36" s="8"/>
      <c r="C36" s="30" t="s">
        <v>17</v>
      </c>
      <c r="D36" s="573"/>
      <c r="E36" s="573"/>
      <c r="F36" s="573"/>
      <c r="G36" s="573"/>
      <c r="H36" s="460"/>
      <c r="I36" s="9"/>
      <c r="K36" s="442"/>
      <c r="L36" s="443"/>
      <c r="M36" s="443"/>
      <c r="N36" s="443"/>
      <c r="O36" s="443"/>
      <c r="P36" s="443"/>
      <c r="Q36" s="443"/>
      <c r="R36" s="443"/>
      <c r="S36" s="443"/>
      <c r="T36" s="443"/>
      <c r="U36" s="443"/>
      <c r="V36" s="443"/>
      <c r="W36" s="443"/>
      <c r="X36" s="444"/>
    </row>
    <row r="37" spans="2:25" ht="22.9" customHeight="1">
      <c r="B37" s="8"/>
      <c r="C37" s="30" t="s">
        <v>18</v>
      </c>
      <c r="D37" s="573"/>
      <c r="E37" s="573"/>
      <c r="F37" s="573"/>
      <c r="G37" s="573"/>
      <c r="H37" s="460"/>
      <c r="I37" s="9"/>
      <c r="K37" s="442"/>
      <c r="L37" s="443"/>
      <c r="M37" s="443"/>
      <c r="N37" s="443"/>
      <c r="O37" s="443"/>
      <c r="P37" s="443"/>
      <c r="Q37" s="443"/>
      <c r="R37" s="443"/>
      <c r="S37" s="443"/>
      <c r="T37" s="443"/>
      <c r="U37" s="443"/>
      <c r="V37" s="443"/>
      <c r="W37" s="443"/>
      <c r="X37" s="444"/>
    </row>
    <row r="38" spans="2:25" ht="22.9" customHeight="1">
      <c r="B38" s="8"/>
      <c r="C38" s="30" t="s">
        <v>19</v>
      </c>
      <c r="D38" s="573"/>
      <c r="E38" s="573"/>
      <c r="F38" s="573"/>
      <c r="G38" s="573"/>
      <c r="H38" s="460"/>
      <c r="I38" s="9"/>
      <c r="K38" s="442"/>
      <c r="L38" s="443"/>
      <c r="M38" s="443"/>
      <c r="N38" s="443"/>
      <c r="O38" s="443"/>
      <c r="P38" s="443"/>
      <c r="Q38" s="443"/>
      <c r="R38" s="443"/>
      <c r="S38" s="443"/>
      <c r="T38" s="443"/>
      <c r="U38" s="443"/>
      <c r="V38" s="443"/>
      <c r="W38" s="443"/>
      <c r="X38" s="444"/>
    </row>
    <row r="39" spans="2:25" ht="22.9" customHeight="1">
      <c r="B39" s="8"/>
      <c r="C39" s="31"/>
      <c r="D39" s="32"/>
      <c r="E39" s="32"/>
      <c r="F39" s="32"/>
      <c r="G39" s="32"/>
      <c r="H39" s="33"/>
      <c r="I39" s="9"/>
      <c r="K39" s="442"/>
      <c r="L39" s="443"/>
      <c r="M39" s="443"/>
      <c r="N39" s="443"/>
      <c r="O39" s="443"/>
      <c r="P39" s="443"/>
      <c r="Q39" s="443"/>
      <c r="R39" s="443"/>
      <c r="S39" s="443"/>
      <c r="T39" s="443"/>
      <c r="U39" s="443"/>
      <c r="V39" s="443"/>
      <c r="W39" s="443"/>
      <c r="X39" s="444"/>
    </row>
    <row r="40" spans="2:25" ht="22.9" customHeight="1">
      <c r="B40" s="8"/>
      <c r="C40" s="34" t="s">
        <v>692</v>
      </c>
      <c r="D40" s="574" t="s">
        <v>904</v>
      </c>
      <c r="E40" s="574"/>
      <c r="F40" s="574"/>
      <c r="G40" s="574"/>
      <c r="H40" s="461">
        <v>37015</v>
      </c>
      <c r="I40" s="9"/>
      <c r="K40" s="429"/>
      <c r="L40" s="431"/>
      <c r="M40" s="431"/>
      <c r="N40" s="431"/>
      <c r="O40" s="431"/>
      <c r="P40" s="431"/>
      <c r="Q40" s="431"/>
      <c r="R40" s="431"/>
      <c r="S40" s="431"/>
      <c r="T40" s="431"/>
      <c r="U40" s="431"/>
      <c r="V40" s="431"/>
      <c r="W40" s="431"/>
      <c r="X40" s="432"/>
    </row>
    <row r="41" spans="2:25" ht="22.9" customHeight="1">
      <c r="B41" s="8"/>
      <c r="C41" s="34" t="s">
        <v>36</v>
      </c>
      <c r="D41" s="573"/>
      <c r="E41" s="573"/>
      <c r="F41" s="573"/>
      <c r="G41" s="573"/>
      <c r="H41" s="461"/>
      <c r="I41" s="9"/>
      <c r="K41" s="429"/>
      <c r="L41" s="431"/>
      <c r="M41" s="431"/>
      <c r="N41" s="431"/>
      <c r="O41" s="431"/>
      <c r="P41" s="431"/>
      <c r="Q41" s="431"/>
      <c r="R41" s="431"/>
      <c r="S41" s="431"/>
      <c r="T41" s="431"/>
      <c r="U41" s="431"/>
      <c r="V41" s="431"/>
      <c r="W41" s="431"/>
      <c r="X41" s="432"/>
    </row>
    <row r="42" spans="2:25" ht="22.9" customHeight="1" thickBot="1">
      <c r="B42" s="18"/>
      <c r="C42" s="19"/>
      <c r="D42" s="19"/>
      <c r="E42" s="19"/>
      <c r="F42" s="19"/>
      <c r="G42" s="35"/>
      <c r="H42" s="19"/>
      <c r="I42" s="20"/>
      <c r="K42" s="445"/>
      <c r="L42" s="446"/>
      <c r="M42" s="446"/>
      <c r="N42" s="446"/>
      <c r="O42" s="446"/>
      <c r="P42" s="446"/>
      <c r="Q42" s="446"/>
      <c r="R42" s="446"/>
      <c r="S42" s="446"/>
      <c r="T42" s="446"/>
      <c r="U42" s="446"/>
      <c r="V42" s="446"/>
      <c r="W42" s="446"/>
      <c r="X42" s="447"/>
    </row>
    <row r="43" spans="2:25" ht="22.9" customHeight="1">
      <c r="G43" s="36"/>
    </row>
    <row r="44" spans="2:25" s="42" customFormat="1" ht="15">
      <c r="C44" s="37" t="s">
        <v>77</v>
      </c>
      <c r="G44" s="43"/>
      <c r="H44" s="41" t="s">
        <v>37</v>
      </c>
      <c r="J44" s="2"/>
      <c r="K44" s="2"/>
      <c r="L44" s="2"/>
      <c r="M44" s="2"/>
      <c r="N44" s="2"/>
      <c r="O44" s="2"/>
      <c r="P44" s="2"/>
      <c r="Q44" s="2"/>
      <c r="R44" s="2"/>
      <c r="S44" s="2"/>
      <c r="T44" s="2"/>
      <c r="U44" s="2"/>
      <c r="V44" s="2"/>
      <c r="W44" s="2"/>
      <c r="X44" s="2"/>
      <c r="Y44" s="2"/>
    </row>
    <row r="45" spans="2:25" s="42" customFormat="1" ht="15">
      <c r="C45" s="38" t="s">
        <v>78</v>
      </c>
      <c r="G45" s="43"/>
      <c r="J45" s="2"/>
      <c r="K45" s="2"/>
      <c r="L45" s="2"/>
      <c r="M45" s="2"/>
      <c r="N45" s="2"/>
      <c r="O45" s="2"/>
      <c r="P45" s="2"/>
      <c r="Q45" s="2"/>
      <c r="R45" s="2"/>
      <c r="S45" s="2"/>
      <c r="T45" s="2"/>
      <c r="U45" s="2"/>
      <c r="V45" s="2"/>
      <c r="W45" s="2"/>
      <c r="X45" s="2"/>
      <c r="Y45" s="2"/>
    </row>
    <row r="46" spans="2:25" s="42" customFormat="1" ht="15">
      <c r="C46" s="38" t="s">
        <v>79</v>
      </c>
      <c r="G46" s="43"/>
      <c r="J46" s="2"/>
      <c r="K46" s="2"/>
      <c r="L46" s="2"/>
      <c r="M46" s="2"/>
      <c r="N46" s="2"/>
      <c r="O46" s="2"/>
      <c r="P46" s="2"/>
      <c r="Q46" s="2"/>
      <c r="R46" s="2"/>
      <c r="S46" s="2"/>
      <c r="T46" s="2"/>
      <c r="U46" s="2"/>
      <c r="V46" s="2"/>
      <c r="W46" s="2"/>
      <c r="X46" s="2"/>
      <c r="Y46" s="2"/>
    </row>
    <row r="47" spans="2:25" s="42" customFormat="1" ht="15">
      <c r="C47" s="38" t="s">
        <v>80</v>
      </c>
      <c r="G47" s="43"/>
      <c r="J47" s="2"/>
      <c r="K47" s="2"/>
      <c r="L47" s="2"/>
      <c r="M47" s="2"/>
      <c r="N47" s="2"/>
      <c r="O47" s="2"/>
      <c r="P47" s="2"/>
      <c r="Q47" s="2"/>
      <c r="R47" s="2"/>
      <c r="S47" s="2"/>
      <c r="T47" s="2"/>
      <c r="U47" s="2"/>
      <c r="V47" s="2"/>
      <c r="W47" s="2"/>
      <c r="X47" s="2"/>
      <c r="Y47" s="2"/>
    </row>
    <row r="48" spans="2:25" s="42" customFormat="1" ht="15">
      <c r="C48" s="38" t="s">
        <v>81</v>
      </c>
      <c r="G48" s="43"/>
      <c r="J48" s="2"/>
      <c r="K48" s="2"/>
      <c r="L48" s="2"/>
      <c r="M48" s="2"/>
      <c r="N48" s="2"/>
      <c r="O48" s="2"/>
      <c r="P48" s="2"/>
      <c r="Q48" s="2"/>
      <c r="R48" s="2"/>
      <c r="S48" s="2"/>
      <c r="T48" s="2"/>
      <c r="U48" s="2"/>
      <c r="V48" s="2"/>
      <c r="W48" s="2"/>
      <c r="X48" s="2"/>
      <c r="Y48" s="2"/>
    </row>
    <row r="49" spans="7:7" ht="22.9" customHeight="1">
      <c r="G49" s="36"/>
    </row>
    <row r="50" spans="7:7" ht="22.9" customHeight="1">
      <c r="G50" s="36"/>
    </row>
    <row r="51" spans="7:7" ht="22.9" customHeight="1">
      <c r="G51" s="36"/>
    </row>
    <row r="52" spans="7:7" ht="22.9" customHeight="1">
      <c r="G52" s="36"/>
    </row>
    <row r="53" spans="7:7" ht="22.9" customHeight="1">
      <c r="G53" s="36"/>
    </row>
    <row r="54" spans="7:7" ht="22.9" customHeight="1">
      <c r="G54" s="36"/>
    </row>
    <row r="55" spans="7:7" ht="22.9" customHeight="1">
      <c r="G55" s="36"/>
    </row>
  </sheetData>
  <sheetProtection password="E059" sheet="1" objects="1" scenarios="1"/>
  <mergeCells count="2">
    <mergeCell ref="H6:H7"/>
    <mergeCell ref="D9:H9"/>
  </mergeCells>
  <phoneticPr fontId="22" type="noConversion"/>
  <printOptions horizontalCentered="1" verticalCentered="1"/>
  <pageMargins left="0.35629921259842523" right="0.35629921259842523" top="0.60629921259842523" bottom="0.60629921259842523" header="0.5" footer="0.5"/>
  <pageSetup paperSize="9" scale="71" orientation="portrait" horizontalDpi="4294967292" verticalDpi="4294967292"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F66"/>
  <sheetViews>
    <sheetView zoomScale="70" zoomScaleNormal="70" zoomScalePageLayoutView="70" workbookViewId="0">
      <selection activeCell="P17" sqref="P17"/>
    </sheetView>
  </sheetViews>
  <sheetFormatPr baseColWidth="10" defaultColWidth="10.77734375" defaultRowHeight="22.9" customHeight="1"/>
  <cols>
    <col min="1" max="2" width="3.21875" style="763" customWidth="1"/>
    <col min="3" max="3" width="13.5546875" style="763" customWidth="1"/>
    <col min="4" max="4" width="16.21875" style="763" customWidth="1"/>
    <col min="5" max="5" width="14" style="763" customWidth="1"/>
    <col min="6" max="7" width="16.21875" style="763" customWidth="1"/>
    <col min="8" max="8" width="10.21875" style="763" customWidth="1"/>
    <col min="9" max="9" width="13" style="763" customWidth="1"/>
    <col min="10" max="10" width="10.77734375" style="763"/>
    <col min="11" max="11" width="2" style="763" customWidth="1"/>
    <col min="12" max="15" width="10.77734375" style="763"/>
    <col min="16" max="16" width="30.44140625" style="763" customWidth="1"/>
    <col min="17" max="17" width="3.21875" style="763" customWidth="1"/>
    <col min="18" max="16384" width="10.77734375" style="763"/>
  </cols>
  <sheetData>
    <row r="1" spans="2:32" ht="22.9" customHeight="1">
      <c r="D1" s="764"/>
    </row>
    <row r="2" spans="2:32" ht="22.9" customHeight="1">
      <c r="D2" s="765" t="s">
        <v>31</v>
      </c>
    </row>
    <row r="3" spans="2:32" ht="22.9" customHeight="1">
      <c r="D3" s="765" t="s">
        <v>32</v>
      </c>
    </row>
    <row r="4" spans="2:32" ht="22.9" customHeight="1" thickBot="1"/>
    <row r="5" spans="2:32" ht="9" customHeight="1">
      <c r="B5" s="766"/>
      <c r="C5" s="767"/>
      <c r="D5" s="767"/>
      <c r="E5" s="767"/>
      <c r="F5" s="767"/>
      <c r="G5" s="767"/>
      <c r="H5" s="767"/>
      <c r="I5" s="767"/>
      <c r="J5" s="767"/>
      <c r="K5" s="767"/>
      <c r="L5" s="767"/>
      <c r="M5" s="767"/>
      <c r="N5" s="767"/>
      <c r="O5" s="767"/>
      <c r="P5" s="767"/>
      <c r="Q5" s="768"/>
      <c r="S5" s="426"/>
      <c r="T5" s="427"/>
      <c r="U5" s="427"/>
      <c r="V5" s="427"/>
      <c r="W5" s="427"/>
      <c r="X5" s="427"/>
      <c r="Y5" s="427"/>
      <c r="Z5" s="427"/>
      <c r="AA5" s="427"/>
      <c r="AB5" s="427"/>
      <c r="AC5" s="427"/>
      <c r="AD5" s="427"/>
      <c r="AE5" s="427"/>
      <c r="AF5" s="428"/>
    </row>
    <row r="6" spans="2:32" ht="30" customHeight="1">
      <c r="B6" s="769"/>
      <c r="C6" s="770" t="s">
        <v>0</v>
      </c>
      <c r="D6" s="764"/>
      <c r="E6" s="764"/>
      <c r="F6" s="764"/>
      <c r="G6" s="764"/>
      <c r="H6" s="764"/>
      <c r="I6" s="764"/>
      <c r="J6" s="764"/>
      <c r="K6" s="764"/>
      <c r="L6" s="764"/>
      <c r="M6" s="764"/>
      <c r="N6" s="764"/>
      <c r="P6" s="1111">
        <f>ejercicio</f>
        <v>2018</v>
      </c>
      <c r="Q6" s="771"/>
      <c r="S6" s="429"/>
      <c r="T6" s="430" t="s">
        <v>707</v>
      </c>
      <c r="U6" s="431"/>
      <c r="V6" s="431"/>
      <c r="W6" s="431"/>
      <c r="X6" s="431"/>
      <c r="Y6" s="431"/>
      <c r="Z6" s="431"/>
      <c r="AA6" s="431"/>
      <c r="AB6" s="431"/>
      <c r="AC6" s="431"/>
      <c r="AD6" s="431"/>
      <c r="AE6" s="431"/>
      <c r="AF6" s="432"/>
    </row>
    <row r="7" spans="2:32" ht="30" customHeight="1">
      <c r="B7" s="769"/>
      <c r="C7" s="770" t="s">
        <v>1</v>
      </c>
      <c r="D7" s="764"/>
      <c r="E7" s="764"/>
      <c r="F7" s="764"/>
      <c r="G7" s="764"/>
      <c r="H7" s="764"/>
      <c r="I7" s="764"/>
      <c r="J7" s="764"/>
      <c r="K7" s="764"/>
      <c r="L7" s="764"/>
      <c r="M7" s="772"/>
      <c r="N7" s="764"/>
      <c r="P7" s="1111"/>
      <c r="Q7" s="771"/>
      <c r="S7" s="429"/>
      <c r="T7" s="431"/>
      <c r="U7" s="431"/>
      <c r="V7" s="431"/>
      <c r="W7" s="431"/>
      <c r="X7" s="431"/>
      <c r="Y7" s="431"/>
      <c r="Z7" s="431"/>
      <c r="AA7" s="431"/>
      <c r="AB7" s="431"/>
      <c r="AC7" s="431"/>
      <c r="AD7" s="431"/>
      <c r="AE7" s="431"/>
      <c r="AF7" s="432"/>
    </row>
    <row r="8" spans="2:32" ht="30" customHeight="1">
      <c r="B8" s="769"/>
      <c r="C8" s="773"/>
      <c r="D8" s="764"/>
      <c r="E8" s="764"/>
      <c r="F8" s="764"/>
      <c r="G8" s="764"/>
      <c r="H8" s="764"/>
      <c r="I8" s="764"/>
      <c r="J8" s="764"/>
      <c r="K8" s="764"/>
      <c r="L8" s="764"/>
      <c r="M8" s="772"/>
      <c r="N8" s="764"/>
      <c r="O8" s="774"/>
      <c r="P8" s="774"/>
      <c r="Q8" s="771"/>
      <c r="S8" s="429"/>
      <c r="T8" s="431"/>
      <c r="U8" s="431"/>
      <c r="V8" s="431"/>
      <c r="W8" s="431"/>
      <c r="X8" s="431"/>
      <c r="Y8" s="431"/>
      <c r="Z8" s="431"/>
      <c r="AA8" s="431"/>
      <c r="AB8" s="431"/>
      <c r="AC8" s="431"/>
      <c r="AD8" s="431"/>
      <c r="AE8" s="431"/>
      <c r="AF8" s="432"/>
    </row>
    <row r="9" spans="2:32" s="778" customFormat="1" ht="30" customHeight="1">
      <c r="B9" s="775"/>
      <c r="C9" s="776" t="s">
        <v>2</v>
      </c>
      <c r="D9" s="1113" t="str">
        <f>Entidad</f>
        <v>METROPOLITANO DE TENERIFE, S.A.</v>
      </c>
      <c r="E9" s="1113"/>
      <c r="F9" s="1113"/>
      <c r="G9" s="1113"/>
      <c r="H9" s="1113"/>
      <c r="I9" s="1113"/>
      <c r="J9" s="1113"/>
      <c r="K9" s="1113"/>
      <c r="L9" s="1113"/>
      <c r="M9" s="1113"/>
      <c r="N9" s="1113"/>
      <c r="O9" s="1113"/>
      <c r="P9" s="753"/>
      <c r="Q9" s="777"/>
      <c r="S9" s="433"/>
      <c r="T9" s="434"/>
      <c r="U9" s="434"/>
      <c r="V9" s="434"/>
      <c r="W9" s="434"/>
      <c r="X9" s="434"/>
      <c r="Y9" s="434"/>
      <c r="Z9" s="434"/>
      <c r="AA9" s="434"/>
      <c r="AB9" s="434"/>
      <c r="AC9" s="434"/>
      <c r="AD9" s="434"/>
      <c r="AE9" s="434"/>
      <c r="AF9" s="435"/>
    </row>
    <row r="10" spans="2:32" ht="7.15" customHeight="1">
      <c r="B10" s="769"/>
      <c r="C10" s="764"/>
      <c r="D10" s="764"/>
      <c r="E10" s="764"/>
      <c r="F10" s="764"/>
      <c r="G10" s="764"/>
      <c r="H10" s="764"/>
      <c r="I10" s="772"/>
      <c r="J10" s="764"/>
      <c r="K10" s="764"/>
      <c r="L10" s="764"/>
      <c r="M10" s="764"/>
      <c r="N10" s="764"/>
      <c r="O10" s="764"/>
      <c r="P10" s="764"/>
      <c r="Q10" s="771"/>
      <c r="S10" s="429"/>
      <c r="T10" s="431"/>
      <c r="U10" s="431"/>
      <c r="V10" s="431"/>
      <c r="W10" s="431"/>
      <c r="X10" s="431"/>
      <c r="Y10" s="431"/>
      <c r="Z10" s="431"/>
      <c r="AA10" s="431"/>
      <c r="AB10" s="431"/>
      <c r="AC10" s="431"/>
      <c r="AD10" s="431"/>
      <c r="AE10" s="431"/>
      <c r="AF10" s="432"/>
    </row>
    <row r="11" spans="2:32" s="782" customFormat="1" ht="30" customHeight="1">
      <c r="B11" s="779"/>
      <c r="C11" s="780" t="s">
        <v>83</v>
      </c>
      <c r="D11" s="780"/>
      <c r="E11" s="780"/>
      <c r="F11" s="780"/>
      <c r="G11" s="780"/>
      <c r="H11" s="780"/>
      <c r="I11" s="780"/>
      <c r="J11" s="780"/>
      <c r="K11" s="780"/>
      <c r="L11" s="780"/>
      <c r="M11" s="780"/>
      <c r="N11" s="780"/>
      <c r="O11" s="780"/>
      <c r="P11" s="780"/>
      <c r="Q11" s="781"/>
      <c r="S11" s="436"/>
      <c r="T11" s="437"/>
      <c r="U11" s="437"/>
      <c r="V11" s="437"/>
      <c r="W11" s="437"/>
      <c r="X11" s="437"/>
      <c r="Y11" s="437"/>
      <c r="Z11" s="437"/>
      <c r="AA11" s="437"/>
      <c r="AB11" s="437"/>
      <c r="AC11" s="437"/>
      <c r="AD11" s="437"/>
      <c r="AE11" s="437"/>
      <c r="AF11" s="438"/>
    </row>
    <row r="12" spans="2:32" ht="22.9" customHeight="1">
      <c r="B12" s="769"/>
      <c r="C12" s="764"/>
      <c r="D12" s="764"/>
      <c r="E12" s="764"/>
      <c r="F12" s="764"/>
      <c r="G12" s="764"/>
      <c r="H12" s="764"/>
      <c r="I12" s="764"/>
      <c r="J12" s="764"/>
      <c r="K12" s="764"/>
      <c r="L12" s="764"/>
      <c r="M12" s="764"/>
      <c r="N12" s="764"/>
      <c r="O12" s="764"/>
      <c r="P12" s="764"/>
      <c r="Q12" s="771"/>
      <c r="S12" s="436"/>
      <c r="T12" s="437"/>
      <c r="U12" s="437"/>
      <c r="V12" s="437"/>
      <c r="W12" s="437"/>
      <c r="X12" s="437"/>
      <c r="Y12" s="437"/>
      <c r="Z12" s="437"/>
      <c r="AA12" s="437"/>
      <c r="AB12" s="437"/>
      <c r="AC12" s="437"/>
      <c r="AD12" s="437"/>
      <c r="AE12" s="437"/>
      <c r="AF12" s="438"/>
    </row>
    <row r="13" spans="2:32" ht="22.9" customHeight="1">
      <c r="B13" s="769"/>
      <c r="C13" s="783" t="s">
        <v>761</v>
      </c>
      <c r="D13" s="783"/>
      <c r="E13" s="783"/>
      <c r="F13" s="783"/>
      <c r="G13" s="783"/>
      <c r="H13" s="783"/>
      <c r="I13" s="783"/>
      <c r="J13" s="783"/>
      <c r="K13" s="783"/>
      <c r="L13" s="783"/>
      <c r="M13" s="783"/>
      <c r="N13" s="783"/>
      <c r="O13" s="783"/>
      <c r="P13" s="783"/>
      <c r="Q13" s="771"/>
      <c r="S13" s="429"/>
      <c r="T13" s="431"/>
      <c r="U13" s="431"/>
      <c r="V13" s="431"/>
      <c r="W13" s="431"/>
      <c r="X13" s="431"/>
      <c r="Y13" s="431"/>
      <c r="Z13" s="431"/>
      <c r="AA13" s="431"/>
      <c r="AB13" s="431"/>
      <c r="AC13" s="431"/>
      <c r="AD13" s="431"/>
      <c r="AE13" s="431"/>
      <c r="AF13" s="432"/>
    </row>
    <row r="14" spans="2:32" ht="22.9" customHeight="1">
      <c r="B14" s="769"/>
      <c r="C14" s="773"/>
      <c r="D14" s="773"/>
      <c r="E14" s="773"/>
      <c r="F14" s="773"/>
      <c r="G14" s="773"/>
      <c r="H14" s="773"/>
      <c r="I14" s="773"/>
      <c r="J14" s="773"/>
      <c r="K14" s="773"/>
      <c r="L14" s="773"/>
      <c r="M14" s="773"/>
      <c r="N14" s="773"/>
      <c r="O14" s="773"/>
      <c r="P14" s="773"/>
      <c r="Q14" s="771"/>
      <c r="S14" s="429"/>
      <c r="T14" s="431"/>
      <c r="U14" s="431"/>
      <c r="V14" s="431"/>
      <c r="W14" s="431"/>
      <c r="X14" s="431"/>
      <c r="Y14" s="431"/>
      <c r="Z14" s="431"/>
      <c r="AA14" s="431"/>
      <c r="AB14" s="431"/>
      <c r="AC14" s="431"/>
      <c r="AD14" s="431"/>
      <c r="AE14" s="431"/>
      <c r="AF14" s="432"/>
    </row>
    <row r="15" spans="2:32" ht="22.9" customHeight="1">
      <c r="B15" s="769"/>
      <c r="C15" s="764"/>
      <c r="D15" s="764"/>
      <c r="E15" s="764"/>
      <c r="F15" s="1116" t="s">
        <v>760</v>
      </c>
      <c r="G15" s="1116"/>
      <c r="H15" s="1116"/>
      <c r="I15" s="784">
        <f>ejercicio-2</f>
        <v>2016</v>
      </c>
      <c r="J15" s="785"/>
      <c r="K15" s="764"/>
      <c r="L15" s="1116" t="s">
        <v>759</v>
      </c>
      <c r="M15" s="1116"/>
      <c r="N15" s="1116"/>
      <c r="O15" s="786">
        <f>ejercicio-1</f>
        <v>2017</v>
      </c>
      <c r="P15" s="787"/>
      <c r="Q15" s="771"/>
      <c r="S15" s="429"/>
      <c r="T15" s="431"/>
      <c r="U15" s="431"/>
      <c r="V15" s="431"/>
      <c r="W15" s="431"/>
      <c r="X15" s="431"/>
      <c r="Y15" s="431"/>
      <c r="Z15" s="431"/>
      <c r="AA15" s="431"/>
      <c r="AB15" s="431"/>
      <c r="AC15" s="431"/>
      <c r="AD15" s="431"/>
      <c r="AE15" s="431"/>
      <c r="AF15" s="432"/>
    </row>
    <row r="16" spans="2:32" s="795" customFormat="1" ht="51" customHeight="1">
      <c r="B16" s="788"/>
      <c r="C16" s="789" t="s">
        <v>20</v>
      </c>
      <c r="D16" s="789"/>
      <c r="E16" s="790" t="s">
        <v>21</v>
      </c>
      <c r="F16" s="790" t="s">
        <v>22</v>
      </c>
      <c r="G16" s="790" t="s">
        <v>756</v>
      </c>
      <c r="H16" s="791" t="s">
        <v>755</v>
      </c>
      <c r="I16" s="790" t="s">
        <v>763</v>
      </c>
      <c r="J16" s="790" t="s">
        <v>764</v>
      </c>
      <c r="K16" s="790"/>
      <c r="L16" s="792" t="s">
        <v>766</v>
      </c>
      <c r="M16" s="792" t="s">
        <v>24</v>
      </c>
      <c r="N16" s="792" t="s">
        <v>767</v>
      </c>
      <c r="O16" s="792" t="s">
        <v>26</v>
      </c>
      <c r="P16" s="793" t="s">
        <v>585</v>
      </c>
      <c r="Q16" s="794"/>
      <c r="S16" s="429"/>
      <c r="T16" s="431"/>
      <c r="U16" s="431"/>
      <c r="V16" s="431"/>
      <c r="W16" s="431"/>
      <c r="X16" s="431"/>
      <c r="Y16" s="431"/>
      <c r="Z16" s="431"/>
      <c r="AA16" s="431"/>
      <c r="AB16" s="431"/>
      <c r="AC16" s="431"/>
      <c r="AD16" s="431"/>
      <c r="AE16" s="431"/>
      <c r="AF16" s="432"/>
    </row>
    <row r="17" spans="2:32" ht="22.9" customHeight="1">
      <c r="B17" s="769"/>
      <c r="C17" s="462" t="s">
        <v>533</v>
      </c>
      <c r="D17" s="462"/>
      <c r="E17" s="806" t="s">
        <v>906</v>
      </c>
      <c r="F17" s="463">
        <v>0.80993999999999999</v>
      </c>
      <c r="G17" s="804">
        <v>56048</v>
      </c>
      <c r="H17" s="804" t="s">
        <v>907</v>
      </c>
      <c r="I17" s="465">
        <v>1000</v>
      </c>
      <c r="J17" s="465">
        <f>+'FC-4_PASIVO'!E16/(SUM(G17:G20))</f>
        <v>475.12914725433529</v>
      </c>
      <c r="K17" s="465"/>
      <c r="L17" s="465">
        <v>13152000</v>
      </c>
      <c r="M17" s="465">
        <v>13152</v>
      </c>
      <c r="N17" s="465"/>
      <c r="O17" s="465"/>
      <c r="P17" s="465"/>
      <c r="Q17" s="771"/>
      <c r="S17" s="429"/>
      <c r="T17" s="431"/>
      <c r="U17" s="431"/>
      <c r="V17" s="431"/>
      <c r="W17" s="431"/>
      <c r="X17" s="431"/>
      <c r="Y17" s="431"/>
      <c r="Z17" s="431"/>
      <c r="AA17" s="431"/>
      <c r="AB17" s="431"/>
      <c r="AC17" s="431"/>
      <c r="AD17" s="431"/>
      <c r="AE17" s="431"/>
      <c r="AF17" s="432"/>
    </row>
    <row r="18" spans="2:32" ht="22.9" customHeight="1">
      <c r="B18" s="769"/>
      <c r="C18" s="466" t="s">
        <v>908</v>
      </c>
      <c r="D18" s="466"/>
      <c r="E18" s="807" t="s">
        <v>909</v>
      </c>
      <c r="F18" s="467">
        <v>0.13006000000000001</v>
      </c>
      <c r="G18" s="805">
        <v>9000</v>
      </c>
      <c r="H18" s="805" t="s">
        <v>910</v>
      </c>
      <c r="I18" s="469">
        <v>1000</v>
      </c>
      <c r="J18" s="469">
        <f>+J17</f>
        <v>475.12914725433529</v>
      </c>
      <c r="K18" s="469"/>
      <c r="L18" s="469"/>
      <c r="M18" s="469"/>
      <c r="N18" s="469">
        <v>9000000</v>
      </c>
      <c r="O18" s="469">
        <v>9000</v>
      </c>
      <c r="P18" s="469"/>
      <c r="Q18" s="771"/>
      <c r="S18" s="429"/>
      <c r="T18" s="431"/>
      <c r="U18" s="431"/>
      <c r="V18" s="431"/>
      <c r="W18" s="431"/>
      <c r="X18" s="431"/>
      <c r="Y18" s="431"/>
      <c r="Z18" s="431"/>
      <c r="AA18" s="431"/>
      <c r="AB18" s="431"/>
      <c r="AC18" s="431"/>
      <c r="AD18" s="431"/>
      <c r="AE18" s="431"/>
      <c r="AF18" s="432"/>
    </row>
    <row r="19" spans="2:32" ht="22.9" customHeight="1">
      <c r="B19" s="769"/>
      <c r="C19" s="466" t="s">
        <v>911</v>
      </c>
      <c r="D19" s="466"/>
      <c r="E19" s="807" t="s">
        <v>912</v>
      </c>
      <c r="F19" s="467">
        <f>+G19/(SUM(G17:G20))</f>
        <v>4.3352601156069363E-2</v>
      </c>
      <c r="G19" s="805">
        <v>3000</v>
      </c>
      <c r="H19" s="805" t="s">
        <v>913</v>
      </c>
      <c r="I19" s="469">
        <v>1000</v>
      </c>
      <c r="J19" s="469">
        <f>+J18</f>
        <v>475.12914725433529</v>
      </c>
      <c r="K19" s="469"/>
      <c r="L19" s="469"/>
      <c r="M19" s="469"/>
      <c r="N19" s="469">
        <v>3000000</v>
      </c>
      <c r="O19" s="469">
        <v>3000</v>
      </c>
      <c r="P19" s="469"/>
      <c r="Q19" s="771"/>
      <c r="S19" s="429"/>
      <c r="T19" s="431"/>
      <c r="U19" s="431"/>
      <c r="V19" s="431"/>
      <c r="W19" s="431"/>
      <c r="X19" s="431"/>
      <c r="Y19" s="431"/>
      <c r="Z19" s="431"/>
      <c r="AA19" s="431"/>
      <c r="AB19" s="431"/>
      <c r="AC19" s="431"/>
      <c r="AD19" s="431"/>
      <c r="AE19" s="431"/>
      <c r="AF19" s="432"/>
    </row>
    <row r="20" spans="2:32" ht="22.9" customHeight="1">
      <c r="B20" s="769"/>
      <c r="C20" s="466" t="s">
        <v>911</v>
      </c>
      <c r="D20" s="466"/>
      <c r="E20" s="807" t="s">
        <v>912</v>
      </c>
      <c r="F20" s="467">
        <f>+G20/(SUM(G17:G20))</f>
        <v>1.6647398843930634E-2</v>
      </c>
      <c r="G20" s="805">
        <v>1152</v>
      </c>
      <c r="H20" s="805" t="s">
        <v>914</v>
      </c>
      <c r="I20" s="469">
        <v>1000</v>
      </c>
      <c r="J20" s="469">
        <f>+J19</f>
        <v>475.12914725433529</v>
      </c>
      <c r="K20" s="469"/>
      <c r="L20" s="469"/>
      <c r="M20" s="469"/>
      <c r="N20" s="469">
        <v>1152000</v>
      </c>
      <c r="O20" s="469">
        <v>1152</v>
      </c>
      <c r="P20" s="469"/>
      <c r="Q20" s="771"/>
      <c r="S20" s="429"/>
      <c r="T20" s="431"/>
      <c r="U20" s="431"/>
      <c r="V20" s="431"/>
      <c r="W20" s="431"/>
      <c r="X20" s="431"/>
      <c r="Y20" s="431"/>
      <c r="Z20" s="431"/>
      <c r="AA20" s="431"/>
      <c r="AB20" s="431"/>
      <c r="AC20" s="431"/>
      <c r="AD20" s="431"/>
      <c r="AE20" s="431"/>
      <c r="AF20" s="432"/>
    </row>
    <row r="21" spans="2:32" ht="22.9" customHeight="1">
      <c r="B21" s="769"/>
      <c r="C21" s="466"/>
      <c r="D21" s="466"/>
      <c r="E21" s="807"/>
      <c r="F21" s="467"/>
      <c r="G21" s="805"/>
      <c r="H21" s="805"/>
      <c r="I21" s="469"/>
      <c r="J21" s="469"/>
      <c r="K21" s="469"/>
      <c r="L21" s="469"/>
      <c r="M21" s="469"/>
      <c r="N21" s="469"/>
      <c r="O21" s="469"/>
      <c r="P21" s="469"/>
      <c r="Q21" s="771"/>
      <c r="S21" s="429"/>
      <c r="T21" s="431"/>
      <c r="U21" s="431"/>
      <c r="V21" s="431"/>
      <c r="W21" s="431"/>
      <c r="X21" s="431"/>
      <c r="Y21" s="431"/>
      <c r="Z21" s="431"/>
      <c r="AA21" s="431"/>
      <c r="AB21" s="431"/>
      <c r="AC21" s="431"/>
      <c r="AD21" s="431"/>
      <c r="AE21" s="431"/>
      <c r="AF21" s="432"/>
    </row>
    <row r="22" spans="2:32" ht="22.9" customHeight="1">
      <c r="B22" s="769"/>
      <c r="C22" s="466"/>
      <c r="D22" s="466"/>
      <c r="E22" s="807"/>
      <c r="F22" s="467"/>
      <c r="G22" s="805"/>
      <c r="H22" s="805"/>
      <c r="I22" s="469"/>
      <c r="J22" s="469"/>
      <c r="K22" s="469"/>
      <c r="L22" s="469"/>
      <c r="M22" s="469"/>
      <c r="N22" s="469"/>
      <c r="O22" s="469"/>
      <c r="P22" s="469"/>
      <c r="Q22" s="771"/>
      <c r="S22" s="429"/>
      <c r="T22" s="431"/>
      <c r="U22" s="431"/>
      <c r="V22" s="431"/>
      <c r="W22" s="431"/>
      <c r="X22" s="431"/>
      <c r="Y22" s="431"/>
      <c r="Z22" s="431"/>
      <c r="AA22" s="431"/>
      <c r="AB22" s="431"/>
      <c r="AC22" s="431"/>
      <c r="AD22" s="431"/>
      <c r="AE22" s="431"/>
      <c r="AF22" s="432"/>
    </row>
    <row r="23" spans="2:32" ht="22.9" customHeight="1">
      <c r="B23" s="769"/>
      <c r="C23" s="466"/>
      <c r="D23" s="466"/>
      <c r="E23" s="807"/>
      <c r="F23" s="467"/>
      <c r="G23" s="805"/>
      <c r="H23" s="805"/>
      <c r="I23" s="469"/>
      <c r="J23" s="469"/>
      <c r="K23" s="469"/>
      <c r="L23" s="469"/>
      <c r="M23" s="469"/>
      <c r="N23" s="469"/>
      <c r="O23" s="469"/>
      <c r="P23" s="469"/>
      <c r="Q23" s="771"/>
      <c r="S23" s="429"/>
      <c r="T23" s="431"/>
      <c r="U23" s="431"/>
      <c r="V23" s="431"/>
      <c r="W23" s="431"/>
      <c r="X23" s="431"/>
      <c r="Y23" s="431"/>
      <c r="Z23" s="431"/>
      <c r="AA23" s="431"/>
      <c r="AB23" s="431"/>
      <c r="AC23" s="431"/>
      <c r="AD23" s="431"/>
      <c r="AE23" s="431"/>
      <c r="AF23" s="432"/>
    </row>
    <row r="24" spans="2:32" ht="22.9" customHeight="1">
      <c r="B24" s="769"/>
      <c r="C24" s="466"/>
      <c r="D24" s="466"/>
      <c r="E24" s="807"/>
      <c r="F24" s="467"/>
      <c r="G24" s="805"/>
      <c r="H24" s="805"/>
      <c r="I24" s="469"/>
      <c r="J24" s="469"/>
      <c r="K24" s="469"/>
      <c r="L24" s="469"/>
      <c r="M24" s="469"/>
      <c r="N24" s="469"/>
      <c r="O24" s="469"/>
      <c r="P24" s="469"/>
      <c r="Q24" s="771"/>
      <c r="S24" s="429"/>
      <c r="T24" s="431"/>
      <c r="U24" s="431"/>
      <c r="V24" s="431"/>
      <c r="W24" s="431"/>
      <c r="X24" s="431"/>
      <c r="Y24" s="431"/>
      <c r="Z24" s="431"/>
      <c r="AA24" s="431"/>
      <c r="AB24" s="431"/>
      <c r="AC24" s="431"/>
      <c r="AD24" s="431"/>
      <c r="AE24" s="431"/>
      <c r="AF24" s="432"/>
    </row>
    <row r="25" spans="2:32" ht="22.9" customHeight="1">
      <c r="B25" s="769"/>
      <c r="C25" s="466"/>
      <c r="D25" s="466"/>
      <c r="E25" s="807"/>
      <c r="F25" s="467"/>
      <c r="G25" s="805"/>
      <c r="H25" s="805"/>
      <c r="I25" s="469"/>
      <c r="J25" s="469"/>
      <c r="K25" s="469"/>
      <c r="L25" s="469"/>
      <c r="M25" s="469"/>
      <c r="N25" s="469"/>
      <c r="O25" s="469"/>
      <c r="P25" s="469"/>
      <c r="Q25" s="771"/>
      <c r="S25" s="429"/>
      <c r="T25" s="431"/>
      <c r="U25" s="431"/>
      <c r="V25" s="431"/>
      <c r="W25" s="431"/>
      <c r="X25" s="431"/>
      <c r="Y25" s="431"/>
      <c r="Z25" s="431"/>
      <c r="AA25" s="431"/>
      <c r="AB25" s="431"/>
      <c r="AC25" s="431"/>
      <c r="AD25" s="431"/>
      <c r="AE25" s="431"/>
      <c r="AF25" s="432"/>
    </row>
    <row r="26" spans="2:32" ht="22.9" customHeight="1">
      <c r="B26" s="769"/>
      <c r="C26" s="466"/>
      <c r="D26" s="466"/>
      <c r="E26" s="807"/>
      <c r="F26" s="467"/>
      <c r="G26" s="805"/>
      <c r="H26" s="805"/>
      <c r="I26" s="469"/>
      <c r="J26" s="469"/>
      <c r="K26" s="469"/>
      <c r="L26" s="469"/>
      <c r="M26" s="469"/>
      <c r="N26" s="469"/>
      <c r="O26" s="469"/>
      <c r="P26" s="469"/>
      <c r="Q26" s="771"/>
      <c r="S26" s="429"/>
      <c r="T26" s="431"/>
      <c r="U26" s="431"/>
      <c r="V26" s="431"/>
      <c r="W26" s="431"/>
      <c r="X26" s="431"/>
      <c r="Y26" s="431"/>
      <c r="Z26" s="431"/>
      <c r="AA26" s="431"/>
      <c r="AB26" s="431"/>
      <c r="AC26" s="431"/>
      <c r="AD26" s="431"/>
      <c r="AE26" s="431"/>
      <c r="AF26" s="432"/>
    </row>
    <row r="27" spans="2:32" ht="22.9" customHeight="1">
      <c r="B27" s="769"/>
      <c r="C27" s="466"/>
      <c r="D27" s="466"/>
      <c r="E27" s="807"/>
      <c r="F27" s="467"/>
      <c r="G27" s="805"/>
      <c r="H27" s="805"/>
      <c r="I27" s="469"/>
      <c r="J27" s="469"/>
      <c r="K27" s="469"/>
      <c r="L27" s="469"/>
      <c r="M27" s="469"/>
      <c r="N27" s="469"/>
      <c r="O27" s="469"/>
      <c r="P27" s="469"/>
      <c r="Q27" s="771"/>
      <c r="S27" s="429"/>
      <c r="T27" s="431"/>
      <c r="U27" s="431"/>
      <c r="V27" s="431"/>
      <c r="W27" s="431"/>
      <c r="X27" s="431"/>
      <c r="Y27" s="431"/>
      <c r="Z27" s="431"/>
      <c r="AA27" s="431"/>
      <c r="AB27" s="431"/>
      <c r="AC27" s="431"/>
      <c r="AD27" s="431"/>
      <c r="AE27" s="431"/>
      <c r="AF27" s="432"/>
    </row>
    <row r="28" spans="2:32" ht="22.9" customHeight="1">
      <c r="B28" s="769"/>
      <c r="C28" s="764"/>
      <c r="D28" s="764"/>
      <c r="E28" s="764"/>
      <c r="F28" s="764"/>
      <c r="G28" s="764"/>
      <c r="H28" s="764"/>
      <c r="I28" s="764"/>
      <c r="J28" s="764"/>
      <c r="K28" s="764"/>
      <c r="L28" s="764"/>
      <c r="M28" s="764"/>
      <c r="N28" s="764"/>
      <c r="O28" s="764"/>
      <c r="P28" s="764"/>
      <c r="Q28" s="771"/>
      <c r="S28" s="429"/>
      <c r="T28" s="431"/>
      <c r="U28" s="431"/>
      <c r="V28" s="431"/>
      <c r="W28" s="431"/>
      <c r="X28" s="431"/>
      <c r="Y28" s="431"/>
      <c r="Z28" s="431"/>
      <c r="AA28" s="431"/>
      <c r="AB28" s="431"/>
      <c r="AC28" s="431"/>
      <c r="AD28" s="431"/>
      <c r="AE28" s="431"/>
      <c r="AF28" s="432"/>
    </row>
    <row r="29" spans="2:32" ht="22.9" customHeight="1">
      <c r="B29" s="769"/>
      <c r="C29" s="783" t="s">
        <v>27</v>
      </c>
      <c r="D29" s="783"/>
      <c r="E29" s="783"/>
      <c r="F29" s="783"/>
      <c r="G29" s="783"/>
      <c r="H29" s="783"/>
      <c r="I29" s="783"/>
      <c r="J29" s="783"/>
      <c r="K29" s="783"/>
      <c r="L29" s="783"/>
      <c r="M29" s="783"/>
      <c r="N29" s="783"/>
      <c r="O29" s="783"/>
      <c r="P29" s="783"/>
      <c r="Q29" s="771"/>
      <c r="S29" s="429"/>
      <c r="T29" s="431"/>
      <c r="U29" s="431"/>
      <c r="V29" s="431"/>
      <c r="W29" s="431"/>
      <c r="X29" s="431"/>
      <c r="Y29" s="431"/>
      <c r="Z29" s="431"/>
      <c r="AA29" s="431"/>
      <c r="AB29" s="431"/>
      <c r="AC29" s="431"/>
      <c r="AD29" s="431"/>
      <c r="AE29" s="431"/>
      <c r="AF29" s="432"/>
    </row>
    <row r="30" spans="2:32" ht="22.9" customHeight="1">
      <c r="B30" s="769"/>
      <c r="C30" s="773"/>
      <c r="D30" s="773"/>
      <c r="E30" s="773"/>
      <c r="F30" s="773"/>
      <c r="G30" s="773"/>
      <c r="H30" s="773"/>
      <c r="I30" s="773"/>
      <c r="J30" s="773"/>
      <c r="K30" s="773"/>
      <c r="L30" s="773"/>
      <c r="M30" s="773"/>
      <c r="N30" s="773"/>
      <c r="O30" s="773"/>
      <c r="P30" s="773"/>
      <c r="Q30" s="771"/>
      <c r="S30" s="439"/>
      <c r="T30" s="440"/>
      <c r="U30" s="440"/>
      <c r="V30" s="440"/>
      <c r="W30" s="440"/>
      <c r="X30" s="440"/>
      <c r="Y30" s="440"/>
      <c r="Z30" s="440"/>
      <c r="AA30" s="440"/>
      <c r="AB30" s="440"/>
      <c r="AC30" s="440"/>
      <c r="AD30" s="440"/>
      <c r="AE30" s="440"/>
      <c r="AF30" s="441"/>
    </row>
    <row r="31" spans="2:32" ht="22.9" customHeight="1">
      <c r="B31" s="769"/>
      <c r="C31" s="764"/>
      <c r="D31" s="764"/>
      <c r="E31" s="764"/>
      <c r="F31" s="1116" t="s">
        <v>760</v>
      </c>
      <c r="G31" s="1116"/>
      <c r="H31" s="1116"/>
      <c r="I31" s="784">
        <f>ejercicio-2</f>
        <v>2016</v>
      </c>
      <c r="J31" s="785"/>
      <c r="K31" s="764"/>
      <c r="L31" s="1117" t="s">
        <v>759</v>
      </c>
      <c r="M31" s="1117"/>
      <c r="N31" s="1117"/>
      <c r="O31" s="796">
        <f>ejercicio-1</f>
        <v>2017</v>
      </c>
      <c r="Q31" s="771"/>
      <c r="S31" s="439"/>
      <c r="T31" s="440"/>
      <c r="U31" s="440"/>
      <c r="V31" s="440"/>
      <c r="W31" s="440"/>
      <c r="X31" s="440"/>
      <c r="Y31" s="440"/>
      <c r="Z31" s="440"/>
      <c r="AA31" s="440"/>
      <c r="AB31" s="440"/>
      <c r="AC31" s="440"/>
      <c r="AD31" s="440"/>
      <c r="AE31" s="440"/>
      <c r="AF31" s="441"/>
    </row>
    <row r="32" spans="2:32" ht="43.9" customHeight="1">
      <c r="B32" s="769"/>
      <c r="C32" s="789" t="s">
        <v>20</v>
      </c>
      <c r="D32" s="789"/>
      <c r="E32" s="790" t="s">
        <v>21</v>
      </c>
      <c r="F32" s="790" t="s">
        <v>22</v>
      </c>
      <c r="G32" s="790" t="s">
        <v>756</v>
      </c>
      <c r="H32" s="791" t="s">
        <v>755</v>
      </c>
      <c r="I32" s="790" t="s">
        <v>763</v>
      </c>
      <c r="J32" s="790" t="s">
        <v>28</v>
      </c>
      <c r="K32" s="790"/>
      <c r="L32" s="790" t="s">
        <v>23</v>
      </c>
      <c r="M32" s="790" t="s">
        <v>24</v>
      </c>
      <c r="N32" s="790" t="s">
        <v>25</v>
      </c>
      <c r="O32" s="790" t="s">
        <v>26</v>
      </c>
      <c r="P32" s="793" t="s">
        <v>585</v>
      </c>
      <c r="Q32" s="771"/>
      <c r="S32" s="429"/>
      <c r="T32" s="431"/>
      <c r="U32" s="431"/>
      <c r="V32" s="431"/>
      <c r="W32" s="431"/>
      <c r="X32" s="431"/>
      <c r="Y32" s="431"/>
      <c r="Z32" s="431"/>
      <c r="AA32" s="431"/>
      <c r="AB32" s="431"/>
      <c r="AC32" s="431"/>
      <c r="AD32" s="431"/>
      <c r="AE32" s="431"/>
      <c r="AF32" s="432"/>
    </row>
    <row r="33" spans="2:32" ht="22.9" customHeight="1">
      <c r="B33" s="769"/>
      <c r="C33" s="462"/>
      <c r="D33" s="462"/>
      <c r="E33" s="806"/>
      <c r="F33" s="575"/>
      <c r="G33" s="804"/>
      <c r="H33" s="464"/>
      <c r="I33" s="465"/>
      <c r="J33" s="465"/>
      <c r="K33" s="465"/>
      <c r="L33" s="465"/>
      <c r="M33" s="465"/>
      <c r="N33" s="465"/>
      <c r="O33" s="465"/>
      <c r="P33" s="465"/>
      <c r="Q33" s="771"/>
      <c r="S33" s="429"/>
      <c r="T33" s="431"/>
      <c r="U33" s="431"/>
      <c r="V33" s="431"/>
      <c r="W33" s="431"/>
      <c r="X33" s="431"/>
      <c r="Y33" s="431"/>
      <c r="Z33" s="431"/>
      <c r="AA33" s="431"/>
      <c r="AB33" s="431"/>
      <c r="AC33" s="431"/>
      <c r="AD33" s="431"/>
      <c r="AE33" s="431"/>
      <c r="AF33" s="432"/>
    </row>
    <row r="34" spans="2:32" ht="22.9" customHeight="1">
      <c r="B34" s="769"/>
      <c r="C34" s="466"/>
      <c r="D34" s="466"/>
      <c r="E34" s="807"/>
      <c r="F34" s="576"/>
      <c r="G34" s="805"/>
      <c r="H34" s="468"/>
      <c r="I34" s="469"/>
      <c r="J34" s="469"/>
      <c r="K34" s="469"/>
      <c r="L34" s="469"/>
      <c r="M34" s="469"/>
      <c r="N34" s="469"/>
      <c r="O34" s="469"/>
      <c r="P34" s="469"/>
      <c r="Q34" s="771"/>
      <c r="S34" s="429"/>
      <c r="T34" s="431"/>
      <c r="U34" s="431"/>
      <c r="V34" s="431"/>
      <c r="W34" s="431"/>
      <c r="X34" s="431"/>
      <c r="Y34" s="431"/>
      <c r="Z34" s="431"/>
      <c r="AA34" s="431"/>
      <c r="AB34" s="431"/>
      <c r="AC34" s="431"/>
      <c r="AD34" s="431"/>
      <c r="AE34" s="431"/>
      <c r="AF34" s="432"/>
    </row>
    <row r="35" spans="2:32" ht="22.9" customHeight="1">
      <c r="B35" s="769"/>
      <c r="C35" s="466"/>
      <c r="D35" s="466"/>
      <c r="E35" s="807"/>
      <c r="F35" s="576"/>
      <c r="G35" s="805"/>
      <c r="H35" s="468"/>
      <c r="I35" s="469"/>
      <c r="J35" s="469"/>
      <c r="K35" s="469"/>
      <c r="L35" s="469"/>
      <c r="M35" s="469"/>
      <c r="N35" s="469"/>
      <c r="O35" s="469"/>
      <c r="P35" s="469"/>
      <c r="Q35" s="771"/>
      <c r="S35" s="429"/>
      <c r="T35" s="431"/>
      <c r="U35" s="431"/>
      <c r="V35" s="431"/>
      <c r="W35" s="431"/>
      <c r="X35" s="431"/>
      <c r="Y35" s="431"/>
      <c r="Z35" s="431"/>
      <c r="AA35" s="431"/>
      <c r="AB35" s="431"/>
      <c r="AC35" s="431"/>
      <c r="AD35" s="431"/>
      <c r="AE35" s="431"/>
      <c r="AF35" s="432"/>
    </row>
    <row r="36" spans="2:32" ht="22.9" customHeight="1">
      <c r="B36" s="769"/>
      <c r="C36" s="466"/>
      <c r="D36" s="466"/>
      <c r="E36" s="807"/>
      <c r="F36" s="576"/>
      <c r="G36" s="805"/>
      <c r="H36" s="468"/>
      <c r="I36" s="469"/>
      <c r="J36" s="469"/>
      <c r="K36" s="469"/>
      <c r="L36" s="469"/>
      <c r="M36" s="469"/>
      <c r="N36" s="469"/>
      <c r="O36" s="469"/>
      <c r="P36" s="469"/>
      <c r="Q36" s="771"/>
      <c r="S36" s="442"/>
      <c r="T36" s="443"/>
      <c r="U36" s="443"/>
      <c r="V36" s="443"/>
      <c r="W36" s="443"/>
      <c r="X36" s="443"/>
      <c r="Y36" s="443"/>
      <c r="Z36" s="443"/>
      <c r="AA36" s="443"/>
      <c r="AB36" s="443"/>
      <c r="AC36" s="443"/>
      <c r="AD36" s="443"/>
      <c r="AE36" s="443"/>
      <c r="AF36" s="444"/>
    </row>
    <row r="37" spans="2:32" ht="22.9" customHeight="1">
      <c r="B37" s="769"/>
      <c r="C37" s="466"/>
      <c r="D37" s="466"/>
      <c r="E37" s="807"/>
      <c r="F37" s="576"/>
      <c r="G37" s="805"/>
      <c r="H37" s="468"/>
      <c r="I37" s="469"/>
      <c r="J37" s="469"/>
      <c r="K37" s="469"/>
      <c r="L37" s="469"/>
      <c r="M37" s="469"/>
      <c r="N37" s="469"/>
      <c r="O37" s="469"/>
      <c r="P37" s="469"/>
      <c r="Q37" s="771"/>
      <c r="S37" s="442"/>
      <c r="T37" s="443"/>
      <c r="U37" s="443"/>
      <c r="V37" s="443"/>
      <c r="W37" s="443"/>
      <c r="X37" s="443"/>
      <c r="Y37" s="443"/>
      <c r="Z37" s="443"/>
      <c r="AA37" s="443"/>
      <c r="AB37" s="443"/>
      <c r="AC37" s="443"/>
      <c r="AD37" s="443"/>
      <c r="AE37" s="443"/>
      <c r="AF37" s="444"/>
    </row>
    <row r="38" spans="2:32" ht="22.9" customHeight="1">
      <c r="B38" s="769"/>
      <c r="C38" s="466"/>
      <c r="D38" s="466"/>
      <c r="E38" s="807"/>
      <c r="F38" s="576"/>
      <c r="G38" s="805"/>
      <c r="H38" s="468"/>
      <c r="I38" s="469"/>
      <c r="J38" s="469"/>
      <c r="K38" s="469"/>
      <c r="L38" s="469"/>
      <c r="M38" s="469"/>
      <c r="N38" s="469"/>
      <c r="O38" s="469"/>
      <c r="P38" s="469"/>
      <c r="Q38" s="771"/>
      <c r="S38" s="442"/>
      <c r="T38" s="443"/>
      <c r="U38" s="443"/>
      <c r="V38" s="443"/>
      <c r="W38" s="443"/>
      <c r="X38" s="443"/>
      <c r="Y38" s="443"/>
      <c r="Z38" s="443"/>
      <c r="AA38" s="443"/>
      <c r="AB38" s="443"/>
      <c r="AC38" s="443"/>
      <c r="AD38" s="443"/>
      <c r="AE38" s="443"/>
      <c r="AF38" s="444"/>
    </row>
    <row r="39" spans="2:32" ht="22.9" customHeight="1">
      <c r="B39" s="769"/>
      <c r="C39" s="466"/>
      <c r="D39" s="466"/>
      <c r="E39" s="807"/>
      <c r="F39" s="576"/>
      <c r="G39" s="805"/>
      <c r="H39" s="468"/>
      <c r="I39" s="469"/>
      <c r="J39" s="469"/>
      <c r="K39" s="469"/>
      <c r="L39" s="469"/>
      <c r="M39" s="469"/>
      <c r="N39" s="469"/>
      <c r="O39" s="469"/>
      <c r="P39" s="469"/>
      <c r="Q39" s="771"/>
      <c r="S39" s="442"/>
      <c r="T39" s="443"/>
      <c r="U39" s="443"/>
      <c r="V39" s="443"/>
      <c r="W39" s="443"/>
      <c r="X39" s="443"/>
      <c r="Y39" s="443"/>
      <c r="Z39" s="443"/>
      <c r="AA39" s="443"/>
      <c r="AB39" s="443"/>
      <c r="AC39" s="443"/>
      <c r="AD39" s="443"/>
      <c r="AE39" s="443"/>
      <c r="AF39" s="444"/>
    </row>
    <row r="40" spans="2:32" ht="22.9" customHeight="1">
      <c r="B40" s="769"/>
      <c r="C40" s="466"/>
      <c r="D40" s="466"/>
      <c r="E40" s="807"/>
      <c r="F40" s="576"/>
      <c r="G40" s="805"/>
      <c r="H40" s="468"/>
      <c r="I40" s="469"/>
      <c r="J40" s="469"/>
      <c r="K40" s="469"/>
      <c r="L40" s="469"/>
      <c r="M40" s="469"/>
      <c r="N40" s="469"/>
      <c r="O40" s="469"/>
      <c r="P40" s="469"/>
      <c r="Q40" s="771"/>
      <c r="S40" s="442"/>
      <c r="T40" s="443"/>
      <c r="U40" s="443"/>
      <c r="V40" s="443"/>
      <c r="W40" s="443"/>
      <c r="X40" s="443"/>
      <c r="Y40" s="443"/>
      <c r="Z40" s="443"/>
      <c r="AA40" s="443"/>
      <c r="AB40" s="443"/>
      <c r="AC40" s="443"/>
      <c r="AD40" s="443"/>
      <c r="AE40" s="443"/>
      <c r="AF40" s="444"/>
    </row>
    <row r="41" spans="2:32" ht="22.9" customHeight="1">
      <c r="B41" s="769"/>
      <c r="C41" s="466"/>
      <c r="D41" s="466"/>
      <c r="E41" s="807"/>
      <c r="F41" s="576"/>
      <c r="G41" s="805"/>
      <c r="H41" s="468"/>
      <c r="I41" s="469"/>
      <c r="J41" s="469"/>
      <c r="K41" s="469"/>
      <c r="L41" s="469"/>
      <c r="M41" s="469"/>
      <c r="N41" s="469"/>
      <c r="O41" s="469"/>
      <c r="P41" s="469"/>
      <c r="Q41" s="771"/>
      <c r="S41" s="442"/>
      <c r="T41" s="443"/>
      <c r="U41" s="443"/>
      <c r="V41" s="443"/>
      <c r="W41" s="443"/>
      <c r="X41" s="443"/>
      <c r="Y41" s="443"/>
      <c r="Z41" s="443"/>
      <c r="AA41" s="443"/>
      <c r="AB41" s="443"/>
      <c r="AC41" s="443"/>
      <c r="AD41" s="443"/>
      <c r="AE41" s="443"/>
      <c r="AF41" s="444"/>
    </row>
    <row r="42" spans="2:32" ht="22.9" customHeight="1">
      <c r="B42" s="769"/>
      <c r="C42" s="466"/>
      <c r="D42" s="466"/>
      <c r="E42" s="807"/>
      <c r="F42" s="576"/>
      <c r="G42" s="805"/>
      <c r="H42" s="468"/>
      <c r="I42" s="469"/>
      <c r="J42" s="469"/>
      <c r="K42" s="469"/>
      <c r="L42" s="469"/>
      <c r="M42" s="469"/>
      <c r="N42" s="469"/>
      <c r="O42" s="469"/>
      <c r="P42" s="469"/>
      <c r="Q42" s="771"/>
      <c r="S42" s="442"/>
      <c r="T42" s="443"/>
      <c r="U42" s="443"/>
      <c r="V42" s="443"/>
      <c r="W42" s="443"/>
      <c r="X42" s="443"/>
      <c r="Y42" s="443"/>
      <c r="Z42" s="443"/>
      <c r="AA42" s="443"/>
      <c r="AB42" s="443"/>
      <c r="AC42" s="443"/>
      <c r="AD42" s="443"/>
      <c r="AE42" s="443"/>
      <c r="AF42" s="444"/>
    </row>
    <row r="43" spans="2:32" ht="22.9" customHeight="1">
      <c r="B43" s="769"/>
      <c r="C43" s="466"/>
      <c r="D43" s="466"/>
      <c r="E43" s="807"/>
      <c r="F43" s="576"/>
      <c r="G43" s="805"/>
      <c r="H43" s="468"/>
      <c r="I43" s="469"/>
      <c r="J43" s="469"/>
      <c r="K43" s="469"/>
      <c r="L43" s="469"/>
      <c r="M43" s="469"/>
      <c r="N43" s="469"/>
      <c r="O43" s="469"/>
      <c r="P43" s="469"/>
      <c r="Q43" s="771"/>
      <c r="S43" s="442"/>
      <c r="T43" s="443"/>
      <c r="U43" s="443"/>
      <c r="V43" s="443"/>
      <c r="W43" s="443"/>
      <c r="X43" s="443"/>
      <c r="Y43" s="443"/>
      <c r="Z43" s="443"/>
      <c r="AA43" s="443"/>
      <c r="AB43" s="443"/>
      <c r="AC43" s="443"/>
      <c r="AD43" s="443"/>
      <c r="AE43" s="443"/>
      <c r="AF43" s="444"/>
    </row>
    <row r="44" spans="2:32" ht="22.9" customHeight="1">
      <c r="B44" s="769"/>
      <c r="C44" s="764"/>
      <c r="D44" s="764"/>
      <c r="E44" s="764"/>
      <c r="F44" s="764"/>
      <c r="G44" s="764"/>
      <c r="H44" s="764"/>
      <c r="I44" s="764"/>
      <c r="J44" s="764"/>
      <c r="K44" s="764"/>
      <c r="L44" s="764"/>
      <c r="M44" s="764"/>
      <c r="N44" s="764"/>
      <c r="O44" s="764"/>
      <c r="P44" s="764"/>
      <c r="Q44" s="771"/>
      <c r="S44" s="442"/>
      <c r="T44" s="443"/>
      <c r="U44" s="443"/>
      <c r="V44" s="443"/>
      <c r="W44" s="443"/>
      <c r="X44" s="443"/>
      <c r="Y44" s="443"/>
      <c r="Z44" s="443"/>
      <c r="AA44" s="443"/>
      <c r="AB44" s="443"/>
      <c r="AC44" s="443"/>
      <c r="AD44" s="443"/>
      <c r="AE44" s="443"/>
      <c r="AF44" s="444"/>
    </row>
    <row r="45" spans="2:32" ht="22.9" customHeight="1">
      <c r="B45" s="769"/>
      <c r="C45" s="783" t="s">
        <v>29</v>
      </c>
      <c r="D45" s="783"/>
      <c r="E45" s="783"/>
      <c r="F45" s="783"/>
      <c r="G45" s="783"/>
      <c r="H45" s="783"/>
      <c r="I45" s="783"/>
      <c r="J45" s="783"/>
      <c r="K45" s="783"/>
      <c r="L45" s="783"/>
      <c r="M45" s="783"/>
      <c r="N45" s="783"/>
      <c r="O45" s="783"/>
      <c r="P45" s="770"/>
      <c r="Q45" s="771"/>
      <c r="S45" s="442"/>
      <c r="T45" s="443"/>
      <c r="U45" s="443"/>
      <c r="V45" s="443"/>
      <c r="W45" s="443"/>
      <c r="X45" s="443"/>
      <c r="Y45" s="443"/>
      <c r="Z45" s="443"/>
      <c r="AA45" s="443"/>
      <c r="AB45" s="443"/>
      <c r="AC45" s="443"/>
      <c r="AD45" s="443"/>
      <c r="AE45" s="443"/>
      <c r="AF45" s="444"/>
    </row>
    <row r="46" spans="2:32" ht="22.9" customHeight="1">
      <c r="B46" s="769"/>
      <c r="C46" s="770"/>
      <c r="D46" s="770"/>
      <c r="E46" s="770"/>
      <c r="F46" s="770"/>
      <c r="G46" s="770"/>
      <c r="H46" s="770"/>
      <c r="I46" s="770"/>
      <c r="J46" s="770"/>
      <c r="K46" s="770"/>
      <c r="L46" s="770"/>
      <c r="M46" s="770"/>
      <c r="N46" s="770"/>
      <c r="O46" s="770"/>
      <c r="P46" s="770"/>
      <c r="Q46" s="771"/>
      <c r="S46" s="442"/>
      <c r="T46" s="443"/>
      <c r="U46" s="443"/>
      <c r="V46" s="443"/>
      <c r="W46" s="443"/>
      <c r="X46" s="443"/>
      <c r="Y46" s="443"/>
      <c r="Z46" s="443"/>
      <c r="AA46" s="443"/>
      <c r="AB46" s="443"/>
      <c r="AC46" s="443"/>
      <c r="AD46" s="443"/>
      <c r="AE46" s="443"/>
      <c r="AF46" s="444"/>
    </row>
    <row r="47" spans="2:32" ht="22.9" customHeight="1">
      <c r="B47" s="769"/>
      <c r="C47" s="1114" t="s">
        <v>30</v>
      </c>
      <c r="D47" s="1114"/>
      <c r="E47" s="789"/>
      <c r="F47" s="790"/>
      <c r="G47" s="797"/>
      <c r="H47" s="797"/>
      <c r="I47" s="797"/>
      <c r="J47" s="797"/>
      <c r="K47" s="797"/>
      <c r="L47" s="797"/>
      <c r="M47" s="797"/>
      <c r="N47" s="797"/>
      <c r="O47" s="797"/>
      <c r="P47" s="797"/>
      <c r="Q47" s="771"/>
      <c r="S47" s="442"/>
      <c r="T47" s="443"/>
      <c r="U47" s="443"/>
      <c r="V47" s="443"/>
      <c r="W47" s="443"/>
      <c r="X47" s="443"/>
      <c r="Y47" s="443"/>
      <c r="Z47" s="443"/>
      <c r="AA47" s="443"/>
      <c r="AB47" s="443"/>
      <c r="AC47" s="443"/>
      <c r="AD47" s="443"/>
      <c r="AE47" s="443"/>
      <c r="AF47" s="444"/>
    </row>
    <row r="48" spans="2:32" ht="22.9" customHeight="1">
      <c r="B48" s="769"/>
      <c r="C48" s="1115"/>
      <c r="D48" s="1115"/>
      <c r="E48" s="1115"/>
      <c r="F48" s="1115"/>
      <c r="G48" s="764"/>
      <c r="H48" s="764"/>
      <c r="I48" s="764"/>
      <c r="J48" s="764"/>
      <c r="K48" s="764"/>
      <c r="L48" s="764"/>
      <c r="M48" s="764"/>
      <c r="N48" s="764"/>
      <c r="O48" s="764"/>
      <c r="P48" s="764"/>
      <c r="Q48" s="771"/>
      <c r="S48" s="442"/>
      <c r="T48" s="443"/>
      <c r="U48" s="443"/>
      <c r="V48" s="443"/>
      <c r="W48" s="443"/>
      <c r="X48" s="443"/>
      <c r="Y48" s="443"/>
      <c r="Z48" s="443"/>
      <c r="AA48" s="443"/>
      <c r="AB48" s="443"/>
      <c r="AC48" s="443"/>
      <c r="AD48" s="443"/>
      <c r="AE48" s="443"/>
      <c r="AF48" s="444"/>
    </row>
    <row r="49" spans="2:32" ht="22.9" customHeight="1">
      <c r="B49" s="769"/>
      <c r="C49" s="660"/>
      <c r="D49" s="660"/>
      <c r="E49" s="660"/>
      <c r="F49" s="660"/>
      <c r="G49" s="764"/>
      <c r="H49" s="764"/>
      <c r="I49" s="764"/>
      <c r="J49" s="764"/>
      <c r="K49" s="764"/>
      <c r="L49" s="764"/>
      <c r="M49" s="764"/>
      <c r="N49" s="764"/>
      <c r="O49" s="764"/>
      <c r="P49" s="764"/>
      <c r="Q49" s="771"/>
      <c r="S49" s="442"/>
      <c r="T49" s="443"/>
      <c r="U49" s="443"/>
      <c r="V49" s="443"/>
      <c r="W49" s="443"/>
      <c r="X49" s="443"/>
      <c r="Y49" s="443"/>
      <c r="Z49" s="443"/>
      <c r="AA49" s="443"/>
      <c r="AB49" s="443"/>
      <c r="AC49" s="443"/>
      <c r="AD49" s="443"/>
      <c r="AE49" s="443"/>
      <c r="AF49" s="444"/>
    </row>
    <row r="50" spans="2:32" ht="22.9" customHeight="1">
      <c r="B50" s="769"/>
      <c r="C50" s="660"/>
      <c r="D50" s="660"/>
      <c r="E50" s="660"/>
      <c r="F50" s="660"/>
      <c r="G50" s="764"/>
      <c r="H50" s="764"/>
      <c r="I50" s="764"/>
      <c r="J50" s="764"/>
      <c r="K50" s="764"/>
      <c r="L50" s="764"/>
      <c r="M50" s="764"/>
      <c r="N50" s="764"/>
      <c r="O50" s="764"/>
      <c r="P50" s="764"/>
      <c r="Q50" s="771"/>
      <c r="S50" s="442"/>
      <c r="T50" s="443"/>
      <c r="U50" s="443"/>
      <c r="V50" s="443"/>
      <c r="W50" s="443"/>
      <c r="X50" s="443"/>
      <c r="Y50" s="443"/>
      <c r="Z50" s="443"/>
      <c r="AA50" s="443"/>
      <c r="AB50" s="443"/>
      <c r="AC50" s="443"/>
      <c r="AD50" s="443"/>
      <c r="AE50" s="443"/>
      <c r="AF50" s="444"/>
    </row>
    <row r="51" spans="2:32" ht="22.9" customHeight="1">
      <c r="B51" s="769"/>
      <c r="C51" s="730" t="s">
        <v>416</v>
      </c>
      <c r="D51" s="660"/>
      <c r="E51" s="660"/>
      <c r="F51" s="660"/>
      <c r="G51" s="764"/>
      <c r="H51" s="764"/>
      <c r="I51" s="764"/>
      <c r="J51" s="764"/>
      <c r="K51" s="764"/>
      <c r="L51" s="764"/>
      <c r="M51" s="764"/>
      <c r="N51" s="764"/>
      <c r="O51" s="764"/>
      <c r="P51" s="764"/>
      <c r="Q51" s="771"/>
      <c r="S51" s="442"/>
      <c r="T51" s="443"/>
      <c r="U51" s="443"/>
      <c r="V51" s="443"/>
      <c r="W51" s="443"/>
      <c r="X51" s="443"/>
      <c r="Y51" s="443"/>
      <c r="Z51" s="443"/>
      <c r="AA51" s="443"/>
      <c r="AB51" s="443"/>
      <c r="AC51" s="443"/>
      <c r="AD51" s="443"/>
      <c r="AE51" s="443"/>
      <c r="AF51" s="444"/>
    </row>
    <row r="52" spans="2:32" ht="22.9" customHeight="1">
      <c r="B52" s="769"/>
      <c r="C52" s="731" t="s">
        <v>762</v>
      </c>
      <c r="D52" s="660"/>
      <c r="E52" s="660"/>
      <c r="F52" s="660"/>
      <c r="G52" s="764"/>
      <c r="H52" s="764"/>
      <c r="I52" s="764"/>
      <c r="J52" s="764"/>
      <c r="K52" s="764"/>
      <c r="L52" s="764"/>
      <c r="M52" s="764"/>
      <c r="N52" s="764"/>
      <c r="O52" s="764"/>
      <c r="P52" s="764"/>
      <c r="Q52" s="771"/>
      <c r="S52" s="442"/>
      <c r="T52" s="443"/>
      <c r="U52" s="443"/>
      <c r="V52" s="443"/>
      <c r="W52" s="443"/>
      <c r="X52" s="443"/>
      <c r="Y52" s="443"/>
      <c r="Z52" s="443"/>
      <c r="AA52" s="443"/>
      <c r="AB52" s="443"/>
      <c r="AC52" s="443"/>
      <c r="AD52" s="443"/>
      <c r="AE52" s="443"/>
      <c r="AF52" s="444"/>
    </row>
    <row r="53" spans="2:32" ht="22.9" customHeight="1">
      <c r="B53" s="769"/>
      <c r="C53" s="798" t="s">
        <v>765</v>
      </c>
      <c r="D53" s="660"/>
      <c r="E53" s="660"/>
      <c r="F53" s="660"/>
      <c r="G53" s="764"/>
      <c r="H53" s="764"/>
      <c r="I53" s="764"/>
      <c r="J53" s="764"/>
      <c r="K53" s="764"/>
      <c r="L53" s="764"/>
      <c r="M53" s="764"/>
      <c r="N53" s="764"/>
      <c r="O53" s="764"/>
      <c r="P53" s="764"/>
      <c r="Q53" s="771"/>
      <c r="S53" s="442"/>
      <c r="T53" s="443"/>
      <c r="U53" s="443"/>
      <c r="V53" s="443"/>
      <c r="W53" s="443"/>
      <c r="X53" s="443"/>
      <c r="Y53" s="443"/>
      <c r="Z53" s="443"/>
      <c r="AA53" s="443"/>
      <c r="AB53" s="443"/>
      <c r="AC53" s="443"/>
      <c r="AD53" s="443"/>
      <c r="AE53" s="443"/>
      <c r="AF53" s="444"/>
    </row>
    <row r="54" spans="2:32" ht="22.9" customHeight="1">
      <c r="B54" s="769"/>
      <c r="C54" s="798" t="s">
        <v>833</v>
      </c>
      <c r="D54" s="660"/>
      <c r="E54" s="660"/>
      <c r="F54" s="660"/>
      <c r="G54" s="764"/>
      <c r="H54" s="764"/>
      <c r="I54" s="764"/>
      <c r="J54" s="764"/>
      <c r="K54" s="764"/>
      <c r="L54" s="764"/>
      <c r="M54" s="764"/>
      <c r="N54" s="764"/>
      <c r="O54" s="764"/>
      <c r="P54" s="764"/>
      <c r="Q54" s="771"/>
      <c r="S54" s="442"/>
      <c r="T54" s="443"/>
      <c r="U54" s="443"/>
      <c r="V54" s="443"/>
      <c r="W54" s="443"/>
      <c r="X54" s="443"/>
      <c r="Y54" s="443"/>
      <c r="Z54" s="443"/>
      <c r="AA54" s="443"/>
      <c r="AB54" s="443"/>
      <c r="AC54" s="443"/>
      <c r="AD54" s="443"/>
      <c r="AE54" s="443"/>
      <c r="AF54" s="444"/>
    </row>
    <row r="55" spans="2:32" ht="22.9" customHeight="1" thickBot="1">
      <c r="B55" s="799"/>
      <c r="C55" s="1112"/>
      <c r="D55" s="1112"/>
      <c r="E55" s="1112"/>
      <c r="F55" s="1112"/>
      <c r="G55" s="800"/>
      <c r="H55" s="800"/>
      <c r="I55" s="800"/>
      <c r="J55" s="800"/>
      <c r="K55" s="800"/>
      <c r="L55" s="800"/>
      <c r="M55" s="800"/>
      <c r="N55" s="800"/>
      <c r="O55" s="800"/>
      <c r="P55" s="800"/>
      <c r="Q55" s="801"/>
      <c r="S55" s="445"/>
      <c r="T55" s="446"/>
      <c r="U55" s="446"/>
      <c r="V55" s="446"/>
      <c r="W55" s="446"/>
      <c r="X55" s="446"/>
      <c r="Y55" s="446"/>
      <c r="Z55" s="446"/>
      <c r="AA55" s="446"/>
      <c r="AB55" s="446"/>
      <c r="AC55" s="446"/>
      <c r="AD55" s="446"/>
      <c r="AE55" s="446"/>
      <c r="AF55" s="447"/>
    </row>
    <row r="56" spans="2:32" ht="22.9" customHeight="1">
      <c r="C56" s="764"/>
      <c r="D56" s="764"/>
      <c r="E56" s="764"/>
      <c r="F56" s="764"/>
      <c r="G56" s="764"/>
      <c r="H56" s="764"/>
      <c r="I56" s="764"/>
      <c r="J56" s="764"/>
      <c r="K56" s="764"/>
      <c r="L56" s="764"/>
      <c r="M56" s="764"/>
      <c r="N56" s="764"/>
      <c r="O56" s="764"/>
      <c r="P56" s="764"/>
    </row>
    <row r="57" spans="2:32" ht="12.75">
      <c r="C57" s="802" t="s">
        <v>77</v>
      </c>
      <c r="D57" s="764"/>
      <c r="E57" s="764"/>
      <c r="F57" s="764"/>
      <c r="G57" s="764"/>
      <c r="H57" s="764"/>
      <c r="I57" s="764"/>
      <c r="J57" s="764"/>
      <c r="K57" s="764"/>
      <c r="L57" s="764"/>
      <c r="M57" s="764"/>
      <c r="N57" s="764"/>
      <c r="P57" s="737" t="s">
        <v>84</v>
      </c>
    </row>
    <row r="58" spans="2:32" ht="12.75">
      <c r="C58" s="803" t="s">
        <v>78</v>
      </c>
      <c r="D58" s="764"/>
      <c r="E58" s="764"/>
      <c r="F58" s="764"/>
      <c r="G58" s="764"/>
      <c r="H58" s="764"/>
      <c r="I58" s="764"/>
      <c r="J58" s="764"/>
      <c r="K58" s="764"/>
      <c r="L58" s="764"/>
      <c r="M58" s="764"/>
      <c r="N58" s="764"/>
      <c r="O58" s="764"/>
      <c r="P58" s="764"/>
    </row>
    <row r="59" spans="2:32" ht="12.75">
      <c r="C59" s="803" t="s">
        <v>79</v>
      </c>
      <c r="D59" s="764"/>
      <c r="E59" s="764"/>
      <c r="F59" s="764"/>
      <c r="G59" s="764"/>
      <c r="H59" s="764"/>
      <c r="I59" s="764"/>
      <c r="J59" s="764"/>
      <c r="K59" s="764"/>
      <c r="L59" s="764"/>
      <c r="M59" s="764"/>
      <c r="N59" s="764"/>
      <c r="O59" s="764"/>
      <c r="P59" s="764"/>
    </row>
    <row r="60" spans="2:32" ht="12.75">
      <c r="C60" s="803" t="s">
        <v>80</v>
      </c>
      <c r="D60" s="764"/>
      <c r="E60" s="764"/>
      <c r="F60" s="764"/>
      <c r="G60" s="764"/>
      <c r="H60" s="764"/>
      <c r="I60" s="764"/>
      <c r="J60" s="764"/>
      <c r="K60" s="764"/>
      <c r="L60" s="764"/>
      <c r="M60" s="764"/>
      <c r="N60" s="764"/>
      <c r="O60" s="764"/>
      <c r="P60" s="764"/>
    </row>
    <row r="61" spans="2:32" ht="12.75">
      <c r="C61" s="803" t="s">
        <v>81</v>
      </c>
      <c r="D61" s="764"/>
      <c r="E61" s="764"/>
      <c r="F61" s="764"/>
      <c r="G61" s="764"/>
      <c r="H61" s="764"/>
      <c r="I61" s="764"/>
      <c r="J61" s="764"/>
      <c r="K61" s="764"/>
      <c r="L61" s="764"/>
      <c r="M61" s="764"/>
      <c r="N61" s="764"/>
      <c r="O61" s="764"/>
      <c r="P61" s="764"/>
    </row>
    <row r="62" spans="2:32" ht="22.9" customHeight="1">
      <c r="C62" s="764"/>
      <c r="D62" s="764"/>
      <c r="E62" s="764"/>
      <c r="F62" s="764"/>
      <c r="G62" s="764"/>
      <c r="H62" s="764"/>
      <c r="I62" s="764"/>
      <c r="J62" s="764"/>
      <c r="K62" s="764"/>
      <c r="L62" s="764"/>
      <c r="M62" s="764"/>
      <c r="N62" s="764"/>
      <c r="O62" s="764"/>
      <c r="P62" s="764"/>
    </row>
    <row r="63" spans="2:32" ht="22.9" customHeight="1">
      <c r="C63" s="764"/>
      <c r="D63" s="764"/>
      <c r="E63" s="764"/>
      <c r="F63" s="764"/>
      <c r="G63" s="764"/>
      <c r="H63" s="764"/>
      <c r="I63" s="764"/>
      <c r="J63" s="764"/>
      <c r="K63" s="764"/>
      <c r="L63" s="764"/>
      <c r="M63" s="764"/>
      <c r="N63" s="764"/>
      <c r="O63" s="764"/>
      <c r="P63" s="764"/>
    </row>
    <row r="64" spans="2:32" ht="22.9" customHeight="1">
      <c r="C64" s="764"/>
      <c r="D64" s="764"/>
      <c r="E64" s="764"/>
      <c r="F64" s="764"/>
      <c r="G64" s="764"/>
      <c r="H64" s="764"/>
      <c r="I64" s="764"/>
      <c r="J64" s="764"/>
      <c r="K64" s="764"/>
      <c r="L64" s="764"/>
      <c r="M64" s="764"/>
      <c r="N64" s="764"/>
      <c r="O64" s="764"/>
      <c r="P64" s="764"/>
    </row>
    <row r="65" spans="3:16" ht="22.9" customHeight="1">
      <c r="C65" s="764"/>
      <c r="D65" s="764"/>
      <c r="E65" s="764"/>
      <c r="F65" s="764"/>
      <c r="G65" s="764"/>
      <c r="H65" s="764"/>
      <c r="I65" s="764"/>
      <c r="J65" s="764"/>
      <c r="K65" s="764"/>
      <c r="L65" s="764"/>
      <c r="M65" s="764"/>
      <c r="N65" s="764"/>
      <c r="O65" s="764"/>
      <c r="P65" s="764"/>
    </row>
    <row r="66" spans="3:16" ht="22.9" customHeight="1">
      <c r="F66" s="764"/>
      <c r="G66" s="764"/>
      <c r="H66" s="764"/>
      <c r="I66" s="764"/>
      <c r="J66" s="764"/>
      <c r="K66" s="764"/>
      <c r="L66" s="764"/>
      <c r="M66" s="764"/>
      <c r="N66" s="764"/>
      <c r="O66" s="764"/>
      <c r="P66" s="764"/>
    </row>
  </sheetData>
  <sheetProtection password="E059" sheet="1" objects="1" scenarios="1" insertRows="0"/>
  <mergeCells count="9">
    <mergeCell ref="P6:P7"/>
    <mergeCell ref="C55:F55"/>
    <mergeCell ref="D9:O9"/>
    <mergeCell ref="C47:D47"/>
    <mergeCell ref="C48:F48"/>
    <mergeCell ref="L15:N15"/>
    <mergeCell ref="F15:H15"/>
    <mergeCell ref="L31:N31"/>
    <mergeCell ref="F31:H31"/>
  </mergeCells>
  <phoneticPr fontId="22" type="noConversion"/>
  <printOptions horizontalCentered="1" verticalCentered="1"/>
  <pageMargins left="0.35629921259842523" right="0.35629921259842523" top="0.60629921259842523" bottom="0.60629921259842523" header="0.5" footer="0.5"/>
  <pageSetup paperSize="9" scale="42" orientation="portrait" horizontalDpi="4294967292" verticalDpi="4294967292"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D60"/>
  <sheetViews>
    <sheetView zoomScale="55" zoomScaleNormal="55" zoomScalePageLayoutView="70" workbookViewId="0">
      <selection activeCell="G66" sqref="G66"/>
    </sheetView>
  </sheetViews>
  <sheetFormatPr baseColWidth="10" defaultColWidth="10.77734375" defaultRowHeight="22.9" customHeight="1"/>
  <cols>
    <col min="1" max="2" width="3.21875" style="763" customWidth="1"/>
    <col min="3" max="4" width="14.77734375" style="763" customWidth="1"/>
    <col min="5" max="6" width="15.44140625" style="763" customWidth="1"/>
    <col min="7" max="9" width="14.77734375" style="763" customWidth="1"/>
    <col min="10" max="10" width="22.109375" style="763" bestFit="1" customWidth="1"/>
    <col min="11" max="11" width="16.44140625" style="763" customWidth="1"/>
    <col min="12" max="12" width="23.5546875" style="763" bestFit="1" customWidth="1"/>
    <col min="13" max="13" width="60.77734375" style="763" customWidth="1"/>
    <col min="14" max="14" width="79.21875" style="763" customWidth="1"/>
    <col min="15" max="15" width="4" style="763" customWidth="1"/>
    <col min="16" max="21" width="10.77734375" style="763"/>
    <col min="22" max="22" width="12.21875" style="763" bestFit="1" customWidth="1"/>
    <col min="23" max="16384" width="10.77734375" style="763"/>
  </cols>
  <sheetData>
    <row r="1" spans="2:30" ht="22.9" customHeight="1">
      <c r="D1" s="764"/>
      <c r="E1" s="764"/>
    </row>
    <row r="2" spans="2:30" ht="22.9" customHeight="1">
      <c r="D2" s="765" t="s">
        <v>31</v>
      </c>
      <c r="E2" s="765"/>
    </row>
    <row r="3" spans="2:30" ht="22.9" customHeight="1">
      <c r="D3" s="765" t="s">
        <v>32</v>
      </c>
      <c r="E3" s="765"/>
    </row>
    <row r="4" spans="2:30" ht="22.9" customHeight="1" thickBot="1"/>
    <row r="5" spans="2:30" ht="9" customHeight="1">
      <c r="B5" s="766"/>
      <c r="C5" s="767"/>
      <c r="D5" s="767"/>
      <c r="E5" s="767"/>
      <c r="F5" s="767"/>
      <c r="G5" s="767"/>
      <c r="H5" s="767"/>
      <c r="I5" s="767"/>
      <c r="J5" s="767"/>
      <c r="K5" s="767"/>
      <c r="L5" s="767"/>
      <c r="M5" s="767"/>
      <c r="N5" s="767"/>
      <c r="O5" s="768"/>
      <c r="Q5" s="426"/>
      <c r="R5" s="427"/>
      <c r="S5" s="427"/>
      <c r="T5" s="427"/>
      <c r="U5" s="427"/>
      <c r="V5" s="427"/>
      <c r="W5" s="427"/>
      <c r="X5" s="427"/>
      <c r="Y5" s="427"/>
      <c r="Z5" s="427"/>
      <c r="AA5" s="427"/>
      <c r="AB5" s="427"/>
      <c r="AC5" s="427"/>
      <c r="AD5" s="428"/>
    </row>
    <row r="6" spans="2:30" ht="30" customHeight="1">
      <c r="B6" s="769"/>
      <c r="C6" s="770" t="s">
        <v>0</v>
      </c>
      <c r="D6" s="764"/>
      <c r="E6" s="764"/>
      <c r="F6" s="764"/>
      <c r="G6" s="764"/>
      <c r="H6" s="764"/>
      <c r="I6" s="764"/>
      <c r="J6" s="764"/>
      <c r="K6" s="764"/>
      <c r="L6" s="764"/>
      <c r="M6" s="764"/>
      <c r="N6" s="1111">
        <f>ejercicio</f>
        <v>2018</v>
      </c>
      <c r="O6" s="771"/>
      <c r="Q6" s="429"/>
      <c r="R6" s="430" t="s">
        <v>707</v>
      </c>
      <c r="S6" s="431"/>
      <c r="T6" s="431"/>
      <c r="U6" s="431"/>
      <c r="V6" s="431"/>
      <c r="W6" s="431"/>
      <c r="X6" s="431"/>
      <c r="Y6" s="431"/>
      <c r="Z6" s="431"/>
      <c r="AA6" s="431"/>
      <c r="AB6" s="431"/>
      <c r="AC6" s="431"/>
      <c r="AD6" s="432"/>
    </row>
    <row r="7" spans="2:30" ht="30" customHeight="1">
      <c r="B7" s="769"/>
      <c r="C7" s="770" t="s">
        <v>1</v>
      </c>
      <c r="D7" s="764"/>
      <c r="E7" s="764"/>
      <c r="F7" s="764"/>
      <c r="G7" s="764"/>
      <c r="H7" s="764"/>
      <c r="I7" s="764"/>
      <c r="J7" s="764"/>
      <c r="K7" s="764"/>
      <c r="L7" s="764"/>
      <c r="M7" s="764"/>
      <c r="N7" s="1111"/>
      <c r="O7" s="771"/>
      <c r="Q7" s="429"/>
      <c r="R7" s="431"/>
      <c r="S7" s="431"/>
      <c r="T7" s="431"/>
      <c r="U7" s="431"/>
      <c r="V7" s="431"/>
      <c r="W7" s="431"/>
      <c r="X7" s="431"/>
      <c r="Y7" s="431"/>
      <c r="Z7" s="431"/>
      <c r="AA7" s="431"/>
      <c r="AB7" s="431"/>
      <c r="AC7" s="431"/>
      <c r="AD7" s="432"/>
    </row>
    <row r="8" spans="2:30" ht="30" customHeight="1">
      <c r="B8" s="769"/>
      <c r="C8" s="773"/>
      <c r="D8" s="764"/>
      <c r="E8" s="764"/>
      <c r="F8" s="764"/>
      <c r="G8" s="764"/>
      <c r="H8" s="764"/>
      <c r="I8" s="764"/>
      <c r="J8" s="764"/>
      <c r="K8" s="764"/>
      <c r="L8" s="764"/>
      <c r="M8" s="764"/>
      <c r="N8" s="774"/>
      <c r="O8" s="771"/>
      <c r="Q8" s="429"/>
      <c r="R8" s="431"/>
      <c r="S8" s="431"/>
      <c r="T8" s="431"/>
      <c r="U8" s="431"/>
      <c r="V8" s="431"/>
      <c r="W8" s="431"/>
      <c r="X8" s="431"/>
      <c r="Y8" s="431"/>
      <c r="Z8" s="431"/>
      <c r="AA8" s="431"/>
      <c r="AB8" s="431"/>
      <c r="AC8" s="431"/>
      <c r="AD8" s="432"/>
    </row>
    <row r="9" spans="2:30" s="778" customFormat="1" ht="30" customHeight="1">
      <c r="B9" s="775"/>
      <c r="C9" s="776" t="s">
        <v>2</v>
      </c>
      <c r="D9" s="1113" t="str">
        <f>Entidad</f>
        <v>METROPOLITANO DE TENERIFE, S.A.</v>
      </c>
      <c r="E9" s="1113"/>
      <c r="F9" s="1113"/>
      <c r="G9" s="1113"/>
      <c r="H9" s="1113"/>
      <c r="I9" s="1113"/>
      <c r="J9" s="1113"/>
      <c r="K9" s="1113"/>
      <c r="L9" s="1113"/>
      <c r="M9" s="1113"/>
      <c r="N9" s="753"/>
      <c r="O9" s="777"/>
      <c r="Q9" s="433"/>
      <c r="R9" s="434"/>
      <c r="S9" s="434"/>
      <c r="T9" s="434"/>
      <c r="U9" s="434"/>
      <c r="V9" s="434"/>
      <c r="W9" s="434"/>
      <c r="X9" s="434"/>
      <c r="Y9" s="434"/>
      <c r="Z9" s="434"/>
      <c r="AA9" s="434"/>
      <c r="AB9" s="434"/>
      <c r="AC9" s="434"/>
      <c r="AD9" s="435"/>
    </row>
    <row r="10" spans="2:30" ht="7.15" customHeight="1">
      <c r="B10" s="769"/>
      <c r="C10" s="764"/>
      <c r="D10" s="764"/>
      <c r="E10" s="764"/>
      <c r="F10" s="764"/>
      <c r="G10" s="764"/>
      <c r="H10" s="764"/>
      <c r="I10" s="764"/>
      <c r="J10" s="772"/>
      <c r="K10" s="764"/>
      <c r="L10" s="764"/>
      <c r="M10" s="764"/>
      <c r="N10" s="764"/>
      <c r="O10" s="771"/>
      <c r="Q10" s="429"/>
      <c r="R10" s="431"/>
      <c r="S10" s="431"/>
      <c r="T10" s="431"/>
      <c r="U10" s="431"/>
      <c r="V10" s="431"/>
      <c r="W10" s="431"/>
      <c r="X10" s="431"/>
      <c r="Y10" s="431"/>
      <c r="Z10" s="431"/>
      <c r="AA10" s="431"/>
      <c r="AB10" s="431"/>
      <c r="AC10" s="431"/>
      <c r="AD10" s="432"/>
    </row>
    <row r="11" spans="2:30" s="782" customFormat="1" ht="30" customHeight="1">
      <c r="B11" s="779"/>
      <c r="C11" s="780" t="s">
        <v>775</v>
      </c>
      <c r="D11" s="780"/>
      <c r="E11" s="780"/>
      <c r="F11" s="780"/>
      <c r="G11" s="780"/>
      <c r="H11" s="780"/>
      <c r="I11" s="780"/>
      <c r="J11" s="780"/>
      <c r="K11" s="780"/>
      <c r="L11" s="780"/>
      <c r="M11" s="780"/>
      <c r="N11" s="780"/>
      <c r="O11" s="781"/>
      <c r="Q11" s="436"/>
      <c r="R11" s="437"/>
      <c r="S11" s="437"/>
      <c r="T11" s="437"/>
      <c r="U11" s="437"/>
      <c r="V11" s="437"/>
      <c r="W11" s="437"/>
      <c r="X11" s="437"/>
      <c r="Y11" s="437"/>
      <c r="Z11" s="437"/>
      <c r="AA11" s="437"/>
      <c r="AB11" s="437"/>
      <c r="AC11" s="437"/>
      <c r="AD11" s="438"/>
    </row>
    <row r="12" spans="2:30" s="811" customFormat="1" ht="22.9" customHeight="1">
      <c r="B12" s="808"/>
      <c r="C12" s="809"/>
      <c r="D12" s="809"/>
      <c r="E12" s="809"/>
      <c r="F12" s="809"/>
      <c r="G12" s="809"/>
      <c r="H12" s="809"/>
      <c r="I12" s="809"/>
      <c r="J12" s="809"/>
      <c r="K12" s="809"/>
      <c r="L12" s="809"/>
      <c r="M12" s="809"/>
      <c r="N12" s="809"/>
      <c r="O12" s="810"/>
      <c r="Q12" s="812"/>
      <c r="R12" s="813"/>
      <c r="S12" s="813"/>
      <c r="T12" s="813"/>
      <c r="U12" s="813"/>
      <c r="V12" s="813"/>
      <c r="W12" s="813"/>
      <c r="X12" s="813"/>
      <c r="Y12" s="813"/>
      <c r="Z12" s="813"/>
      <c r="AA12" s="813"/>
      <c r="AB12" s="813"/>
      <c r="AC12" s="813"/>
      <c r="AD12" s="814"/>
    </row>
    <row r="13" spans="2:30" s="811" customFormat="1" ht="51" customHeight="1">
      <c r="B13" s="808"/>
      <c r="C13" s="827" t="s">
        <v>769</v>
      </c>
      <c r="D13" s="827" t="s">
        <v>768</v>
      </c>
      <c r="E13" s="1120" t="s">
        <v>772</v>
      </c>
      <c r="F13" s="1121"/>
      <c r="G13" s="827" t="s">
        <v>755</v>
      </c>
      <c r="H13" s="827" t="s">
        <v>770</v>
      </c>
      <c r="I13" s="827" t="s">
        <v>771</v>
      </c>
      <c r="J13" s="827" t="s">
        <v>774</v>
      </c>
      <c r="K13" s="827" t="s">
        <v>777</v>
      </c>
      <c r="L13" s="827" t="s">
        <v>773</v>
      </c>
      <c r="M13" s="1120" t="s">
        <v>780</v>
      </c>
      <c r="N13" s="1121"/>
      <c r="O13" s="810"/>
      <c r="Q13" s="816"/>
      <c r="R13" s="817"/>
      <c r="S13" s="817"/>
      <c r="T13" s="817"/>
      <c r="U13" s="817"/>
      <c r="V13" s="817"/>
      <c r="W13" s="817"/>
      <c r="X13" s="817"/>
      <c r="Y13" s="817"/>
      <c r="Z13" s="817"/>
      <c r="AA13" s="817"/>
      <c r="AB13" s="817"/>
      <c r="AC13" s="817"/>
      <c r="AD13" s="818"/>
    </row>
    <row r="14" spans="2:30" s="811" customFormat="1" ht="22.9" customHeight="1">
      <c r="B14" s="808"/>
      <c r="C14" s="1046">
        <v>36913</v>
      </c>
      <c r="D14" s="1049">
        <v>1000</v>
      </c>
      <c r="E14" s="1052">
        <v>1</v>
      </c>
      <c r="F14" s="1053">
        <v>1000</v>
      </c>
      <c r="G14" s="1059" t="s">
        <v>932</v>
      </c>
      <c r="H14" s="1062">
        <v>600</v>
      </c>
      <c r="I14" s="838"/>
      <c r="J14" s="828">
        <f>(D14*(H14+I14))</f>
        <v>600000</v>
      </c>
      <c r="K14" s="854"/>
      <c r="L14" s="855"/>
      <c r="M14" s="1122" t="s">
        <v>933</v>
      </c>
      <c r="N14" s="1123"/>
      <c r="O14" s="810"/>
      <c r="Q14" s="1074"/>
      <c r="R14" s="817"/>
      <c r="S14" s="817"/>
      <c r="T14" s="817"/>
      <c r="U14" s="817"/>
      <c r="V14" s="817"/>
      <c r="W14" s="817"/>
      <c r="X14" s="817"/>
      <c r="Y14" s="817"/>
      <c r="Z14" s="817"/>
      <c r="AA14" s="817"/>
      <c r="AB14" s="817"/>
      <c r="AC14" s="817"/>
      <c r="AD14" s="818"/>
    </row>
    <row r="15" spans="2:30" s="821" customFormat="1" ht="22.9" customHeight="1">
      <c r="B15" s="819"/>
      <c r="C15" s="1047">
        <v>37526</v>
      </c>
      <c r="D15" s="1050">
        <v>1000</v>
      </c>
      <c r="E15" s="1054">
        <v>1</v>
      </c>
      <c r="F15" s="1055">
        <v>1000</v>
      </c>
      <c r="G15" s="1060" t="s">
        <v>932</v>
      </c>
      <c r="H15" s="1063">
        <v>600</v>
      </c>
      <c r="I15" s="839"/>
      <c r="J15" s="829">
        <f t="shared" ref="J15:J43" si="0">(D15*(H15+I15))</f>
        <v>600000</v>
      </c>
      <c r="K15" s="856"/>
      <c r="L15" s="857"/>
      <c r="M15" s="1124" t="s">
        <v>934</v>
      </c>
      <c r="N15" s="1125"/>
      <c r="O15" s="820"/>
      <c r="Q15" s="816"/>
      <c r="R15" s="817"/>
      <c r="S15" s="817"/>
      <c r="T15" s="817"/>
      <c r="U15" s="817"/>
      <c r="V15" s="1075"/>
      <c r="W15" s="817"/>
      <c r="X15" s="817"/>
      <c r="Y15" s="817"/>
      <c r="Z15" s="817"/>
      <c r="AA15" s="817"/>
      <c r="AB15" s="817"/>
      <c r="AC15" s="817"/>
      <c r="AD15" s="818"/>
    </row>
    <row r="16" spans="2:30" s="811" customFormat="1" ht="22.9" customHeight="1">
      <c r="B16" s="808"/>
      <c r="C16" s="1048">
        <v>37620</v>
      </c>
      <c r="D16" s="1051">
        <v>-50</v>
      </c>
      <c r="E16" s="1056">
        <v>1</v>
      </c>
      <c r="F16" s="1057">
        <v>50</v>
      </c>
      <c r="G16" s="1061" t="s">
        <v>932</v>
      </c>
      <c r="H16" s="1064">
        <v>600</v>
      </c>
      <c r="I16" s="845"/>
      <c r="J16" s="829">
        <f t="shared" ref="J16:J24" si="1">(D16*(H16+I16))</f>
        <v>-30000</v>
      </c>
      <c r="K16" s="858"/>
      <c r="L16" s="859"/>
      <c r="M16" s="1124" t="s">
        <v>935</v>
      </c>
      <c r="N16" s="1125"/>
      <c r="O16" s="810"/>
      <c r="Q16" s="816"/>
      <c r="R16" s="817"/>
      <c r="S16" s="817"/>
      <c r="T16" s="817"/>
      <c r="U16" s="817"/>
      <c r="V16" s="817"/>
      <c r="W16" s="817"/>
      <c r="X16" s="817"/>
      <c r="Y16" s="817"/>
      <c r="Z16" s="817"/>
      <c r="AA16" s="817"/>
      <c r="AB16" s="817"/>
      <c r="AC16" s="817"/>
      <c r="AD16" s="818"/>
    </row>
    <row r="17" spans="2:30" s="811" customFormat="1" ht="22.9" customHeight="1">
      <c r="B17" s="808"/>
      <c r="C17" s="1048">
        <v>37958</v>
      </c>
      <c r="D17" s="1051">
        <v>570</v>
      </c>
      <c r="E17" s="1056">
        <v>1</v>
      </c>
      <c r="F17" s="1057">
        <v>570</v>
      </c>
      <c r="G17" s="1061" t="s">
        <v>932</v>
      </c>
      <c r="H17" s="1064">
        <v>1000</v>
      </c>
      <c r="I17" s="845"/>
      <c r="J17" s="829">
        <f t="shared" si="1"/>
        <v>570000</v>
      </c>
      <c r="K17" s="858"/>
      <c r="L17" s="859"/>
      <c r="M17" s="1124" t="s">
        <v>936</v>
      </c>
      <c r="N17" s="1125"/>
      <c r="O17" s="810"/>
      <c r="Q17" s="816"/>
      <c r="R17" s="817"/>
      <c r="S17" s="817"/>
      <c r="T17" s="817"/>
      <c r="U17" s="817"/>
      <c r="V17" s="817"/>
      <c r="W17" s="817"/>
      <c r="X17" s="817"/>
      <c r="Y17" s="817"/>
      <c r="Z17" s="817"/>
      <c r="AA17" s="817"/>
      <c r="AB17" s="817"/>
      <c r="AC17" s="817"/>
      <c r="AD17" s="818"/>
    </row>
    <row r="18" spans="2:30" s="811" customFormat="1" ht="22.9" customHeight="1">
      <c r="B18" s="808"/>
      <c r="C18" s="1048">
        <v>37958</v>
      </c>
      <c r="D18" s="1051">
        <v>42400</v>
      </c>
      <c r="E18" s="1056">
        <v>601</v>
      </c>
      <c r="F18" s="1058">
        <v>43000</v>
      </c>
      <c r="G18" s="1061" t="s">
        <v>907</v>
      </c>
      <c r="H18" s="1064">
        <v>1000</v>
      </c>
      <c r="I18" s="845"/>
      <c r="J18" s="829">
        <f t="shared" si="1"/>
        <v>42400000</v>
      </c>
      <c r="K18" s="858"/>
      <c r="L18" s="859"/>
      <c r="M18" s="1124" t="s">
        <v>937</v>
      </c>
      <c r="N18" s="1125"/>
      <c r="O18" s="810"/>
      <c r="Q18" s="816"/>
      <c r="R18" s="817"/>
      <c r="S18" s="817"/>
      <c r="T18" s="817"/>
      <c r="U18" s="817"/>
      <c r="V18" s="817"/>
      <c r="W18" s="817"/>
      <c r="X18" s="817"/>
      <c r="Y18" s="817"/>
      <c r="Z18" s="817"/>
      <c r="AA18" s="817"/>
      <c r="AB18" s="817"/>
      <c r="AC18" s="817"/>
      <c r="AD18" s="818"/>
    </row>
    <row r="19" spans="2:30" s="811" customFormat="1" ht="22.9" customHeight="1">
      <c r="B19" s="808"/>
      <c r="C19" s="1048">
        <v>38288</v>
      </c>
      <c r="D19" s="1051">
        <v>30</v>
      </c>
      <c r="E19" s="1056">
        <v>571</v>
      </c>
      <c r="F19" s="1057">
        <v>600</v>
      </c>
      <c r="G19" s="1061" t="s">
        <v>907</v>
      </c>
      <c r="H19" s="1064">
        <v>1000</v>
      </c>
      <c r="I19" s="845"/>
      <c r="J19" s="829">
        <f t="shared" si="1"/>
        <v>30000</v>
      </c>
      <c r="K19" s="858"/>
      <c r="L19" s="859"/>
      <c r="M19" s="1124" t="s">
        <v>938</v>
      </c>
      <c r="N19" s="1125"/>
      <c r="O19" s="810"/>
      <c r="Q19" s="816"/>
      <c r="R19" s="817"/>
      <c r="S19" s="817"/>
      <c r="T19" s="817"/>
      <c r="U19" s="817"/>
      <c r="V19" s="817"/>
      <c r="W19" s="817"/>
      <c r="X19" s="817"/>
      <c r="Y19" s="817"/>
      <c r="Z19" s="817"/>
      <c r="AA19" s="817"/>
      <c r="AB19" s="817"/>
      <c r="AC19" s="817"/>
      <c r="AD19" s="818"/>
    </row>
    <row r="20" spans="2:30" s="811" customFormat="1" ht="22.9" customHeight="1">
      <c r="B20" s="808"/>
      <c r="C20" s="1048">
        <v>38313</v>
      </c>
      <c r="D20" s="1051">
        <v>42400</v>
      </c>
      <c r="E20" s="1056">
        <v>601</v>
      </c>
      <c r="F20" s="1058">
        <v>43000</v>
      </c>
      <c r="G20" s="1061" t="s">
        <v>907</v>
      </c>
      <c r="H20" s="1064">
        <v>1000</v>
      </c>
      <c r="I20" s="845"/>
      <c r="J20" s="829">
        <f t="shared" si="1"/>
        <v>42400000</v>
      </c>
      <c r="K20" s="858"/>
      <c r="L20" s="859"/>
      <c r="M20" s="1124" t="s">
        <v>939</v>
      </c>
      <c r="N20" s="1125"/>
      <c r="O20" s="810"/>
      <c r="Q20" s="816"/>
      <c r="R20" s="817"/>
      <c r="S20" s="817"/>
      <c r="T20" s="817"/>
      <c r="U20" s="817"/>
      <c r="V20" s="817"/>
      <c r="W20" s="817"/>
      <c r="X20" s="817"/>
      <c r="Y20" s="817"/>
      <c r="Z20" s="817"/>
      <c r="AA20" s="817"/>
      <c r="AB20" s="817"/>
      <c r="AC20" s="817"/>
      <c r="AD20" s="818"/>
    </row>
    <row r="21" spans="2:30" s="811" customFormat="1" ht="22.9" customHeight="1">
      <c r="B21" s="808"/>
      <c r="C21" s="1048">
        <v>38313</v>
      </c>
      <c r="D21" s="1051">
        <v>-3000</v>
      </c>
      <c r="E21" s="1056">
        <v>40001</v>
      </c>
      <c r="F21" s="1058">
        <v>43000</v>
      </c>
      <c r="G21" s="1061" t="s">
        <v>907</v>
      </c>
      <c r="H21" s="1064">
        <v>1000</v>
      </c>
      <c r="I21" s="845"/>
      <c r="J21" s="829">
        <f t="shared" si="1"/>
        <v>-3000000</v>
      </c>
      <c r="K21" s="858"/>
      <c r="L21" s="859"/>
      <c r="M21" s="1124" t="s">
        <v>940</v>
      </c>
      <c r="N21" s="1125"/>
      <c r="O21" s="810"/>
      <c r="Q21" s="816"/>
      <c r="R21" s="817"/>
      <c r="S21" s="817"/>
      <c r="T21" s="817"/>
      <c r="U21" s="817"/>
      <c r="V21" s="817"/>
      <c r="W21" s="817"/>
      <c r="X21" s="817"/>
      <c r="Y21" s="817"/>
      <c r="Z21" s="817"/>
      <c r="AA21" s="817"/>
      <c r="AB21" s="817"/>
      <c r="AC21" s="817"/>
      <c r="AD21" s="818"/>
    </row>
    <row r="22" spans="2:30" s="811" customFormat="1" ht="22.9" customHeight="1">
      <c r="B22" s="808"/>
      <c r="C22" s="1048">
        <v>38705</v>
      </c>
      <c r="D22" s="1051">
        <v>39400</v>
      </c>
      <c r="E22" s="1054">
        <v>601</v>
      </c>
      <c r="F22" s="1058">
        <v>40000</v>
      </c>
      <c r="G22" s="1061" t="s">
        <v>907</v>
      </c>
      <c r="H22" s="1064">
        <v>1000</v>
      </c>
      <c r="I22" s="845"/>
      <c r="J22" s="829">
        <f t="shared" si="1"/>
        <v>39400000</v>
      </c>
      <c r="K22" s="858"/>
      <c r="L22" s="859"/>
      <c r="M22" s="1124" t="s">
        <v>941</v>
      </c>
      <c r="N22" s="1125"/>
      <c r="O22" s="810"/>
      <c r="Q22" s="816"/>
      <c r="R22" s="817"/>
      <c r="S22" s="817"/>
      <c r="T22" s="817"/>
      <c r="U22" s="817"/>
      <c r="V22" s="817"/>
      <c r="W22" s="817"/>
      <c r="X22" s="817"/>
      <c r="Y22" s="817"/>
      <c r="Z22" s="817"/>
      <c r="AA22" s="817"/>
      <c r="AB22" s="817"/>
      <c r="AC22" s="817"/>
      <c r="AD22" s="818"/>
    </row>
    <row r="23" spans="2:30" s="811" customFormat="1" ht="22.9" customHeight="1">
      <c r="B23" s="808"/>
      <c r="C23" s="1048">
        <v>39401</v>
      </c>
      <c r="D23" s="1051">
        <v>39400</v>
      </c>
      <c r="E23" s="1054">
        <v>601</v>
      </c>
      <c r="F23" s="1058">
        <v>40000</v>
      </c>
      <c r="G23" s="1061" t="s">
        <v>907</v>
      </c>
      <c r="H23" s="1064">
        <v>1000</v>
      </c>
      <c r="I23" s="846"/>
      <c r="J23" s="829">
        <f t="shared" si="1"/>
        <v>39400000</v>
      </c>
      <c r="K23" s="860"/>
      <c r="L23" s="861"/>
      <c r="M23" s="1124" t="s">
        <v>942</v>
      </c>
      <c r="N23" s="1125"/>
      <c r="O23" s="810"/>
      <c r="Q23" s="816"/>
      <c r="R23" s="817"/>
      <c r="S23" s="817"/>
      <c r="T23" s="817"/>
      <c r="U23" s="817"/>
      <c r="V23" s="817"/>
      <c r="W23" s="817"/>
      <c r="X23" s="817"/>
      <c r="Y23" s="817"/>
      <c r="Z23" s="817"/>
      <c r="AA23" s="817"/>
      <c r="AB23" s="817"/>
      <c r="AC23" s="817"/>
      <c r="AD23" s="818"/>
    </row>
    <row r="24" spans="2:30" s="811" customFormat="1" ht="22.9" customHeight="1">
      <c r="B24" s="808"/>
      <c r="C24" s="1048">
        <v>40410</v>
      </c>
      <c r="D24" s="1051">
        <v>39400</v>
      </c>
      <c r="E24" s="1054">
        <v>601</v>
      </c>
      <c r="F24" s="1058">
        <v>40000</v>
      </c>
      <c r="G24" s="1061" t="s">
        <v>907</v>
      </c>
      <c r="H24" s="1064">
        <v>1000</v>
      </c>
      <c r="I24" s="846"/>
      <c r="J24" s="829">
        <f t="shared" si="1"/>
        <v>39400000</v>
      </c>
      <c r="K24" s="860"/>
      <c r="L24" s="861"/>
      <c r="M24" s="1124" t="s">
        <v>943</v>
      </c>
      <c r="N24" s="1125"/>
      <c r="O24" s="810"/>
      <c r="Q24" s="816"/>
      <c r="R24" s="817"/>
      <c r="S24" s="817"/>
      <c r="T24" s="817"/>
      <c r="U24" s="817"/>
      <c r="V24" s="817"/>
      <c r="W24" s="817"/>
      <c r="X24" s="817"/>
      <c r="Y24" s="817"/>
      <c r="Z24" s="817"/>
      <c r="AA24" s="817"/>
      <c r="AB24" s="817"/>
      <c r="AC24" s="817"/>
      <c r="AD24" s="818"/>
    </row>
    <row r="25" spans="2:30" s="811" customFormat="1" ht="22.9" customHeight="1">
      <c r="B25" s="808"/>
      <c r="C25" s="1048">
        <v>40459</v>
      </c>
      <c r="D25" s="1051">
        <v>16048</v>
      </c>
      <c r="E25" s="1054">
        <v>50001</v>
      </c>
      <c r="F25" s="1058">
        <v>66048</v>
      </c>
      <c r="G25" s="1061" t="s">
        <v>907</v>
      </c>
      <c r="H25" s="1064">
        <v>1000</v>
      </c>
      <c r="I25" s="846"/>
      <c r="J25" s="829">
        <f t="shared" si="0"/>
        <v>16048000</v>
      </c>
      <c r="K25" s="860"/>
      <c r="L25" s="861"/>
      <c r="M25" s="1124" t="s">
        <v>944</v>
      </c>
      <c r="N25" s="1125"/>
      <c r="O25" s="810"/>
      <c r="Q25" s="816"/>
      <c r="R25" s="817"/>
      <c r="S25" s="817"/>
      <c r="T25" s="817"/>
      <c r="U25" s="817"/>
      <c r="V25" s="817"/>
      <c r="W25" s="817"/>
      <c r="X25" s="817"/>
      <c r="Y25" s="817"/>
      <c r="Z25" s="817"/>
      <c r="AA25" s="817"/>
      <c r="AB25" s="817"/>
      <c r="AC25" s="817"/>
      <c r="AD25" s="818"/>
    </row>
    <row r="26" spans="2:30" s="811" customFormat="1" ht="22.9" customHeight="1">
      <c r="B26" s="808"/>
      <c r="C26" s="1048">
        <v>40637</v>
      </c>
      <c r="D26" s="1051">
        <v>16048</v>
      </c>
      <c r="E26" s="1054">
        <v>50001</v>
      </c>
      <c r="F26" s="1058">
        <v>66048</v>
      </c>
      <c r="G26" s="1061" t="s">
        <v>907</v>
      </c>
      <c r="H26" s="1064">
        <v>1000</v>
      </c>
      <c r="I26" s="846"/>
      <c r="J26" s="829">
        <f t="shared" si="0"/>
        <v>16048000</v>
      </c>
      <c r="K26" s="860"/>
      <c r="L26" s="861"/>
      <c r="M26" s="1124" t="s">
        <v>945</v>
      </c>
      <c r="N26" s="1125"/>
      <c r="O26" s="810"/>
      <c r="Q26" s="816"/>
      <c r="R26" s="817"/>
      <c r="S26" s="817"/>
      <c r="T26" s="817"/>
      <c r="U26" s="817"/>
      <c r="V26" s="817"/>
      <c r="W26" s="817"/>
      <c r="X26" s="817"/>
      <c r="Y26" s="817"/>
      <c r="Z26" s="817"/>
      <c r="AA26" s="817"/>
      <c r="AB26" s="817"/>
      <c r="AC26" s="817"/>
      <c r="AD26" s="818"/>
    </row>
    <row r="27" spans="2:30" s="811" customFormat="1" ht="22.9" customHeight="1">
      <c r="B27" s="808"/>
      <c r="C27" s="1048"/>
      <c r="D27" s="1051"/>
      <c r="E27" s="1054"/>
      <c r="F27" s="1058"/>
      <c r="G27" s="1061"/>
      <c r="H27" s="1064"/>
      <c r="I27" s="846"/>
      <c r="J27" s="829">
        <f t="shared" si="0"/>
        <v>0</v>
      </c>
      <c r="K27" s="860"/>
      <c r="L27" s="861"/>
      <c r="M27" s="1124"/>
      <c r="N27" s="1125"/>
      <c r="O27" s="810"/>
      <c r="Q27" s="816"/>
      <c r="R27" s="817"/>
      <c r="S27" s="817"/>
      <c r="T27" s="817"/>
      <c r="U27" s="817"/>
      <c r="V27" s="817"/>
      <c r="W27" s="817"/>
      <c r="X27" s="817"/>
      <c r="Y27" s="817"/>
      <c r="Z27" s="817"/>
      <c r="AA27" s="817"/>
      <c r="AB27" s="817"/>
      <c r="AC27" s="817"/>
      <c r="AD27" s="818"/>
    </row>
    <row r="28" spans="2:30" s="811" customFormat="1" ht="22.9" customHeight="1">
      <c r="B28" s="808"/>
      <c r="C28" s="1048"/>
      <c r="D28" s="1051"/>
      <c r="E28" s="1056"/>
      <c r="F28" s="1058"/>
      <c r="G28" s="1061"/>
      <c r="H28" s="1064"/>
      <c r="I28" s="846"/>
      <c r="J28" s="829">
        <f t="shared" si="0"/>
        <v>0</v>
      </c>
      <c r="K28" s="860"/>
      <c r="L28" s="861"/>
      <c r="M28" s="1124"/>
      <c r="N28" s="1125"/>
      <c r="O28" s="810"/>
      <c r="Q28" s="816"/>
      <c r="R28" s="817"/>
      <c r="S28" s="817"/>
      <c r="T28" s="817"/>
      <c r="U28" s="817"/>
      <c r="V28" s="817"/>
      <c r="W28" s="817"/>
      <c r="X28" s="817"/>
      <c r="Y28" s="817"/>
      <c r="Z28" s="817"/>
      <c r="AA28" s="817"/>
      <c r="AB28" s="817"/>
      <c r="AC28" s="817"/>
      <c r="AD28" s="818"/>
    </row>
    <row r="29" spans="2:30" s="811" customFormat="1" ht="22.9" customHeight="1">
      <c r="B29" s="808"/>
      <c r="C29" s="840"/>
      <c r="D29" s="841"/>
      <c r="E29" s="842"/>
      <c r="F29" s="843"/>
      <c r="G29" s="844"/>
      <c r="H29" s="846"/>
      <c r="I29" s="846"/>
      <c r="J29" s="829">
        <f t="shared" si="0"/>
        <v>0</v>
      </c>
      <c r="K29" s="860"/>
      <c r="L29" s="861"/>
      <c r="M29" s="852"/>
      <c r="N29" s="853"/>
      <c r="O29" s="810"/>
      <c r="Q29" s="816"/>
      <c r="R29" s="817"/>
      <c r="S29" s="817"/>
      <c r="T29" s="817"/>
      <c r="U29" s="817"/>
      <c r="V29" s="817"/>
      <c r="W29" s="817"/>
      <c r="X29" s="817"/>
      <c r="Y29" s="817"/>
      <c r="Z29" s="817"/>
      <c r="AA29" s="817"/>
      <c r="AB29" s="817"/>
      <c r="AC29" s="817"/>
      <c r="AD29" s="818"/>
    </row>
    <row r="30" spans="2:30" s="811" customFormat="1" ht="22.9" customHeight="1">
      <c r="B30" s="808"/>
      <c r="C30" s="840"/>
      <c r="D30" s="841"/>
      <c r="E30" s="842"/>
      <c r="F30" s="843"/>
      <c r="G30" s="844"/>
      <c r="H30" s="846"/>
      <c r="I30" s="846"/>
      <c r="J30" s="829">
        <f t="shared" si="0"/>
        <v>0</v>
      </c>
      <c r="K30" s="860"/>
      <c r="L30" s="861"/>
      <c r="M30" s="852"/>
      <c r="N30" s="853"/>
      <c r="O30" s="810"/>
      <c r="Q30" s="816"/>
      <c r="R30" s="817"/>
      <c r="S30" s="817"/>
      <c r="T30" s="817"/>
      <c r="U30" s="817"/>
      <c r="V30" s="817"/>
      <c r="W30" s="817"/>
      <c r="X30" s="817"/>
      <c r="Y30" s="817"/>
      <c r="Z30" s="817"/>
      <c r="AA30" s="817"/>
      <c r="AB30" s="817"/>
      <c r="AC30" s="817"/>
      <c r="AD30" s="818"/>
    </row>
    <row r="31" spans="2:30" s="811" customFormat="1" ht="22.9" customHeight="1">
      <c r="B31" s="808"/>
      <c r="C31" s="840"/>
      <c r="D31" s="841"/>
      <c r="E31" s="842"/>
      <c r="F31" s="843"/>
      <c r="G31" s="844"/>
      <c r="H31" s="846"/>
      <c r="I31" s="846"/>
      <c r="J31" s="829">
        <f t="shared" si="0"/>
        <v>0</v>
      </c>
      <c r="K31" s="860"/>
      <c r="L31" s="861"/>
      <c r="M31" s="852"/>
      <c r="N31" s="853"/>
      <c r="O31" s="810"/>
      <c r="Q31" s="816"/>
      <c r="R31" s="817"/>
      <c r="S31" s="817"/>
      <c r="T31" s="817"/>
      <c r="U31" s="817"/>
      <c r="V31" s="817"/>
      <c r="W31" s="817"/>
      <c r="X31" s="817"/>
      <c r="Y31" s="817"/>
      <c r="Z31" s="817"/>
      <c r="AA31" s="817"/>
      <c r="AB31" s="817"/>
      <c r="AC31" s="817"/>
      <c r="AD31" s="818"/>
    </row>
    <row r="32" spans="2:30" s="811" customFormat="1" ht="22.9" customHeight="1">
      <c r="B32" s="808"/>
      <c r="C32" s="840"/>
      <c r="D32" s="841"/>
      <c r="E32" s="842"/>
      <c r="F32" s="843"/>
      <c r="G32" s="844"/>
      <c r="H32" s="846"/>
      <c r="I32" s="846"/>
      <c r="J32" s="829">
        <f t="shared" si="0"/>
        <v>0</v>
      </c>
      <c r="K32" s="860"/>
      <c r="L32" s="861"/>
      <c r="M32" s="852"/>
      <c r="N32" s="853"/>
      <c r="O32" s="810"/>
      <c r="Q32" s="816"/>
      <c r="R32" s="817"/>
      <c r="S32" s="817"/>
      <c r="T32" s="817"/>
      <c r="U32" s="817"/>
      <c r="V32" s="817"/>
      <c r="W32" s="817"/>
      <c r="X32" s="817"/>
      <c r="Y32" s="817"/>
      <c r="Z32" s="817"/>
      <c r="AA32" s="817"/>
      <c r="AB32" s="817"/>
      <c r="AC32" s="817"/>
      <c r="AD32" s="818"/>
    </row>
    <row r="33" spans="2:30" s="811" customFormat="1" ht="22.9" customHeight="1">
      <c r="B33" s="808"/>
      <c r="C33" s="840"/>
      <c r="D33" s="841"/>
      <c r="E33" s="842"/>
      <c r="F33" s="843"/>
      <c r="G33" s="844"/>
      <c r="H33" s="846"/>
      <c r="I33" s="846"/>
      <c r="J33" s="829">
        <f t="shared" si="0"/>
        <v>0</v>
      </c>
      <c r="K33" s="860"/>
      <c r="L33" s="861"/>
      <c r="M33" s="1118"/>
      <c r="N33" s="1119"/>
      <c r="O33" s="810"/>
      <c r="Q33" s="816"/>
      <c r="R33" s="817"/>
      <c r="S33" s="817"/>
      <c r="T33" s="817"/>
      <c r="U33" s="817"/>
      <c r="V33" s="817"/>
      <c r="W33" s="817"/>
      <c r="X33" s="817"/>
      <c r="Y33" s="817"/>
      <c r="Z33" s="817"/>
      <c r="AA33" s="817"/>
      <c r="AB33" s="817"/>
      <c r="AC33" s="817"/>
      <c r="AD33" s="818"/>
    </row>
    <row r="34" spans="2:30" s="811" customFormat="1" ht="22.9" customHeight="1">
      <c r="B34" s="808"/>
      <c r="C34" s="840"/>
      <c r="D34" s="841"/>
      <c r="E34" s="842"/>
      <c r="F34" s="843"/>
      <c r="G34" s="844"/>
      <c r="H34" s="846"/>
      <c r="I34" s="846"/>
      <c r="J34" s="829">
        <f t="shared" si="0"/>
        <v>0</v>
      </c>
      <c r="K34" s="860"/>
      <c r="L34" s="861"/>
      <c r="M34" s="1118"/>
      <c r="N34" s="1119"/>
      <c r="O34" s="810"/>
      <c r="Q34" s="816"/>
      <c r="R34" s="817"/>
      <c r="S34" s="817"/>
      <c r="T34" s="817"/>
      <c r="U34" s="817"/>
      <c r="V34" s="817"/>
      <c r="W34" s="817"/>
      <c r="X34" s="817"/>
      <c r="Y34" s="817"/>
      <c r="Z34" s="817"/>
      <c r="AA34" s="817"/>
      <c r="AB34" s="817"/>
      <c r="AC34" s="817"/>
      <c r="AD34" s="818"/>
    </row>
    <row r="35" spans="2:30" s="811" customFormat="1" ht="22.9" customHeight="1">
      <c r="B35" s="808"/>
      <c r="C35" s="840"/>
      <c r="D35" s="841"/>
      <c r="E35" s="842"/>
      <c r="F35" s="843"/>
      <c r="G35" s="844"/>
      <c r="H35" s="846"/>
      <c r="I35" s="846"/>
      <c r="J35" s="829">
        <f t="shared" si="0"/>
        <v>0</v>
      </c>
      <c r="K35" s="860"/>
      <c r="L35" s="861"/>
      <c r="M35" s="1118"/>
      <c r="N35" s="1119"/>
      <c r="O35" s="810"/>
      <c r="Q35" s="816"/>
      <c r="R35" s="817"/>
      <c r="S35" s="817"/>
      <c r="T35" s="817"/>
      <c r="U35" s="817"/>
      <c r="V35" s="817"/>
      <c r="W35" s="817"/>
      <c r="X35" s="817"/>
      <c r="Y35" s="817"/>
      <c r="Z35" s="817"/>
      <c r="AA35" s="817"/>
      <c r="AB35" s="817"/>
      <c r="AC35" s="817"/>
      <c r="AD35" s="818"/>
    </row>
    <row r="36" spans="2:30" s="811" customFormat="1" ht="22.9" customHeight="1">
      <c r="B36" s="808"/>
      <c r="C36" s="840"/>
      <c r="D36" s="841"/>
      <c r="E36" s="842"/>
      <c r="F36" s="843"/>
      <c r="G36" s="844"/>
      <c r="H36" s="846"/>
      <c r="I36" s="846"/>
      <c r="J36" s="829">
        <f t="shared" si="0"/>
        <v>0</v>
      </c>
      <c r="K36" s="860"/>
      <c r="L36" s="861"/>
      <c r="M36" s="1118"/>
      <c r="N36" s="1119"/>
      <c r="O36" s="810"/>
      <c r="Q36" s="816"/>
      <c r="R36" s="817"/>
      <c r="S36" s="817"/>
      <c r="T36" s="817"/>
      <c r="U36" s="817"/>
      <c r="V36" s="817"/>
      <c r="W36" s="817"/>
      <c r="X36" s="817"/>
      <c r="Y36" s="817"/>
      <c r="Z36" s="817"/>
      <c r="AA36" s="817"/>
      <c r="AB36" s="817"/>
      <c r="AC36" s="817"/>
      <c r="AD36" s="818"/>
    </row>
    <row r="37" spans="2:30" s="811" customFormat="1" ht="22.9" customHeight="1">
      <c r="B37" s="808"/>
      <c r="C37" s="840"/>
      <c r="D37" s="841"/>
      <c r="E37" s="842"/>
      <c r="F37" s="843"/>
      <c r="G37" s="844"/>
      <c r="H37" s="846"/>
      <c r="I37" s="846"/>
      <c r="J37" s="829">
        <f t="shared" si="0"/>
        <v>0</v>
      </c>
      <c r="K37" s="860"/>
      <c r="L37" s="861"/>
      <c r="M37" s="1118"/>
      <c r="N37" s="1119"/>
      <c r="O37" s="810"/>
      <c r="Q37" s="816"/>
      <c r="R37" s="817"/>
      <c r="S37" s="817"/>
      <c r="T37" s="817"/>
      <c r="U37" s="817"/>
      <c r="V37" s="817"/>
      <c r="W37" s="817"/>
      <c r="X37" s="817"/>
      <c r="Y37" s="817"/>
      <c r="Z37" s="817"/>
      <c r="AA37" s="817"/>
      <c r="AB37" s="817"/>
      <c r="AC37" s="817"/>
      <c r="AD37" s="818"/>
    </row>
    <row r="38" spans="2:30" s="811" customFormat="1" ht="22.9" customHeight="1">
      <c r="B38" s="808"/>
      <c r="C38" s="840"/>
      <c r="D38" s="841"/>
      <c r="E38" s="842"/>
      <c r="F38" s="843"/>
      <c r="G38" s="844"/>
      <c r="H38" s="846"/>
      <c r="I38" s="846"/>
      <c r="J38" s="829">
        <f t="shared" si="0"/>
        <v>0</v>
      </c>
      <c r="K38" s="860"/>
      <c r="L38" s="861"/>
      <c r="M38" s="1118"/>
      <c r="N38" s="1119"/>
      <c r="O38" s="810"/>
      <c r="Q38" s="822"/>
      <c r="R38" s="430"/>
      <c r="S38" s="430"/>
      <c r="T38" s="430"/>
      <c r="U38" s="430"/>
      <c r="V38" s="430"/>
      <c r="W38" s="430"/>
      <c r="X38" s="430"/>
      <c r="Y38" s="430"/>
      <c r="Z38" s="430"/>
      <c r="AA38" s="430"/>
      <c r="AB38" s="430"/>
      <c r="AC38" s="430"/>
      <c r="AD38" s="823"/>
    </row>
    <row r="39" spans="2:30" s="811" customFormat="1" ht="22.9" customHeight="1">
      <c r="B39" s="808"/>
      <c r="C39" s="840"/>
      <c r="D39" s="841"/>
      <c r="E39" s="842"/>
      <c r="F39" s="843"/>
      <c r="G39" s="844"/>
      <c r="H39" s="846"/>
      <c r="I39" s="846"/>
      <c r="J39" s="829">
        <f t="shared" si="0"/>
        <v>0</v>
      </c>
      <c r="K39" s="860"/>
      <c r="L39" s="861"/>
      <c r="M39" s="1118"/>
      <c r="N39" s="1119"/>
      <c r="O39" s="810"/>
      <c r="Q39" s="822"/>
      <c r="R39" s="430"/>
      <c r="S39" s="430"/>
      <c r="T39" s="430"/>
      <c r="U39" s="430"/>
      <c r="V39" s="430"/>
      <c r="W39" s="430"/>
      <c r="X39" s="430"/>
      <c r="Y39" s="430"/>
      <c r="Z39" s="430"/>
      <c r="AA39" s="430"/>
      <c r="AB39" s="430"/>
      <c r="AC39" s="430"/>
      <c r="AD39" s="823"/>
    </row>
    <row r="40" spans="2:30" s="811" customFormat="1" ht="22.9" customHeight="1">
      <c r="B40" s="808"/>
      <c r="C40" s="840"/>
      <c r="D40" s="841"/>
      <c r="E40" s="842"/>
      <c r="F40" s="843"/>
      <c r="G40" s="844"/>
      <c r="H40" s="846"/>
      <c r="I40" s="846"/>
      <c r="J40" s="829">
        <f t="shared" si="0"/>
        <v>0</v>
      </c>
      <c r="K40" s="860"/>
      <c r="L40" s="861"/>
      <c r="M40" s="1118"/>
      <c r="N40" s="1119"/>
      <c r="O40" s="810"/>
      <c r="Q40" s="816"/>
      <c r="R40" s="817"/>
      <c r="S40" s="817"/>
      <c r="T40" s="817"/>
      <c r="U40" s="817"/>
      <c r="V40" s="817"/>
      <c r="W40" s="817"/>
      <c r="X40" s="817"/>
      <c r="Y40" s="817"/>
      <c r="Z40" s="817"/>
      <c r="AA40" s="817"/>
      <c r="AB40" s="817"/>
      <c r="AC40" s="817"/>
      <c r="AD40" s="818"/>
    </row>
    <row r="41" spans="2:30" s="811" customFormat="1" ht="22.9" customHeight="1">
      <c r="B41" s="808"/>
      <c r="C41" s="840"/>
      <c r="D41" s="841"/>
      <c r="E41" s="842"/>
      <c r="F41" s="843"/>
      <c r="G41" s="844"/>
      <c r="H41" s="846"/>
      <c r="I41" s="846"/>
      <c r="J41" s="829">
        <f t="shared" si="0"/>
        <v>0</v>
      </c>
      <c r="K41" s="860"/>
      <c r="L41" s="861"/>
      <c r="M41" s="1118"/>
      <c r="N41" s="1119"/>
      <c r="O41" s="810"/>
      <c r="Q41" s="816"/>
      <c r="R41" s="817"/>
      <c r="S41" s="817"/>
      <c r="T41" s="817"/>
      <c r="U41" s="817"/>
      <c r="V41" s="817"/>
      <c r="W41" s="817"/>
      <c r="X41" s="817"/>
      <c r="Y41" s="817"/>
      <c r="Z41" s="817"/>
      <c r="AA41" s="817"/>
      <c r="AB41" s="817"/>
      <c r="AC41" s="817"/>
      <c r="AD41" s="818"/>
    </row>
    <row r="42" spans="2:30" s="811" customFormat="1" ht="22.9" customHeight="1">
      <c r="B42" s="808"/>
      <c r="C42" s="840"/>
      <c r="D42" s="841"/>
      <c r="E42" s="842"/>
      <c r="F42" s="843"/>
      <c r="G42" s="844"/>
      <c r="H42" s="846"/>
      <c r="I42" s="846"/>
      <c r="J42" s="829">
        <f t="shared" si="0"/>
        <v>0</v>
      </c>
      <c r="K42" s="860"/>
      <c r="L42" s="861"/>
      <c r="M42" s="1118"/>
      <c r="N42" s="1119"/>
      <c r="O42" s="810"/>
      <c r="Q42" s="816"/>
      <c r="R42" s="817"/>
      <c r="S42" s="817"/>
      <c r="T42" s="817"/>
      <c r="U42" s="817"/>
      <c r="V42" s="817"/>
      <c r="W42" s="817"/>
      <c r="X42" s="817"/>
      <c r="Y42" s="817"/>
      <c r="Z42" s="817"/>
      <c r="AA42" s="817"/>
      <c r="AB42" s="817"/>
      <c r="AC42" s="817"/>
      <c r="AD42" s="818"/>
    </row>
    <row r="43" spans="2:30" s="811" customFormat="1" ht="22.9" customHeight="1" thickBot="1">
      <c r="B43" s="808"/>
      <c r="C43" s="847"/>
      <c r="D43" s="848"/>
      <c r="E43" s="848"/>
      <c r="F43" s="849"/>
      <c r="G43" s="850"/>
      <c r="H43" s="900"/>
      <c r="I43" s="900"/>
      <c r="J43" s="830">
        <f t="shared" si="0"/>
        <v>0</v>
      </c>
      <c r="K43" s="862"/>
      <c r="L43" s="863"/>
      <c r="M43" s="1126"/>
      <c r="N43" s="1127"/>
      <c r="O43" s="810"/>
      <c r="Q43" s="824"/>
      <c r="R43" s="825"/>
      <c r="S43" s="825"/>
      <c r="T43" s="825"/>
      <c r="U43" s="825"/>
      <c r="V43" s="825"/>
      <c r="W43" s="825"/>
      <c r="X43" s="825"/>
      <c r="Y43" s="825"/>
      <c r="Z43" s="825"/>
      <c r="AA43" s="825"/>
      <c r="AB43" s="825"/>
      <c r="AC43" s="825"/>
      <c r="AD43" s="826"/>
    </row>
    <row r="44" spans="2:30" s="811" customFormat="1" ht="22.9" customHeight="1" thickBot="1">
      <c r="B44" s="808"/>
      <c r="C44" s="831" t="s">
        <v>393</v>
      </c>
      <c r="D44" s="832">
        <f>SUM(D14:D43)</f>
        <v>234646</v>
      </c>
      <c r="E44" s="833"/>
      <c r="F44" s="834"/>
      <c r="G44" s="835"/>
      <c r="H44" s="851"/>
      <c r="I44" s="851"/>
      <c r="J44" s="836">
        <f>SUM(J14:J43)</f>
        <v>233866000</v>
      </c>
      <c r="K44" s="851">
        <f>+'FC-2_ACCIONISTAS'!J20</f>
        <v>475.12914725433529</v>
      </c>
      <c r="L44" s="837">
        <f>K44*D44</f>
        <v>111487153.88664076</v>
      </c>
      <c r="M44" s="809"/>
      <c r="N44" s="809"/>
      <c r="O44" s="810"/>
      <c r="Q44" s="824"/>
      <c r="R44" s="825"/>
      <c r="S44" s="825"/>
      <c r="T44" s="825"/>
      <c r="U44" s="825"/>
      <c r="V44" s="825"/>
      <c r="W44" s="825"/>
      <c r="X44" s="825"/>
      <c r="Y44" s="825"/>
      <c r="Z44" s="825"/>
      <c r="AA44" s="825"/>
      <c r="AB44" s="825"/>
      <c r="AC44" s="825"/>
      <c r="AD44" s="826"/>
    </row>
    <row r="45" spans="2:30" s="811" customFormat="1" ht="22.9" customHeight="1">
      <c r="B45" s="808"/>
      <c r="C45" s="815"/>
      <c r="D45" s="815"/>
      <c r="E45" s="815"/>
      <c r="F45" s="815"/>
      <c r="G45" s="815"/>
      <c r="H45" s="809"/>
      <c r="I45" s="809"/>
      <c r="J45" s="809"/>
      <c r="K45" s="809"/>
      <c r="L45" s="809"/>
      <c r="M45" s="809"/>
      <c r="N45" s="809"/>
      <c r="O45" s="810"/>
      <c r="Q45" s="824"/>
      <c r="R45" s="825"/>
      <c r="S45" s="825"/>
      <c r="T45" s="825"/>
      <c r="U45" s="825"/>
      <c r="V45" s="825"/>
      <c r="W45" s="825"/>
      <c r="X45" s="825"/>
      <c r="Y45" s="825"/>
      <c r="Z45" s="825"/>
      <c r="AA45" s="825"/>
      <c r="AB45" s="825"/>
      <c r="AC45" s="825"/>
      <c r="AD45" s="826"/>
    </row>
    <row r="46" spans="2:30" ht="22.9" customHeight="1">
      <c r="B46" s="769"/>
      <c r="C46" s="730" t="s">
        <v>416</v>
      </c>
      <c r="D46" s="660"/>
      <c r="E46" s="660"/>
      <c r="F46" s="660"/>
      <c r="G46" s="660"/>
      <c r="H46" s="764"/>
      <c r="I46" s="764"/>
      <c r="J46" s="764"/>
      <c r="K46" s="764"/>
      <c r="L46" s="764"/>
      <c r="M46" s="764"/>
      <c r="N46" s="764"/>
      <c r="O46" s="771"/>
      <c r="Q46" s="442"/>
      <c r="R46" s="443"/>
      <c r="S46" s="443"/>
      <c r="T46" s="443"/>
      <c r="U46" s="443"/>
      <c r="V46" s="443"/>
      <c r="W46" s="443"/>
      <c r="X46" s="443"/>
      <c r="Y46" s="443"/>
      <c r="Z46" s="443"/>
      <c r="AA46" s="443"/>
      <c r="AB46" s="443"/>
      <c r="AC46" s="443"/>
      <c r="AD46" s="444"/>
    </row>
    <row r="47" spans="2:30" ht="22.9" customHeight="1">
      <c r="B47" s="769"/>
      <c r="C47" s="798" t="s">
        <v>776</v>
      </c>
      <c r="D47" s="660"/>
      <c r="E47" s="660"/>
      <c r="F47" s="660"/>
      <c r="G47" s="660"/>
      <c r="H47" s="764"/>
      <c r="I47" s="764"/>
      <c r="J47" s="764"/>
      <c r="K47" s="764"/>
      <c r="L47" s="764"/>
      <c r="M47" s="764"/>
      <c r="N47" s="764"/>
      <c r="O47" s="771"/>
      <c r="Q47" s="442"/>
      <c r="R47" s="443"/>
      <c r="S47" s="443"/>
      <c r="T47" s="443"/>
      <c r="U47" s="443"/>
      <c r="V47" s="443"/>
      <c r="W47" s="443"/>
      <c r="X47" s="443"/>
      <c r="Y47" s="443"/>
      <c r="Z47" s="443"/>
      <c r="AA47" s="443"/>
      <c r="AB47" s="443"/>
      <c r="AC47" s="443"/>
      <c r="AD47" s="444"/>
    </row>
    <row r="48" spans="2:30" ht="22.9" customHeight="1">
      <c r="B48" s="769"/>
      <c r="C48" s="798" t="s">
        <v>779</v>
      </c>
      <c r="D48" s="660"/>
      <c r="E48" s="660"/>
      <c r="F48" s="660"/>
      <c r="G48" s="660"/>
      <c r="H48" s="764"/>
      <c r="I48" s="764"/>
      <c r="J48" s="660">
        <f>ejercicio-2</f>
        <v>2016</v>
      </c>
      <c r="K48" s="764" t="s">
        <v>778</v>
      </c>
      <c r="L48" s="764"/>
      <c r="M48" s="764"/>
      <c r="N48" s="764"/>
      <c r="O48" s="771"/>
      <c r="Q48" s="442"/>
      <c r="R48" s="443"/>
      <c r="S48" s="443"/>
      <c r="T48" s="443"/>
      <c r="U48" s="443"/>
      <c r="V48" s="443"/>
      <c r="W48" s="443"/>
      <c r="X48" s="443"/>
      <c r="Y48" s="443"/>
      <c r="Z48" s="443"/>
      <c r="AA48" s="443"/>
      <c r="AB48" s="443"/>
      <c r="AC48" s="443"/>
      <c r="AD48" s="444"/>
    </row>
    <row r="49" spans="2:30" ht="22.9" customHeight="1" thickBot="1">
      <c r="B49" s="799"/>
      <c r="C49" s="1112"/>
      <c r="D49" s="1112"/>
      <c r="E49" s="1112"/>
      <c r="F49" s="1112"/>
      <c r="G49" s="1112"/>
      <c r="H49" s="800"/>
      <c r="I49" s="800"/>
      <c r="J49" s="800"/>
      <c r="K49" s="800"/>
      <c r="L49" s="800"/>
      <c r="M49" s="800"/>
      <c r="N49" s="800"/>
      <c r="O49" s="801"/>
      <c r="Q49" s="445"/>
      <c r="R49" s="446"/>
      <c r="S49" s="446"/>
      <c r="T49" s="446"/>
      <c r="U49" s="446"/>
      <c r="V49" s="446"/>
      <c r="W49" s="446"/>
      <c r="X49" s="446"/>
      <c r="Y49" s="446"/>
      <c r="Z49" s="446"/>
      <c r="AA49" s="446"/>
      <c r="AB49" s="446"/>
      <c r="AC49" s="446"/>
      <c r="AD49" s="447"/>
    </row>
    <row r="50" spans="2:30" ht="22.9" customHeight="1">
      <c r="C50" s="764"/>
      <c r="D50" s="764"/>
      <c r="E50" s="764"/>
      <c r="F50" s="764"/>
      <c r="G50" s="764"/>
      <c r="H50" s="764"/>
      <c r="I50" s="764"/>
      <c r="J50" s="764"/>
      <c r="K50" s="764"/>
      <c r="L50" s="764"/>
      <c r="M50" s="764"/>
      <c r="N50" s="764"/>
    </row>
    <row r="51" spans="2:30" ht="12.75">
      <c r="C51" s="802" t="s">
        <v>77</v>
      </c>
      <c r="D51" s="764"/>
      <c r="E51" s="764"/>
      <c r="F51" s="764"/>
      <c r="G51" s="764"/>
      <c r="H51" s="764"/>
      <c r="I51" s="764"/>
      <c r="J51" s="764"/>
      <c r="K51" s="764"/>
      <c r="L51" s="764"/>
      <c r="M51" s="764"/>
      <c r="N51" s="737" t="s">
        <v>787</v>
      </c>
    </row>
    <row r="52" spans="2:30" ht="12.75">
      <c r="C52" s="803" t="s">
        <v>78</v>
      </c>
      <c r="D52" s="764"/>
      <c r="E52" s="764"/>
      <c r="F52" s="764"/>
      <c r="G52" s="764"/>
      <c r="H52" s="764"/>
      <c r="I52" s="764"/>
      <c r="J52" s="764"/>
      <c r="K52" s="764"/>
      <c r="L52" s="764"/>
      <c r="M52" s="764"/>
      <c r="N52" s="764"/>
    </row>
    <row r="53" spans="2:30" ht="12.75">
      <c r="C53" s="803" t="s">
        <v>79</v>
      </c>
      <c r="D53" s="764"/>
      <c r="E53" s="764"/>
      <c r="F53" s="764"/>
      <c r="G53" s="764"/>
      <c r="H53" s="764"/>
      <c r="I53" s="764"/>
      <c r="J53" s="764"/>
      <c r="K53" s="764"/>
      <c r="L53" s="764"/>
      <c r="M53" s="764"/>
      <c r="N53" s="764"/>
    </row>
    <row r="54" spans="2:30" ht="12.75">
      <c r="C54" s="803" t="s">
        <v>80</v>
      </c>
      <c r="D54" s="764"/>
      <c r="E54" s="764"/>
      <c r="F54" s="764"/>
      <c r="G54" s="764"/>
      <c r="H54" s="764"/>
      <c r="I54" s="764"/>
      <c r="J54" s="764"/>
      <c r="K54" s="764"/>
      <c r="L54" s="764"/>
      <c r="M54" s="764"/>
      <c r="N54" s="764"/>
    </row>
    <row r="55" spans="2:30" ht="12.75">
      <c r="C55" s="803" t="s">
        <v>81</v>
      </c>
      <c r="D55" s="764"/>
      <c r="E55" s="764"/>
      <c r="F55" s="764"/>
      <c r="G55" s="764"/>
      <c r="H55" s="764"/>
      <c r="I55" s="764"/>
      <c r="J55" s="764"/>
      <c r="K55" s="764"/>
      <c r="L55" s="764"/>
      <c r="M55" s="764"/>
      <c r="N55" s="764"/>
    </row>
    <row r="56" spans="2:30" ht="22.9" customHeight="1">
      <c r="C56" s="764"/>
      <c r="D56" s="764"/>
      <c r="E56" s="764"/>
      <c r="F56" s="764"/>
      <c r="G56" s="764"/>
      <c r="H56" s="764"/>
      <c r="I56" s="764"/>
      <c r="J56" s="764"/>
      <c r="K56" s="764"/>
      <c r="L56" s="764"/>
      <c r="M56" s="764"/>
      <c r="N56" s="764"/>
    </row>
    <row r="57" spans="2:30" ht="22.9" customHeight="1">
      <c r="C57" s="764"/>
      <c r="D57" s="764"/>
      <c r="E57" s="764"/>
      <c r="F57" s="764"/>
      <c r="G57" s="764"/>
      <c r="H57" s="764"/>
      <c r="I57" s="764"/>
      <c r="J57" s="764"/>
      <c r="K57" s="764"/>
      <c r="L57" s="764"/>
      <c r="M57" s="764"/>
      <c r="N57" s="764"/>
    </row>
    <row r="58" spans="2:30" ht="22.9" customHeight="1">
      <c r="C58" s="764"/>
      <c r="D58" s="764"/>
      <c r="E58" s="764"/>
      <c r="F58" s="764"/>
      <c r="G58" s="764"/>
      <c r="H58" s="764"/>
      <c r="I58" s="764"/>
      <c r="J58" s="764"/>
      <c r="K58" s="764"/>
      <c r="L58" s="764"/>
      <c r="M58" s="764"/>
      <c r="N58" s="764"/>
    </row>
    <row r="59" spans="2:30" ht="22.9" customHeight="1">
      <c r="C59" s="764"/>
      <c r="D59" s="764"/>
      <c r="E59" s="764"/>
      <c r="F59" s="764"/>
      <c r="G59" s="764"/>
      <c r="H59" s="764"/>
      <c r="I59" s="764"/>
      <c r="J59" s="764"/>
      <c r="K59" s="764"/>
      <c r="L59" s="764"/>
      <c r="M59" s="764"/>
      <c r="N59" s="764"/>
    </row>
    <row r="60" spans="2:30" ht="22.9" customHeight="1">
      <c r="G60" s="764"/>
      <c r="H60" s="764"/>
      <c r="I60" s="764"/>
      <c r="J60" s="764"/>
      <c r="K60" s="764"/>
      <c r="L60" s="764"/>
      <c r="M60" s="764"/>
      <c r="N60" s="764"/>
    </row>
  </sheetData>
  <sheetProtection password="E059" sheet="1" objects="1" scenarios="1"/>
  <mergeCells count="31">
    <mergeCell ref="N6:N7"/>
    <mergeCell ref="D9:M9"/>
    <mergeCell ref="M22:N22"/>
    <mergeCell ref="M23:N23"/>
    <mergeCell ref="M33:N33"/>
    <mergeCell ref="M24:N24"/>
    <mergeCell ref="M25:N25"/>
    <mergeCell ref="M26:N26"/>
    <mergeCell ref="M27:N27"/>
    <mergeCell ref="M28:N28"/>
    <mergeCell ref="C49:G49"/>
    <mergeCell ref="M13:N13"/>
    <mergeCell ref="M14:N14"/>
    <mergeCell ref="M15:N15"/>
    <mergeCell ref="M16:N16"/>
    <mergeCell ref="M17:N17"/>
    <mergeCell ref="M18:N18"/>
    <mergeCell ref="M19:N19"/>
    <mergeCell ref="M20:N20"/>
    <mergeCell ref="M21:N21"/>
    <mergeCell ref="M34:N34"/>
    <mergeCell ref="M41:N41"/>
    <mergeCell ref="M42:N42"/>
    <mergeCell ref="M43:N43"/>
    <mergeCell ref="E13:F13"/>
    <mergeCell ref="M35:N35"/>
    <mergeCell ref="M36:N36"/>
    <mergeCell ref="M37:N37"/>
    <mergeCell ref="M38:N38"/>
    <mergeCell ref="M39:N39"/>
    <mergeCell ref="M40:N40"/>
  </mergeCells>
  <phoneticPr fontId="22" type="noConversion"/>
  <printOptions horizontalCentered="1" verticalCentered="1"/>
  <pageMargins left="0.35629921259842523" right="0.35629921259842523" top="0.60629921259842523" bottom="0.60629921259842523" header="0.5" footer="0.5"/>
  <pageSetup paperSize="9" scale="25" orientation="portrait" horizontalDpi="4294967292" verticalDpi="4294967292"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W97"/>
  <sheetViews>
    <sheetView topLeftCell="A7" zoomScale="70" zoomScaleNormal="70" zoomScalePageLayoutView="125" workbookViewId="0">
      <selection activeCell="F97" sqref="F97"/>
    </sheetView>
  </sheetViews>
  <sheetFormatPr baseColWidth="10" defaultColWidth="10.77734375" defaultRowHeight="22.9" customHeight="1"/>
  <cols>
    <col min="1" max="2" width="3.21875" style="42" customWidth="1"/>
    <col min="3" max="3" width="13.5546875" style="42" customWidth="1"/>
    <col min="4" max="4" width="76.77734375" style="42" customWidth="1"/>
    <col min="5" max="7" width="18.21875" style="42" customWidth="1"/>
    <col min="8" max="8" width="3.21875" style="42" customWidth="1"/>
    <col min="9" max="16384" width="10.77734375" style="42"/>
  </cols>
  <sheetData>
    <row r="1" spans="2:23" ht="22.9" customHeight="1">
      <c r="D1" s="44"/>
    </row>
    <row r="2" spans="2:23" ht="22.9" customHeight="1">
      <c r="D2" s="63" t="s">
        <v>31</v>
      </c>
    </row>
    <row r="3" spans="2:23" ht="22.9" customHeight="1">
      <c r="D3" s="63" t="s">
        <v>32</v>
      </c>
    </row>
    <row r="4" spans="2:23" ht="22.9" customHeight="1" thickBot="1"/>
    <row r="5" spans="2:23" ht="9" customHeight="1">
      <c r="B5" s="45"/>
      <c r="C5" s="46"/>
      <c r="D5" s="46"/>
      <c r="E5" s="46"/>
      <c r="F5" s="46"/>
      <c r="G5" s="46"/>
      <c r="H5" s="47"/>
      <c r="J5" s="426"/>
      <c r="K5" s="427"/>
      <c r="L5" s="427"/>
      <c r="M5" s="427"/>
      <c r="N5" s="427"/>
      <c r="O5" s="427"/>
      <c r="P5" s="427"/>
      <c r="Q5" s="427"/>
      <c r="R5" s="427"/>
      <c r="S5" s="427"/>
      <c r="T5" s="427"/>
      <c r="U5" s="427"/>
      <c r="V5" s="427"/>
      <c r="W5" s="428"/>
    </row>
    <row r="6" spans="2:23" ht="30" customHeight="1">
      <c r="B6" s="48"/>
      <c r="C6" s="1" t="s">
        <v>0</v>
      </c>
      <c r="D6" s="44"/>
      <c r="E6" s="44"/>
      <c r="F6" s="44"/>
      <c r="G6" s="1105">
        <f>ejercicio</f>
        <v>2018</v>
      </c>
      <c r="H6" s="50"/>
      <c r="J6" s="429"/>
      <c r="K6" s="430" t="s">
        <v>707</v>
      </c>
      <c r="L6" s="431"/>
      <c r="M6" s="431"/>
      <c r="N6" s="431"/>
      <c r="O6" s="431"/>
      <c r="P6" s="431"/>
      <c r="Q6" s="431"/>
      <c r="R6" s="431"/>
      <c r="S6" s="431"/>
      <c r="T6" s="431"/>
      <c r="U6" s="431"/>
      <c r="V6" s="431"/>
      <c r="W6" s="432"/>
    </row>
    <row r="7" spans="2:23" ht="30" customHeight="1">
      <c r="B7" s="48"/>
      <c r="C7" s="1" t="s">
        <v>1</v>
      </c>
      <c r="D7" s="44"/>
      <c r="E7" s="44"/>
      <c r="F7" s="44"/>
      <c r="G7" s="1105"/>
      <c r="H7" s="50"/>
      <c r="J7" s="429"/>
      <c r="K7" s="431"/>
      <c r="L7" s="431"/>
      <c r="M7" s="431"/>
      <c r="N7" s="431"/>
      <c r="O7" s="431"/>
      <c r="P7" s="431"/>
      <c r="Q7" s="431"/>
      <c r="R7" s="431"/>
      <c r="S7" s="431"/>
      <c r="T7" s="431"/>
      <c r="U7" s="431"/>
      <c r="V7" s="431"/>
      <c r="W7" s="432"/>
    </row>
    <row r="8" spans="2:23" ht="30" customHeight="1">
      <c r="B8" s="48"/>
      <c r="C8" s="49"/>
      <c r="D8" s="44"/>
      <c r="E8" s="44"/>
      <c r="F8" s="44"/>
      <c r="G8" s="51"/>
      <c r="H8" s="50"/>
      <c r="J8" s="429"/>
      <c r="K8" s="431"/>
      <c r="L8" s="431"/>
      <c r="M8" s="431"/>
      <c r="N8" s="431"/>
      <c r="O8" s="431"/>
      <c r="P8" s="431"/>
      <c r="Q8" s="431"/>
      <c r="R8" s="431"/>
      <c r="S8" s="431"/>
      <c r="T8" s="431"/>
      <c r="U8" s="431"/>
      <c r="V8" s="431"/>
      <c r="W8" s="432"/>
    </row>
    <row r="9" spans="2:23" s="60" customFormat="1" ht="30" customHeight="1">
      <c r="B9" s="58"/>
      <c r="C9" s="39" t="s">
        <v>2</v>
      </c>
      <c r="D9" s="1129" t="str">
        <f>Entidad</f>
        <v>METROPOLITANO DE TENERIFE, S.A.</v>
      </c>
      <c r="E9" s="1129"/>
      <c r="F9" s="1129"/>
      <c r="G9" s="1129"/>
      <c r="H9" s="59"/>
      <c r="J9" s="433"/>
      <c r="K9" s="434"/>
      <c r="L9" s="434"/>
      <c r="M9" s="434"/>
      <c r="N9" s="434"/>
      <c r="O9" s="434"/>
      <c r="P9" s="434"/>
      <c r="Q9" s="434"/>
      <c r="R9" s="434"/>
      <c r="S9" s="434"/>
      <c r="T9" s="434"/>
      <c r="U9" s="434"/>
      <c r="V9" s="434"/>
      <c r="W9" s="435"/>
    </row>
    <row r="10" spans="2:23" ht="7.15" customHeight="1">
      <c r="B10" s="48"/>
      <c r="C10" s="44"/>
      <c r="D10" s="44"/>
      <c r="E10" s="44"/>
      <c r="F10" s="44"/>
      <c r="G10" s="44"/>
      <c r="H10" s="50"/>
      <c r="J10" s="429"/>
      <c r="K10" s="431"/>
      <c r="L10" s="431"/>
      <c r="M10" s="431"/>
      <c r="N10" s="431"/>
      <c r="O10" s="431"/>
      <c r="P10" s="431"/>
      <c r="Q10" s="431"/>
      <c r="R10" s="431"/>
      <c r="S10" s="431"/>
      <c r="T10" s="431"/>
      <c r="U10" s="431"/>
      <c r="V10" s="431"/>
      <c r="W10" s="432"/>
    </row>
    <row r="11" spans="2:23" s="62" customFormat="1" ht="30" customHeight="1">
      <c r="B11" s="24"/>
      <c r="C11" s="11" t="s">
        <v>85</v>
      </c>
      <c r="D11" s="11"/>
      <c r="E11" s="11"/>
      <c r="F11" s="11"/>
      <c r="G11" s="11"/>
      <c r="H11" s="61"/>
      <c r="J11" s="436"/>
      <c r="K11" s="437"/>
      <c r="L11" s="437"/>
      <c r="M11" s="437"/>
      <c r="N11" s="437"/>
      <c r="O11" s="437"/>
      <c r="P11" s="437"/>
      <c r="Q11" s="437"/>
      <c r="R11" s="437"/>
      <c r="S11" s="437"/>
      <c r="T11" s="437"/>
      <c r="U11" s="437"/>
      <c r="V11" s="437"/>
      <c r="W11" s="438"/>
    </row>
    <row r="12" spans="2:23" s="62" customFormat="1" ht="30" customHeight="1">
      <c r="B12" s="24"/>
      <c r="C12" s="68"/>
      <c r="D12" s="68"/>
      <c r="E12" s="68"/>
      <c r="F12" s="68"/>
      <c r="G12" s="68"/>
      <c r="H12" s="61"/>
      <c r="J12" s="436"/>
      <c r="K12" s="437"/>
      <c r="L12" s="437"/>
      <c r="M12" s="437"/>
      <c r="N12" s="437"/>
      <c r="O12" s="437"/>
      <c r="P12" s="437"/>
      <c r="Q12" s="437"/>
      <c r="R12" s="437"/>
      <c r="S12" s="437"/>
      <c r="T12" s="437"/>
      <c r="U12" s="437"/>
      <c r="V12" s="437"/>
      <c r="W12" s="438"/>
    </row>
    <row r="13" spans="2:23" ht="22.9" customHeight="1">
      <c r="B13" s="48"/>
      <c r="C13" s="345"/>
      <c r="D13" s="346"/>
      <c r="E13" s="347" t="s">
        <v>183</v>
      </c>
      <c r="F13" s="348" t="s">
        <v>184</v>
      </c>
      <c r="G13" s="349" t="s">
        <v>185</v>
      </c>
      <c r="H13" s="50"/>
      <c r="J13" s="429"/>
      <c r="K13" s="431"/>
      <c r="L13" s="431"/>
      <c r="M13" s="431"/>
      <c r="N13" s="431"/>
      <c r="O13" s="431"/>
      <c r="P13" s="431"/>
      <c r="Q13" s="431"/>
      <c r="R13" s="431"/>
      <c r="S13" s="431"/>
      <c r="T13" s="431"/>
      <c r="U13" s="431"/>
      <c r="V13" s="431"/>
      <c r="W13" s="432"/>
    </row>
    <row r="14" spans="2:23" ht="22.9" customHeight="1">
      <c r="B14" s="48"/>
      <c r="C14" s="350"/>
      <c r="D14" s="70"/>
      <c r="E14" s="331">
        <f>ejercicio-2</f>
        <v>2016</v>
      </c>
      <c r="F14" s="338">
        <f>ejercicio-1</f>
        <v>2017</v>
      </c>
      <c r="G14" s="330">
        <f>ejercicio</f>
        <v>2018</v>
      </c>
      <c r="H14" s="50"/>
      <c r="J14" s="429"/>
      <c r="K14" s="431"/>
      <c r="L14" s="431"/>
      <c r="M14" s="431"/>
      <c r="N14" s="431"/>
      <c r="O14" s="431"/>
      <c r="P14" s="431"/>
      <c r="Q14" s="431"/>
      <c r="R14" s="431"/>
      <c r="S14" s="431"/>
      <c r="T14" s="431"/>
      <c r="U14" s="431"/>
      <c r="V14" s="431"/>
      <c r="W14" s="432"/>
    </row>
    <row r="15" spans="2:23" ht="22.9" customHeight="1">
      <c r="B15" s="48"/>
      <c r="C15" s="351" t="s">
        <v>86</v>
      </c>
      <c r="D15" s="88" t="s">
        <v>87</v>
      </c>
      <c r="E15" s="132"/>
      <c r="F15" s="132"/>
      <c r="G15" s="132"/>
      <c r="H15" s="50"/>
      <c r="J15" s="429"/>
      <c r="K15" s="431"/>
      <c r="L15" s="431"/>
      <c r="M15" s="431"/>
      <c r="N15" s="431"/>
      <c r="O15" s="431"/>
      <c r="P15" s="431"/>
      <c r="Q15" s="431"/>
      <c r="R15" s="431"/>
      <c r="S15" s="431"/>
      <c r="T15" s="431"/>
      <c r="U15" s="431"/>
      <c r="V15" s="431"/>
      <c r="W15" s="432"/>
    </row>
    <row r="16" spans="2:23" ht="22.9" customHeight="1">
      <c r="B16" s="48"/>
      <c r="C16" s="355" t="s">
        <v>88</v>
      </c>
      <c r="D16" s="72" t="s">
        <v>747</v>
      </c>
      <c r="E16" s="134">
        <f>SUM(E17:E19)</f>
        <v>17355449.600000001</v>
      </c>
      <c r="F16" s="134">
        <f>SUM(F17:F19)</f>
        <v>18277842.992538359</v>
      </c>
      <c r="G16" s="134">
        <f>SUM(G17:G19)</f>
        <v>18707566.489009105</v>
      </c>
      <c r="H16" s="50"/>
      <c r="J16" s="429"/>
      <c r="K16" s="431"/>
      <c r="L16" s="431"/>
      <c r="M16" s="431"/>
      <c r="N16" s="431"/>
      <c r="O16" s="431"/>
      <c r="P16" s="431"/>
      <c r="Q16" s="431"/>
      <c r="R16" s="431"/>
      <c r="S16" s="431"/>
      <c r="T16" s="431"/>
      <c r="U16" s="431"/>
      <c r="V16" s="431"/>
      <c r="W16" s="432"/>
    </row>
    <row r="17" spans="2:23" ht="22.9" customHeight="1">
      <c r="B17" s="48"/>
      <c r="C17" s="357" t="s">
        <v>89</v>
      </c>
      <c r="D17" s="73" t="s">
        <v>90</v>
      </c>
      <c r="E17" s="470">
        <v>84.35</v>
      </c>
      <c r="F17" s="470">
        <v>0</v>
      </c>
      <c r="G17" s="470">
        <v>0</v>
      </c>
      <c r="H17" s="50"/>
      <c r="J17" s="429"/>
      <c r="K17" s="431"/>
      <c r="L17" s="431"/>
      <c r="M17" s="431"/>
      <c r="N17" s="431"/>
      <c r="O17" s="431"/>
      <c r="P17" s="431"/>
      <c r="Q17" s="431"/>
      <c r="R17" s="431"/>
      <c r="S17" s="431"/>
      <c r="T17" s="431"/>
      <c r="U17" s="431"/>
      <c r="V17" s="431"/>
      <c r="W17" s="432"/>
    </row>
    <row r="18" spans="2:23" ht="22.9" customHeight="1">
      <c r="B18" s="48"/>
      <c r="C18" s="358" t="s">
        <v>91</v>
      </c>
      <c r="D18" s="74" t="s">
        <v>92</v>
      </c>
      <c r="E18" s="471">
        <v>17355365.25</v>
      </c>
      <c r="F18" s="471">
        <v>18277842.992538359</v>
      </c>
      <c r="G18" s="471">
        <v>18707566.489009105</v>
      </c>
      <c r="H18" s="50"/>
      <c r="J18" s="429"/>
      <c r="K18" s="431"/>
      <c r="L18" s="431"/>
      <c r="M18" s="431"/>
      <c r="N18" s="431"/>
      <c r="O18" s="431"/>
      <c r="P18" s="431"/>
      <c r="Q18" s="431"/>
      <c r="R18" s="431"/>
      <c r="S18" s="431"/>
      <c r="T18" s="431"/>
      <c r="U18" s="431"/>
      <c r="V18" s="431"/>
      <c r="W18" s="432"/>
    </row>
    <row r="19" spans="2:23" ht="22.9" customHeight="1">
      <c r="B19" s="48"/>
      <c r="C19" s="358" t="s">
        <v>93</v>
      </c>
      <c r="D19" s="74" t="s">
        <v>94</v>
      </c>
      <c r="E19" s="471">
        <v>0</v>
      </c>
      <c r="F19" s="471">
        <v>0</v>
      </c>
      <c r="G19" s="471">
        <v>0</v>
      </c>
      <c r="H19" s="50"/>
      <c r="J19" s="429"/>
      <c r="K19" s="431"/>
      <c r="L19" s="431"/>
      <c r="M19" s="431"/>
      <c r="N19" s="431"/>
      <c r="O19" s="431"/>
      <c r="P19" s="431"/>
      <c r="Q19" s="431"/>
      <c r="R19" s="431"/>
      <c r="S19" s="431"/>
      <c r="T19" s="431"/>
      <c r="U19" s="431"/>
      <c r="V19" s="431"/>
      <c r="W19" s="432"/>
    </row>
    <row r="20" spans="2:23" ht="22.9" customHeight="1">
      <c r="B20" s="48"/>
      <c r="C20" s="355" t="s">
        <v>95</v>
      </c>
      <c r="D20" s="72" t="s">
        <v>96</v>
      </c>
      <c r="E20" s="472">
        <v>0</v>
      </c>
      <c r="F20" s="472">
        <v>0</v>
      </c>
      <c r="G20" s="472">
        <v>0</v>
      </c>
      <c r="H20" s="50"/>
      <c r="J20" s="429"/>
      <c r="K20" s="431"/>
      <c r="L20" s="431"/>
      <c r="M20" s="431"/>
      <c r="N20" s="431"/>
      <c r="O20" s="431"/>
      <c r="P20" s="431"/>
      <c r="Q20" s="431"/>
      <c r="R20" s="431"/>
      <c r="S20" s="431"/>
      <c r="T20" s="431"/>
      <c r="U20" s="431"/>
      <c r="V20" s="431"/>
      <c r="W20" s="432"/>
    </row>
    <row r="21" spans="2:23" ht="22.9" customHeight="1">
      <c r="B21" s="48"/>
      <c r="C21" s="355" t="s">
        <v>97</v>
      </c>
      <c r="D21" s="72" t="s">
        <v>98</v>
      </c>
      <c r="E21" s="472">
        <v>342727.16</v>
      </c>
      <c r="F21" s="472">
        <v>255450.3</v>
      </c>
      <c r="G21" s="472">
        <v>250000</v>
      </c>
      <c r="H21" s="50"/>
      <c r="J21" s="429"/>
      <c r="K21" s="431"/>
      <c r="L21" s="431"/>
      <c r="M21" s="431"/>
      <c r="N21" s="431"/>
      <c r="O21" s="431"/>
      <c r="P21" s="431"/>
      <c r="Q21" s="431"/>
      <c r="R21" s="431"/>
      <c r="S21" s="431"/>
      <c r="T21" s="431"/>
      <c r="U21" s="431"/>
      <c r="V21" s="431"/>
      <c r="W21" s="432"/>
    </row>
    <row r="22" spans="2:23" ht="22.9" customHeight="1">
      <c r="B22" s="48"/>
      <c r="C22" s="355" t="s">
        <v>99</v>
      </c>
      <c r="D22" s="72" t="s">
        <v>100</v>
      </c>
      <c r="E22" s="134">
        <f>SUM(E23:E26)</f>
        <v>-735524.39</v>
      </c>
      <c r="F22" s="134">
        <f t="shared" ref="F22:G22" si="0">SUM(F23:F26)</f>
        <v>-1399820.72</v>
      </c>
      <c r="G22" s="134">
        <f t="shared" si="0"/>
        <v>-1478068.98</v>
      </c>
      <c r="H22" s="50"/>
      <c r="J22" s="429"/>
      <c r="K22" s="431"/>
      <c r="L22" s="431"/>
      <c r="M22" s="431"/>
      <c r="N22" s="431"/>
      <c r="O22" s="431"/>
      <c r="P22" s="431"/>
      <c r="Q22" s="431"/>
      <c r="R22" s="431"/>
      <c r="S22" s="431"/>
      <c r="T22" s="431"/>
      <c r="U22" s="431"/>
      <c r="V22" s="431"/>
      <c r="W22" s="432"/>
    </row>
    <row r="23" spans="2:23" ht="22.9" customHeight="1">
      <c r="B23" s="48"/>
      <c r="C23" s="357" t="s">
        <v>89</v>
      </c>
      <c r="D23" s="73" t="s">
        <v>101</v>
      </c>
      <c r="E23" s="470">
        <v>0</v>
      </c>
      <c r="F23" s="470">
        <v>0</v>
      </c>
      <c r="G23" s="470">
        <v>0</v>
      </c>
      <c r="H23" s="50"/>
      <c r="J23" s="429"/>
      <c r="K23" s="431"/>
      <c r="L23" s="431"/>
      <c r="M23" s="431"/>
      <c r="N23" s="431"/>
      <c r="O23" s="431"/>
      <c r="P23" s="431"/>
      <c r="Q23" s="431"/>
      <c r="R23" s="431"/>
      <c r="S23" s="431"/>
      <c r="T23" s="431"/>
      <c r="U23" s="431"/>
      <c r="V23" s="431"/>
      <c r="W23" s="432"/>
    </row>
    <row r="24" spans="2:23" ht="22.9" customHeight="1">
      <c r="B24" s="48"/>
      <c r="C24" s="358" t="s">
        <v>91</v>
      </c>
      <c r="D24" s="74" t="s">
        <v>102</v>
      </c>
      <c r="E24" s="471">
        <v>-735524.39</v>
      </c>
      <c r="F24" s="471">
        <v>-1399820.72</v>
      </c>
      <c r="G24" s="471">
        <v>-1478068.98</v>
      </c>
      <c r="H24" s="50"/>
      <c r="J24" s="429"/>
      <c r="K24" s="431"/>
      <c r="L24" s="431"/>
      <c r="M24" s="431"/>
      <c r="N24" s="431"/>
      <c r="O24" s="431"/>
      <c r="P24" s="431"/>
      <c r="Q24" s="431"/>
      <c r="R24" s="431"/>
      <c r="S24" s="431"/>
      <c r="T24" s="431"/>
      <c r="U24" s="431"/>
      <c r="V24" s="431"/>
      <c r="W24" s="432"/>
    </row>
    <row r="25" spans="2:23" ht="22.9" customHeight="1">
      <c r="B25" s="48"/>
      <c r="C25" s="358" t="s">
        <v>93</v>
      </c>
      <c r="D25" s="74" t="s">
        <v>103</v>
      </c>
      <c r="E25" s="471">
        <v>0</v>
      </c>
      <c r="F25" s="471">
        <v>0</v>
      </c>
      <c r="G25" s="471">
        <v>0</v>
      </c>
      <c r="H25" s="50"/>
      <c r="J25" s="429"/>
      <c r="K25" s="431"/>
      <c r="L25" s="431"/>
      <c r="M25" s="431"/>
      <c r="N25" s="431"/>
      <c r="O25" s="431"/>
      <c r="P25" s="431"/>
      <c r="Q25" s="431"/>
      <c r="R25" s="431"/>
      <c r="S25" s="431"/>
      <c r="T25" s="431"/>
      <c r="U25" s="431"/>
      <c r="V25" s="431"/>
      <c r="W25" s="432"/>
    </row>
    <row r="26" spans="2:23" ht="22.9" customHeight="1">
      <c r="B26" s="48"/>
      <c r="C26" s="358" t="s">
        <v>104</v>
      </c>
      <c r="D26" s="74" t="s">
        <v>105</v>
      </c>
      <c r="E26" s="471">
        <v>0</v>
      </c>
      <c r="F26" s="471">
        <v>0</v>
      </c>
      <c r="G26" s="471">
        <v>0</v>
      </c>
      <c r="H26" s="50"/>
      <c r="J26" s="429"/>
      <c r="K26" s="431"/>
      <c r="L26" s="431"/>
      <c r="M26" s="431"/>
      <c r="N26" s="431"/>
      <c r="O26" s="431"/>
      <c r="P26" s="431"/>
      <c r="Q26" s="431"/>
      <c r="R26" s="431"/>
      <c r="S26" s="431"/>
      <c r="T26" s="431"/>
      <c r="U26" s="431"/>
      <c r="V26" s="431"/>
      <c r="W26" s="432"/>
    </row>
    <row r="27" spans="2:23" ht="22.9" customHeight="1">
      <c r="B27" s="48"/>
      <c r="C27" s="355" t="s">
        <v>106</v>
      </c>
      <c r="D27" s="72" t="s">
        <v>750</v>
      </c>
      <c r="E27" s="134">
        <f>SUM(E28:E29)</f>
        <v>5245514.8499999996</v>
      </c>
      <c r="F27" s="134">
        <f t="shared" ref="F27:G27" si="1">SUM(F28:F29)</f>
        <v>5651952.8906352334</v>
      </c>
      <c r="G27" s="134">
        <f t="shared" si="1"/>
        <v>5765512.0786828557</v>
      </c>
      <c r="H27" s="50"/>
      <c r="J27" s="429"/>
      <c r="K27" s="431"/>
      <c r="L27" s="431"/>
      <c r="M27" s="431"/>
      <c r="N27" s="431"/>
      <c r="O27" s="431"/>
      <c r="P27" s="431"/>
      <c r="Q27" s="431"/>
      <c r="R27" s="431"/>
      <c r="S27" s="431"/>
      <c r="T27" s="431"/>
      <c r="U27" s="431"/>
      <c r="V27" s="431"/>
      <c r="W27" s="432"/>
    </row>
    <row r="28" spans="2:23" ht="22.9" customHeight="1">
      <c r="B28" s="48"/>
      <c r="C28" s="357" t="s">
        <v>89</v>
      </c>
      <c r="D28" s="73" t="s">
        <v>107</v>
      </c>
      <c r="E28" s="470">
        <v>5019436.75</v>
      </c>
      <c r="F28" s="470">
        <v>5134216.513850498</v>
      </c>
      <c r="G28" s="470">
        <v>5190253.7533767037</v>
      </c>
      <c r="H28" s="50"/>
      <c r="J28" s="429"/>
      <c r="K28" s="431"/>
      <c r="L28" s="431"/>
      <c r="M28" s="431"/>
      <c r="N28" s="431"/>
      <c r="O28" s="431"/>
      <c r="P28" s="431"/>
      <c r="Q28" s="431"/>
      <c r="R28" s="431"/>
      <c r="S28" s="431"/>
      <c r="T28" s="431"/>
      <c r="U28" s="431"/>
      <c r="V28" s="431"/>
      <c r="W28" s="432"/>
    </row>
    <row r="29" spans="2:23" ht="22.9" customHeight="1">
      <c r="B29" s="48"/>
      <c r="C29" s="358" t="s">
        <v>91</v>
      </c>
      <c r="D29" s="74" t="s">
        <v>108</v>
      </c>
      <c r="E29" s="471">
        <v>226078.1</v>
      </c>
      <c r="F29" s="471">
        <v>517736.37678473507</v>
      </c>
      <c r="G29" s="471">
        <v>575258.32530615188</v>
      </c>
      <c r="H29" s="50"/>
      <c r="J29" s="429"/>
      <c r="K29" s="431"/>
      <c r="L29" s="431"/>
      <c r="M29" s="431"/>
      <c r="N29" s="431"/>
      <c r="O29" s="431"/>
      <c r="P29" s="431"/>
      <c r="Q29" s="431"/>
      <c r="R29" s="431"/>
      <c r="S29" s="431"/>
      <c r="T29" s="431"/>
      <c r="U29" s="431"/>
      <c r="V29" s="431"/>
      <c r="W29" s="432"/>
    </row>
    <row r="30" spans="2:23" ht="22.9" customHeight="1">
      <c r="B30" s="48"/>
      <c r="C30" s="355" t="s">
        <v>109</v>
      </c>
      <c r="D30" s="72" t="s">
        <v>110</v>
      </c>
      <c r="E30" s="134">
        <f>SUM(E31:E33)</f>
        <v>-7009603.540000001</v>
      </c>
      <c r="F30" s="134">
        <f t="shared" ref="F30:G30" si="2">SUM(F31:F33)</f>
        <v>-7267627.4400000004</v>
      </c>
      <c r="G30" s="134">
        <f t="shared" si="2"/>
        <v>-7245012</v>
      </c>
      <c r="H30" s="50"/>
      <c r="J30" s="439"/>
      <c r="K30" s="440"/>
      <c r="L30" s="440"/>
      <c r="M30" s="440"/>
      <c r="N30" s="440"/>
      <c r="O30" s="440"/>
      <c r="P30" s="440"/>
      <c r="Q30" s="440"/>
      <c r="R30" s="440"/>
      <c r="S30" s="440"/>
      <c r="T30" s="440"/>
      <c r="U30" s="440"/>
      <c r="V30" s="440"/>
      <c r="W30" s="441"/>
    </row>
    <row r="31" spans="2:23" ht="22.9" customHeight="1">
      <c r="B31" s="48"/>
      <c r="C31" s="357" t="s">
        <v>89</v>
      </c>
      <c r="D31" s="73" t="s">
        <v>111</v>
      </c>
      <c r="E31" s="470">
        <v>-5259107.9400000004</v>
      </c>
      <c r="F31" s="470">
        <v>-5520272.4400000004</v>
      </c>
      <c r="G31" s="470">
        <v>-5473073</v>
      </c>
      <c r="H31" s="50"/>
      <c r="J31" s="439"/>
      <c r="K31" s="440"/>
      <c r="L31" s="440"/>
      <c r="M31" s="440"/>
      <c r="N31" s="440"/>
      <c r="O31" s="440"/>
      <c r="P31" s="440"/>
      <c r="Q31" s="440"/>
      <c r="R31" s="440"/>
      <c r="S31" s="440"/>
      <c r="T31" s="440"/>
      <c r="U31" s="440"/>
      <c r="V31" s="440"/>
      <c r="W31" s="441"/>
    </row>
    <row r="32" spans="2:23" ht="22.9" customHeight="1">
      <c r="B32" s="48"/>
      <c r="C32" s="358" t="s">
        <v>91</v>
      </c>
      <c r="D32" s="74" t="s">
        <v>112</v>
      </c>
      <c r="E32" s="471">
        <v>-1750495.6</v>
      </c>
      <c r="F32" s="471">
        <v>-1747355</v>
      </c>
      <c r="G32" s="471">
        <v>-1771939</v>
      </c>
      <c r="H32" s="50"/>
      <c r="J32" s="429"/>
      <c r="K32" s="431"/>
      <c r="L32" s="431"/>
      <c r="M32" s="431"/>
      <c r="N32" s="431"/>
      <c r="O32" s="431"/>
      <c r="P32" s="431"/>
      <c r="Q32" s="431"/>
      <c r="R32" s="431"/>
      <c r="S32" s="431"/>
      <c r="T32" s="431"/>
      <c r="U32" s="431"/>
      <c r="V32" s="431"/>
      <c r="W32" s="432"/>
    </row>
    <row r="33" spans="2:23" ht="22.9" customHeight="1">
      <c r="B33" s="48"/>
      <c r="C33" s="358" t="s">
        <v>93</v>
      </c>
      <c r="D33" s="74" t="s">
        <v>113</v>
      </c>
      <c r="E33" s="471">
        <v>0</v>
      </c>
      <c r="F33" s="471">
        <v>0</v>
      </c>
      <c r="G33" s="471">
        <v>0</v>
      </c>
      <c r="H33" s="50"/>
      <c r="J33" s="429"/>
      <c r="K33" s="431"/>
      <c r="L33" s="431"/>
      <c r="M33" s="431"/>
      <c r="N33" s="431"/>
      <c r="O33" s="431"/>
      <c r="P33" s="431"/>
      <c r="Q33" s="431"/>
      <c r="R33" s="431"/>
      <c r="S33" s="431"/>
      <c r="T33" s="431"/>
      <c r="U33" s="431"/>
      <c r="V33" s="431"/>
      <c r="W33" s="432"/>
    </row>
    <row r="34" spans="2:23" ht="22.9" customHeight="1">
      <c r="B34" s="48"/>
      <c r="C34" s="355" t="s">
        <v>114</v>
      </c>
      <c r="D34" s="72" t="s">
        <v>115</v>
      </c>
      <c r="E34" s="134">
        <f>SUM(E35:E39)</f>
        <v>-5870517.5599999996</v>
      </c>
      <c r="F34" s="134">
        <f t="shared" ref="F34:G34" si="3">SUM(F35:F39)</f>
        <v>-6272428.1905558566</v>
      </c>
      <c r="G34" s="134">
        <f t="shared" si="3"/>
        <v>-4840599.5641640369</v>
      </c>
      <c r="H34" s="50"/>
      <c r="J34" s="429"/>
      <c r="K34" s="431"/>
      <c r="L34" s="431"/>
      <c r="M34" s="431"/>
      <c r="N34" s="431"/>
      <c r="O34" s="431"/>
      <c r="P34" s="431"/>
      <c r="Q34" s="431"/>
      <c r="R34" s="431"/>
      <c r="S34" s="431"/>
      <c r="T34" s="431"/>
      <c r="U34" s="431"/>
      <c r="V34" s="431"/>
      <c r="W34" s="432"/>
    </row>
    <row r="35" spans="2:23" ht="22.9" customHeight="1">
      <c r="B35" s="48"/>
      <c r="C35" s="357" t="s">
        <v>89</v>
      </c>
      <c r="D35" s="73" t="s">
        <v>116</v>
      </c>
      <c r="E35" s="470">
        <v>-4445502.8099999996</v>
      </c>
      <c r="F35" s="470">
        <f>-6013253.47979056--1399820.72</f>
        <v>-4613432.7597905602</v>
      </c>
      <c r="G35" s="470">
        <f>-5900231.10139737--1478068.98</f>
        <v>-4422162.1213973705</v>
      </c>
      <c r="H35" s="50"/>
      <c r="J35" s="429"/>
      <c r="K35" s="431"/>
      <c r="L35" s="431"/>
      <c r="M35" s="431"/>
      <c r="N35" s="431"/>
      <c r="O35" s="431"/>
      <c r="P35" s="431"/>
      <c r="Q35" s="431"/>
      <c r="R35" s="431"/>
      <c r="S35" s="431"/>
      <c r="T35" s="431"/>
      <c r="U35" s="431"/>
      <c r="V35" s="431"/>
      <c r="W35" s="432"/>
    </row>
    <row r="36" spans="2:23" ht="22.9" customHeight="1">
      <c r="B36" s="48"/>
      <c r="C36" s="358" t="s">
        <v>91</v>
      </c>
      <c r="D36" s="74" t="s">
        <v>117</v>
      </c>
      <c r="E36" s="471">
        <v>-33159.42</v>
      </c>
      <c r="F36" s="471">
        <v>-49689.180399999997</v>
      </c>
      <c r="G36" s="471">
        <v>-49841.9761</v>
      </c>
      <c r="H36" s="50"/>
      <c r="J36" s="442"/>
      <c r="K36" s="443"/>
      <c r="L36" s="443"/>
      <c r="M36" s="443"/>
      <c r="N36" s="443"/>
      <c r="O36" s="443"/>
      <c r="P36" s="443"/>
      <c r="Q36" s="443"/>
      <c r="R36" s="443"/>
      <c r="S36" s="443"/>
      <c r="T36" s="443"/>
      <c r="U36" s="443"/>
      <c r="V36" s="443"/>
      <c r="W36" s="444"/>
    </row>
    <row r="37" spans="2:23" ht="22.9" customHeight="1">
      <c r="B37" s="48"/>
      <c r="C37" s="358" t="s">
        <v>93</v>
      </c>
      <c r="D37" s="74" t="s">
        <v>118</v>
      </c>
      <c r="E37" s="471">
        <v>0</v>
      </c>
      <c r="F37" s="471">
        <v>0</v>
      </c>
      <c r="G37" s="471">
        <v>0</v>
      </c>
      <c r="H37" s="50"/>
      <c r="J37" s="442"/>
      <c r="K37" s="443"/>
      <c r="L37" s="443"/>
      <c r="M37" s="443"/>
      <c r="N37" s="443"/>
      <c r="O37" s="443"/>
      <c r="P37" s="443"/>
      <c r="Q37" s="443"/>
      <c r="R37" s="443"/>
      <c r="S37" s="443"/>
      <c r="T37" s="443"/>
      <c r="U37" s="443"/>
      <c r="V37" s="443"/>
      <c r="W37" s="444"/>
    </row>
    <row r="38" spans="2:23" ht="22.9" customHeight="1">
      <c r="B38" s="48"/>
      <c r="C38" s="358" t="s">
        <v>104</v>
      </c>
      <c r="D38" s="74" t="s">
        <v>119</v>
      </c>
      <c r="E38" s="471">
        <v>-1391855.33</v>
      </c>
      <c r="F38" s="471">
        <v>-1609306.2503652966</v>
      </c>
      <c r="G38" s="471">
        <v>-368595.46666666667</v>
      </c>
      <c r="H38" s="50"/>
      <c r="J38" s="442"/>
      <c r="K38" s="443"/>
      <c r="L38" s="443"/>
      <c r="M38" s="443"/>
      <c r="N38" s="443"/>
      <c r="O38" s="443"/>
      <c r="P38" s="443"/>
      <c r="Q38" s="443"/>
      <c r="R38" s="443"/>
      <c r="S38" s="443"/>
      <c r="T38" s="443"/>
      <c r="U38" s="443"/>
      <c r="V38" s="443"/>
      <c r="W38" s="444"/>
    </row>
    <row r="39" spans="2:23" ht="22.9" customHeight="1">
      <c r="B39" s="48"/>
      <c r="C39" s="358" t="s">
        <v>120</v>
      </c>
      <c r="D39" s="74" t="s">
        <v>121</v>
      </c>
      <c r="E39" s="471">
        <v>0</v>
      </c>
      <c r="F39" s="471">
        <v>0</v>
      </c>
      <c r="G39" s="471">
        <v>0</v>
      </c>
      <c r="H39" s="50"/>
      <c r="J39" s="442"/>
      <c r="K39" s="443"/>
      <c r="L39" s="443"/>
      <c r="M39" s="443"/>
      <c r="N39" s="443"/>
      <c r="O39" s="443"/>
      <c r="P39" s="443"/>
      <c r="Q39" s="443"/>
      <c r="R39" s="443"/>
      <c r="S39" s="443"/>
      <c r="T39" s="443"/>
      <c r="U39" s="443"/>
      <c r="V39" s="443"/>
      <c r="W39" s="444"/>
    </row>
    <row r="40" spans="2:23" ht="22.9" customHeight="1">
      <c r="B40" s="48"/>
      <c r="C40" s="355" t="s">
        <v>122</v>
      </c>
      <c r="D40" s="72" t="s">
        <v>123</v>
      </c>
      <c r="E40" s="472">
        <v>-4473874.4000000004</v>
      </c>
      <c r="F40" s="472">
        <v>-4392774.3599999994</v>
      </c>
      <c r="G40" s="472">
        <v>-4354995.6206666669</v>
      </c>
      <c r="H40" s="50"/>
      <c r="J40" s="442"/>
      <c r="K40" s="443"/>
      <c r="L40" s="443"/>
      <c r="M40" s="443"/>
      <c r="N40" s="443"/>
      <c r="O40" s="443"/>
      <c r="P40" s="443"/>
      <c r="Q40" s="443"/>
      <c r="R40" s="443"/>
      <c r="S40" s="443"/>
      <c r="T40" s="443"/>
      <c r="U40" s="443"/>
      <c r="V40" s="443"/>
      <c r="W40" s="444"/>
    </row>
    <row r="41" spans="2:23" ht="22.9" customHeight="1">
      <c r="B41" s="48"/>
      <c r="C41" s="355" t="s">
        <v>124</v>
      </c>
      <c r="D41" s="72" t="s">
        <v>125</v>
      </c>
      <c r="E41" s="472">
        <v>275196.71999999997</v>
      </c>
      <c r="F41" s="472">
        <v>275196.7</v>
      </c>
      <c r="G41" s="472">
        <v>275196.7</v>
      </c>
      <c r="H41" s="50"/>
      <c r="J41" s="442"/>
      <c r="K41" s="443"/>
      <c r="L41" s="443"/>
      <c r="M41" s="443"/>
      <c r="N41" s="443"/>
      <c r="O41" s="443"/>
      <c r="P41" s="443"/>
      <c r="Q41" s="443"/>
      <c r="R41" s="443"/>
      <c r="S41" s="443"/>
      <c r="T41" s="443"/>
      <c r="U41" s="443"/>
      <c r="V41" s="443"/>
      <c r="W41" s="444"/>
    </row>
    <row r="42" spans="2:23" ht="22.9" customHeight="1">
      <c r="B42" s="48"/>
      <c r="C42" s="355" t="s">
        <v>126</v>
      </c>
      <c r="D42" s="72" t="s">
        <v>127</v>
      </c>
      <c r="E42" s="472">
        <v>0</v>
      </c>
      <c r="F42" s="472">
        <v>0</v>
      </c>
      <c r="G42" s="472">
        <v>0</v>
      </c>
      <c r="H42" s="50"/>
      <c r="J42" s="442"/>
      <c r="K42" s="443"/>
      <c r="L42" s="443"/>
      <c r="M42" s="443"/>
      <c r="N42" s="443"/>
      <c r="O42" s="443"/>
      <c r="P42" s="443"/>
      <c r="Q42" s="443"/>
      <c r="R42" s="443"/>
      <c r="S42" s="443"/>
      <c r="T42" s="443"/>
      <c r="U42" s="443"/>
      <c r="V42" s="443"/>
      <c r="W42" s="444"/>
    </row>
    <row r="43" spans="2:23" ht="22.9" customHeight="1">
      <c r="B43" s="48"/>
      <c r="C43" s="355" t="s">
        <v>128</v>
      </c>
      <c r="D43" s="72" t="s">
        <v>129</v>
      </c>
      <c r="E43" s="134">
        <f>SUM(E44:E46)</f>
        <v>-5986.64</v>
      </c>
      <c r="F43" s="134">
        <f t="shared" ref="F43:G43" si="4">SUM(F44:F46)</f>
        <v>-57329.23</v>
      </c>
      <c r="G43" s="134">
        <f t="shared" si="4"/>
        <v>-20583.349272441039</v>
      </c>
      <c r="H43" s="50"/>
      <c r="J43" s="442"/>
      <c r="K43" s="443"/>
      <c r="L43" s="443"/>
      <c r="M43" s="443"/>
      <c r="N43" s="443"/>
      <c r="O43" s="443"/>
      <c r="P43" s="443"/>
      <c r="Q43" s="443"/>
      <c r="R43" s="443"/>
      <c r="S43" s="443"/>
      <c r="T43" s="443"/>
      <c r="U43" s="443"/>
      <c r="V43" s="443"/>
      <c r="W43" s="444"/>
    </row>
    <row r="44" spans="2:23" ht="22.9" customHeight="1">
      <c r="B44" s="48"/>
      <c r="C44" s="357" t="s">
        <v>89</v>
      </c>
      <c r="D44" s="73" t="s">
        <v>130</v>
      </c>
      <c r="E44" s="470">
        <v>-5986.64</v>
      </c>
      <c r="F44" s="470">
        <v>-57329.23</v>
      </c>
      <c r="G44" s="470">
        <v>-20583.349272441039</v>
      </c>
      <c r="H44" s="50"/>
      <c r="J44" s="442"/>
      <c r="K44" s="443"/>
      <c r="L44" s="443"/>
      <c r="M44" s="443"/>
      <c r="N44" s="443"/>
      <c r="O44" s="443"/>
      <c r="P44" s="443"/>
      <c r="Q44" s="443"/>
      <c r="R44" s="443"/>
      <c r="S44" s="443"/>
      <c r="T44" s="443"/>
      <c r="U44" s="443"/>
      <c r="V44" s="443"/>
      <c r="W44" s="444"/>
    </row>
    <row r="45" spans="2:23" ht="22.9" customHeight="1">
      <c r="B45" s="48"/>
      <c r="C45" s="358" t="s">
        <v>91</v>
      </c>
      <c r="D45" s="74" t="s">
        <v>131</v>
      </c>
      <c r="E45" s="471">
        <v>0</v>
      </c>
      <c r="F45" s="471">
        <v>0</v>
      </c>
      <c r="G45" s="471">
        <v>0</v>
      </c>
      <c r="H45" s="50"/>
      <c r="J45" s="442"/>
      <c r="K45" s="443"/>
      <c r="L45" s="443"/>
      <c r="M45" s="443"/>
      <c r="N45" s="443"/>
      <c r="O45" s="443"/>
      <c r="P45" s="443"/>
      <c r="Q45" s="443"/>
      <c r="R45" s="443"/>
      <c r="S45" s="443"/>
      <c r="T45" s="443"/>
      <c r="U45" s="443"/>
      <c r="V45" s="443"/>
      <c r="W45" s="444"/>
    </row>
    <row r="46" spans="2:23" ht="22.9" customHeight="1">
      <c r="B46" s="48"/>
      <c r="C46" s="358" t="s">
        <v>93</v>
      </c>
      <c r="D46" s="74" t="s">
        <v>132</v>
      </c>
      <c r="E46" s="471">
        <v>0</v>
      </c>
      <c r="F46" s="471">
        <v>0</v>
      </c>
      <c r="G46" s="471">
        <v>0</v>
      </c>
      <c r="H46" s="50"/>
      <c r="J46" s="442"/>
      <c r="K46" s="443"/>
      <c r="L46" s="443"/>
      <c r="M46" s="443"/>
      <c r="N46" s="443"/>
      <c r="O46" s="443"/>
      <c r="P46" s="443"/>
      <c r="Q46" s="443"/>
      <c r="R46" s="443"/>
      <c r="S46" s="443"/>
      <c r="T46" s="443"/>
      <c r="U46" s="443"/>
      <c r="V46" s="443"/>
      <c r="W46" s="444"/>
    </row>
    <row r="47" spans="2:23" ht="22.9" customHeight="1">
      <c r="B47" s="48"/>
      <c r="C47" s="355" t="s">
        <v>133</v>
      </c>
      <c r="D47" s="72" t="s">
        <v>134</v>
      </c>
      <c r="E47" s="472">
        <v>0</v>
      </c>
      <c r="F47" s="472">
        <v>0</v>
      </c>
      <c r="G47" s="472">
        <v>0</v>
      </c>
      <c r="H47" s="50"/>
      <c r="J47" s="442"/>
      <c r="K47" s="443"/>
      <c r="L47" s="443"/>
      <c r="M47" s="443"/>
      <c r="N47" s="443"/>
      <c r="O47" s="443"/>
      <c r="P47" s="443"/>
      <c r="Q47" s="443"/>
      <c r="R47" s="443"/>
      <c r="S47" s="443"/>
      <c r="T47" s="443"/>
      <c r="U47" s="443"/>
      <c r="V47" s="443"/>
      <c r="W47" s="444"/>
    </row>
    <row r="48" spans="2:23" ht="22.9" customHeight="1">
      <c r="B48" s="48"/>
      <c r="C48" s="355" t="s">
        <v>135</v>
      </c>
      <c r="D48" s="72" t="s">
        <v>751</v>
      </c>
      <c r="E48" s="472">
        <v>10681.77</v>
      </c>
      <c r="F48" s="472">
        <v>-4211.2599999999993</v>
      </c>
      <c r="G48" s="472">
        <v>-1492478.88</v>
      </c>
      <c r="H48" s="50"/>
      <c r="J48" s="442"/>
      <c r="K48" s="443"/>
      <c r="L48" s="443"/>
      <c r="M48" s="443"/>
      <c r="N48" s="443"/>
      <c r="O48" s="443"/>
      <c r="P48" s="443"/>
      <c r="Q48" s="443"/>
      <c r="R48" s="443"/>
      <c r="S48" s="443"/>
      <c r="T48" s="443"/>
      <c r="U48" s="443"/>
      <c r="V48" s="443"/>
      <c r="W48" s="444"/>
    </row>
    <row r="49" spans="2:23" s="77" customFormat="1" ht="22.9" customHeight="1" thickBot="1">
      <c r="B49" s="24"/>
      <c r="C49" s="364" t="s">
        <v>136</v>
      </c>
      <c r="D49" s="85" t="s">
        <v>137</v>
      </c>
      <c r="E49" s="372">
        <f>E16+E20+E21+E22+E27+E30+E34+E40+E41+E42+E43+E47+E48</f>
        <v>5134063.5699999966</v>
      </c>
      <c r="F49" s="372">
        <f t="shared" ref="F49:G49" si="5">F16+F20+F21+F22+F27+F30+F34+F40+F41+F42+F43+F47+F48</f>
        <v>5066251.6826177379</v>
      </c>
      <c r="G49" s="372">
        <f t="shared" si="5"/>
        <v>5566536.8735888144</v>
      </c>
      <c r="H49" s="61"/>
      <c r="J49" s="442"/>
      <c r="K49" s="443"/>
      <c r="L49" s="443"/>
      <c r="M49" s="443"/>
      <c r="N49" s="443"/>
      <c r="O49" s="443"/>
      <c r="P49" s="443"/>
      <c r="Q49" s="443"/>
      <c r="R49" s="443"/>
      <c r="S49" s="443"/>
      <c r="T49" s="443"/>
      <c r="U49" s="443"/>
      <c r="V49" s="443"/>
      <c r="W49" s="444"/>
    </row>
    <row r="50" spans="2:23" ht="22.9" customHeight="1">
      <c r="B50" s="48"/>
      <c r="C50" s="365"/>
      <c r="D50" s="1"/>
      <c r="E50" s="132"/>
      <c r="F50" s="132"/>
      <c r="G50" s="132"/>
      <c r="H50" s="50"/>
      <c r="J50" s="442"/>
      <c r="K50" s="443"/>
      <c r="L50" s="443"/>
      <c r="M50" s="443"/>
      <c r="N50" s="443"/>
      <c r="O50" s="443"/>
      <c r="P50" s="443"/>
      <c r="Q50" s="443"/>
      <c r="R50" s="443"/>
      <c r="S50" s="443"/>
      <c r="T50" s="443"/>
      <c r="U50" s="443"/>
      <c r="V50" s="443"/>
      <c r="W50" s="444"/>
    </row>
    <row r="51" spans="2:23" ht="22.9" customHeight="1">
      <c r="B51" s="48"/>
      <c r="C51" s="355" t="s">
        <v>138</v>
      </c>
      <c r="D51" s="72" t="s">
        <v>139</v>
      </c>
      <c r="E51" s="134">
        <f>E52+E55+E58</f>
        <v>26360.84</v>
      </c>
      <c r="F51" s="134">
        <f t="shared" ref="F51:G51" si="6">F52+F55+F58</f>
        <v>0</v>
      </c>
      <c r="G51" s="134">
        <f t="shared" si="6"/>
        <v>0</v>
      </c>
      <c r="H51" s="50"/>
      <c r="J51" s="442"/>
      <c r="K51" s="443"/>
      <c r="L51" s="443"/>
      <c r="M51" s="443"/>
      <c r="N51" s="443"/>
      <c r="O51" s="443"/>
      <c r="P51" s="443"/>
      <c r="Q51" s="443"/>
      <c r="R51" s="443"/>
      <c r="S51" s="443"/>
      <c r="T51" s="443"/>
      <c r="U51" s="443"/>
      <c r="V51" s="443"/>
      <c r="W51" s="444"/>
    </row>
    <row r="52" spans="2:23" ht="22.9" customHeight="1">
      <c r="B52" s="48"/>
      <c r="C52" s="357" t="s">
        <v>89</v>
      </c>
      <c r="D52" s="73" t="s">
        <v>140</v>
      </c>
      <c r="E52" s="135">
        <f>SUM(E53:E54)</f>
        <v>0</v>
      </c>
      <c r="F52" s="135">
        <f t="shared" ref="F52:G52" si="7">SUM(F53:F54)</f>
        <v>0</v>
      </c>
      <c r="G52" s="135">
        <f t="shared" si="7"/>
        <v>0</v>
      </c>
      <c r="H52" s="50"/>
      <c r="J52" s="442"/>
      <c r="K52" s="443"/>
      <c r="L52" s="443"/>
      <c r="M52" s="443"/>
      <c r="N52" s="443"/>
      <c r="O52" s="443"/>
      <c r="P52" s="443"/>
      <c r="Q52" s="443"/>
      <c r="R52" s="443"/>
      <c r="S52" s="443"/>
      <c r="T52" s="443"/>
      <c r="U52" s="443"/>
      <c r="V52" s="443"/>
      <c r="W52" s="444"/>
    </row>
    <row r="53" spans="2:23" ht="22.9" customHeight="1">
      <c r="B53" s="48"/>
      <c r="C53" s="366" t="s">
        <v>141</v>
      </c>
      <c r="D53" s="80" t="s">
        <v>142</v>
      </c>
      <c r="E53" s="750">
        <v>0</v>
      </c>
      <c r="F53" s="750">
        <v>0</v>
      </c>
      <c r="G53" s="750">
        <v>0</v>
      </c>
      <c r="H53" s="50"/>
      <c r="J53" s="442"/>
      <c r="K53" s="443"/>
      <c r="L53" s="443"/>
      <c r="M53" s="443"/>
      <c r="N53" s="443"/>
      <c r="O53" s="443"/>
      <c r="P53" s="443"/>
      <c r="Q53" s="443"/>
      <c r="R53" s="443"/>
      <c r="S53" s="443"/>
      <c r="T53" s="443"/>
      <c r="U53" s="443"/>
      <c r="V53" s="443"/>
      <c r="W53" s="444"/>
    </row>
    <row r="54" spans="2:23" ht="22.9" customHeight="1">
      <c r="B54" s="48"/>
      <c r="C54" s="366" t="s">
        <v>143</v>
      </c>
      <c r="D54" s="80" t="s">
        <v>144</v>
      </c>
      <c r="E54" s="750">
        <v>0</v>
      </c>
      <c r="F54" s="750">
        <v>0</v>
      </c>
      <c r="G54" s="750">
        <v>0</v>
      </c>
      <c r="H54" s="50"/>
      <c r="J54" s="442"/>
      <c r="K54" s="443"/>
      <c r="L54" s="443"/>
      <c r="M54" s="443"/>
      <c r="N54" s="443"/>
      <c r="O54" s="443"/>
      <c r="P54" s="443"/>
      <c r="Q54" s="443"/>
      <c r="R54" s="443"/>
      <c r="S54" s="443"/>
      <c r="T54" s="443"/>
      <c r="U54" s="443"/>
      <c r="V54" s="443"/>
      <c r="W54" s="444"/>
    </row>
    <row r="55" spans="2:23" ht="22.9" customHeight="1">
      <c r="B55" s="48"/>
      <c r="C55" s="367" t="s">
        <v>91</v>
      </c>
      <c r="D55" s="75" t="s">
        <v>145</v>
      </c>
      <c r="E55" s="373">
        <f>SUM(E56:E57)</f>
        <v>26360.84</v>
      </c>
      <c r="F55" s="373">
        <f t="shared" ref="F55:G55" si="8">SUM(F56:F57)</f>
        <v>0</v>
      </c>
      <c r="G55" s="373">
        <f t="shared" si="8"/>
        <v>0</v>
      </c>
      <c r="H55" s="50"/>
      <c r="J55" s="442"/>
      <c r="K55" s="443"/>
      <c r="L55" s="443"/>
      <c r="M55" s="443"/>
      <c r="N55" s="443"/>
      <c r="O55" s="443"/>
      <c r="P55" s="443"/>
      <c r="Q55" s="443"/>
      <c r="R55" s="443"/>
      <c r="S55" s="443"/>
      <c r="T55" s="443"/>
      <c r="U55" s="443"/>
      <c r="V55" s="443"/>
      <c r="W55" s="444"/>
    </row>
    <row r="56" spans="2:23" ht="22.9" customHeight="1">
      <c r="B56" s="48"/>
      <c r="C56" s="366" t="s">
        <v>146</v>
      </c>
      <c r="D56" s="80" t="s">
        <v>147</v>
      </c>
      <c r="E56" s="750"/>
      <c r="F56" s="750">
        <v>0</v>
      </c>
      <c r="G56" s="750">
        <v>0</v>
      </c>
      <c r="H56" s="50"/>
      <c r="J56" s="442"/>
      <c r="K56" s="443"/>
      <c r="L56" s="443"/>
      <c r="M56" s="443"/>
      <c r="N56" s="443"/>
      <c r="O56" s="443"/>
      <c r="P56" s="443"/>
      <c r="Q56" s="443"/>
      <c r="R56" s="443"/>
      <c r="S56" s="443"/>
      <c r="T56" s="443"/>
      <c r="U56" s="443"/>
      <c r="V56" s="443"/>
      <c r="W56" s="444"/>
    </row>
    <row r="57" spans="2:23" ht="22.9" customHeight="1">
      <c r="B57" s="48"/>
      <c r="C57" s="366" t="s">
        <v>148</v>
      </c>
      <c r="D57" s="80" t="s">
        <v>149</v>
      </c>
      <c r="E57" s="750">
        <v>26360.84</v>
      </c>
      <c r="F57" s="750">
        <v>0</v>
      </c>
      <c r="G57" s="750">
        <v>0</v>
      </c>
      <c r="H57" s="50"/>
      <c r="J57" s="442"/>
      <c r="K57" s="443"/>
      <c r="L57" s="443"/>
      <c r="M57" s="443"/>
      <c r="N57" s="443"/>
      <c r="O57" s="443"/>
      <c r="P57" s="443"/>
      <c r="Q57" s="443"/>
      <c r="R57" s="443"/>
      <c r="S57" s="443"/>
      <c r="T57" s="443"/>
      <c r="U57" s="443"/>
      <c r="V57" s="443"/>
      <c r="W57" s="444"/>
    </row>
    <row r="58" spans="2:23" ht="22.9" customHeight="1">
      <c r="B58" s="48"/>
      <c r="C58" s="367" t="s">
        <v>93</v>
      </c>
      <c r="D58" s="75" t="s">
        <v>150</v>
      </c>
      <c r="E58" s="473">
        <v>0</v>
      </c>
      <c r="F58" s="473">
        <v>0</v>
      </c>
      <c r="G58" s="473">
        <v>0</v>
      </c>
      <c r="H58" s="50"/>
      <c r="J58" s="442"/>
      <c r="K58" s="443"/>
      <c r="L58" s="443"/>
      <c r="M58" s="443"/>
      <c r="N58" s="443"/>
      <c r="O58" s="443"/>
      <c r="P58" s="443"/>
      <c r="Q58" s="443"/>
      <c r="R58" s="443"/>
      <c r="S58" s="443"/>
      <c r="T58" s="443"/>
      <c r="U58" s="443"/>
      <c r="V58" s="443"/>
      <c r="W58" s="444"/>
    </row>
    <row r="59" spans="2:23" ht="22.9" customHeight="1">
      <c r="B59" s="48"/>
      <c r="C59" s="355" t="s">
        <v>151</v>
      </c>
      <c r="D59" s="72" t="s">
        <v>152</v>
      </c>
      <c r="E59" s="134">
        <f>SUM(E60:E62)</f>
        <v>-4768208.13</v>
      </c>
      <c r="F59" s="134">
        <f t="shared" ref="F59:G59" si="9">SUM(F60:F62)</f>
        <v>-4422889.8709765971</v>
      </c>
      <c r="G59" s="134">
        <f t="shared" si="9"/>
        <v>-4508675.3104829993</v>
      </c>
      <c r="H59" s="50"/>
      <c r="J59" s="442"/>
      <c r="K59" s="443"/>
      <c r="L59" s="443"/>
      <c r="M59" s="443"/>
      <c r="N59" s="443"/>
      <c r="O59" s="443"/>
      <c r="P59" s="443"/>
      <c r="Q59" s="443"/>
      <c r="R59" s="443"/>
      <c r="S59" s="443"/>
      <c r="T59" s="443"/>
      <c r="U59" s="443"/>
      <c r="V59" s="443"/>
      <c r="W59" s="444"/>
    </row>
    <row r="60" spans="2:23" ht="22.9" customHeight="1">
      <c r="B60" s="48"/>
      <c r="C60" s="367" t="s">
        <v>89</v>
      </c>
      <c r="D60" s="75" t="s">
        <v>153</v>
      </c>
      <c r="E60" s="473">
        <v>0</v>
      </c>
      <c r="F60" s="473">
        <v>0</v>
      </c>
      <c r="G60" s="473">
        <v>0</v>
      </c>
      <c r="H60" s="50"/>
      <c r="J60" s="442"/>
      <c r="K60" s="443"/>
      <c r="L60" s="443"/>
      <c r="M60" s="443"/>
      <c r="N60" s="443"/>
      <c r="O60" s="443"/>
      <c r="P60" s="443"/>
      <c r="Q60" s="443"/>
      <c r="R60" s="443"/>
      <c r="S60" s="443"/>
      <c r="T60" s="443"/>
      <c r="U60" s="443"/>
      <c r="V60" s="443"/>
      <c r="W60" s="444"/>
    </row>
    <row r="61" spans="2:23" ht="22.9" customHeight="1">
      <c r="B61" s="48"/>
      <c r="C61" s="367" t="s">
        <v>91</v>
      </c>
      <c r="D61" s="75" t="s">
        <v>154</v>
      </c>
      <c r="E61" s="473">
        <v>-4768208.13</v>
      </c>
      <c r="F61" s="473">
        <v>-4422889.8709765971</v>
      </c>
      <c r="G61" s="473">
        <v>-4508675.3104829993</v>
      </c>
      <c r="H61" s="50"/>
      <c r="J61" s="442"/>
      <c r="K61" s="443"/>
      <c r="L61" s="443"/>
      <c r="M61" s="443"/>
      <c r="N61" s="443"/>
      <c r="O61" s="443"/>
      <c r="P61" s="443"/>
      <c r="Q61" s="443"/>
      <c r="R61" s="443"/>
      <c r="S61" s="443"/>
      <c r="T61" s="443"/>
      <c r="U61" s="443"/>
      <c r="V61" s="443"/>
      <c r="W61" s="444"/>
    </row>
    <row r="62" spans="2:23" ht="22.9" customHeight="1">
      <c r="B62" s="48"/>
      <c r="C62" s="367" t="s">
        <v>93</v>
      </c>
      <c r="D62" s="75" t="s">
        <v>155</v>
      </c>
      <c r="E62" s="473">
        <v>0</v>
      </c>
      <c r="F62" s="473">
        <v>0</v>
      </c>
      <c r="G62" s="473">
        <v>0</v>
      </c>
      <c r="H62" s="50"/>
      <c r="J62" s="442"/>
      <c r="K62" s="443"/>
      <c r="L62" s="443"/>
      <c r="M62" s="443"/>
      <c r="N62" s="443"/>
      <c r="O62" s="443"/>
      <c r="P62" s="443"/>
      <c r="Q62" s="443"/>
      <c r="R62" s="443"/>
      <c r="S62" s="443"/>
      <c r="T62" s="443"/>
      <c r="U62" s="443"/>
      <c r="V62" s="443"/>
      <c r="W62" s="444"/>
    </row>
    <row r="63" spans="2:23" ht="22.9" customHeight="1">
      <c r="B63" s="48"/>
      <c r="C63" s="355" t="s">
        <v>156</v>
      </c>
      <c r="D63" s="72" t="s">
        <v>157</v>
      </c>
      <c r="E63" s="134">
        <f>SUM(E64:E65)</f>
        <v>0</v>
      </c>
      <c r="F63" s="134">
        <f t="shared" ref="F63:G63" si="10">SUM(F64:F65)</f>
        <v>0</v>
      </c>
      <c r="G63" s="134">
        <f t="shared" si="10"/>
        <v>0</v>
      </c>
      <c r="H63" s="50"/>
      <c r="J63" s="442"/>
      <c r="K63" s="443"/>
      <c r="L63" s="443"/>
      <c r="M63" s="443"/>
      <c r="N63" s="443"/>
      <c r="O63" s="443"/>
      <c r="P63" s="443"/>
      <c r="Q63" s="443"/>
      <c r="R63" s="443"/>
      <c r="S63" s="443"/>
      <c r="T63" s="443"/>
      <c r="U63" s="443"/>
      <c r="V63" s="443"/>
      <c r="W63" s="444"/>
    </row>
    <row r="64" spans="2:23" ht="22.9" customHeight="1">
      <c r="B64" s="48"/>
      <c r="C64" s="367" t="s">
        <v>89</v>
      </c>
      <c r="D64" s="75" t="s">
        <v>158</v>
      </c>
      <c r="E64" s="473">
        <v>0</v>
      </c>
      <c r="F64" s="473">
        <v>0</v>
      </c>
      <c r="G64" s="473">
        <v>0</v>
      </c>
      <c r="H64" s="50"/>
      <c r="J64" s="442"/>
      <c r="K64" s="443"/>
      <c r="L64" s="443"/>
      <c r="M64" s="443"/>
      <c r="N64" s="443"/>
      <c r="O64" s="443"/>
      <c r="P64" s="443"/>
      <c r="Q64" s="443"/>
      <c r="R64" s="443"/>
      <c r="S64" s="443"/>
      <c r="T64" s="443"/>
      <c r="U64" s="443"/>
      <c r="V64" s="443"/>
      <c r="W64" s="444"/>
    </row>
    <row r="65" spans="2:23" ht="22.9" customHeight="1">
      <c r="B65" s="48"/>
      <c r="C65" s="367" t="s">
        <v>91</v>
      </c>
      <c r="D65" s="75" t="s">
        <v>159</v>
      </c>
      <c r="E65" s="473">
        <v>0</v>
      </c>
      <c r="F65" s="473">
        <v>0</v>
      </c>
      <c r="G65" s="473">
        <v>0</v>
      </c>
      <c r="H65" s="50"/>
      <c r="J65" s="442"/>
      <c r="K65" s="443"/>
      <c r="L65" s="443"/>
      <c r="M65" s="443"/>
      <c r="N65" s="443"/>
      <c r="O65" s="443"/>
      <c r="P65" s="443"/>
      <c r="Q65" s="443"/>
      <c r="R65" s="443"/>
      <c r="S65" s="443"/>
      <c r="T65" s="443"/>
      <c r="U65" s="443"/>
      <c r="V65" s="443"/>
      <c r="W65" s="444"/>
    </row>
    <row r="66" spans="2:23" ht="22.9" customHeight="1">
      <c r="B66" s="48"/>
      <c r="C66" s="355" t="s">
        <v>160</v>
      </c>
      <c r="D66" s="72" t="s">
        <v>161</v>
      </c>
      <c r="E66" s="134">
        <v>0</v>
      </c>
      <c r="F66" s="134">
        <v>0</v>
      </c>
      <c r="G66" s="134">
        <v>0</v>
      </c>
      <c r="H66" s="50"/>
      <c r="J66" s="442"/>
      <c r="K66" s="443"/>
      <c r="L66" s="443"/>
      <c r="M66" s="443"/>
      <c r="N66" s="443"/>
      <c r="O66" s="443"/>
      <c r="P66" s="443"/>
      <c r="Q66" s="443"/>
      <c r="R66" s="443"/>
      <c r="S66" s="443"/>
      <c r="T66" s="443"/>
      <c r="U66" s="443"/>
      <c r="V66" s="443"/>
      <c r="W66" s="444"/>
    </row>
    <row r="67" spans="2:23" ht="22.9" customHeight="1">
      <c r="B67" s="48"/>
      <c r="C67" s="355" t="s">
        <v>162</v>
      </c>
      <c r="D67" s="72" t="s">
        <v>163</v>
      </c>
      <c r="E67" s="134">
        <f>SUM(E68:E69)</f>
        <v>0</v>
      </c>
      <c r="F67" s="134">
        <f t="shared" ref="F67:G67" si="11">SUM(F68:F69)</f>
        <v>0</v>
      </c>
      <c r="G67" s="134">
        <f t="shared" si="11"/>
        <v>0</v>
      </c>
      <c r="H67" s="50"/>
      <c r="J67" s="442"/>
      <c r="K67" s="443"/>
      <c r="L67" s="443"/>
      <c r="M67" s="443"/>
      <c r="N67" s="443"/>
      <c r="O67" s="443"/>
      <c r="P67" s="443"/>
      <c r="Q67" s="443"/>
      <c r="R67" s="443"/>
      <c r="S67" s="443"/>
      <c r="T67" s="443"/>
      <c r="U67" s="443"/>
      <c r="V67" s="443"/>
      <c r="W67" s="444"/>
    </row>
    <row r="68" spans="2:23" ht="22.9" customHeight="1">
      <c r="B68" s="48"/>
      <c r="C68" s="367" t="s">
        <v>89</v>
      </c>
      <c r="D68" s="75" t="s">
        <v>164</v>
      </c>
      <c r="E68" s="473">
        <v>0</v>
      </c>
      <c r="F68" s="473">
        <v>0</v>
      </c>
      <c r="G68" s="473">
        <v>0</v>
      </c>
      <c r="H68" s="50"/>
      <c r="J68" s="442"/>
      <c r="K68" s="443"/>
      <c r="L68" s="443"/>
      <c r="M68" s="443"/>
      <c r="N68" s="443"/>
      <c r="O68" s="443"/>
      <c r="P68" s="443"/>
      <c r="Q68" s="443"/>
      <c r="R68" s="443"/>
      <c r="S68" s="443"/>
      <c r="T68" s="443"/>
      <c r="U68" s="443"/>
      <c r="V68" s="443"/>
      <c r="W68" s="444"/>
    </row>
    <row r="69" spans="2:23" ht="22.9" customHeight="1">
      <c r="B69" s="48"/>
      <c r="C69" s="367" t="s">
        <v>91</v>
      </c>
      <c r="D69" s="75" t="s">
        <v>131</v>
      </c>
      <c r="E69" s="473">
        <v>0</v>
      </c>
      <c r="F69" s="473">
        <v>0</v>
      </c>
      <c r="G69" s="473">
        <v>0</v>
      </c>
      <c r="H69" s="50"/>
      <c r="J69" s="442"/>
      <c r="K69" s="443"/>
      <c r="L69" s="443"/>
      <c r="M69" s="443"/>
      <c r="N69" s="443"/>
      <c r="O69" s="443"/>
      <c r="P69" s="443"/>
      <c r="Q69" s="443"/>
      <c r="R69" s="443"/>
      <c r="S69" s="443"/>
      <c r="T69" s="443"/>
      <c r="U69" s="443"/>
      <c r="V69" s="443"/>
      <c r="W69" s="444"/>
    </row>
    <row r="70" spans="2:23" ht="22.9" customHeight="1">
      <c r="B70" s="48"/>
      <c r="C70" s="355" t="s">
        <v>165</v>
      </c>
      <c r="D70" s="72" t="s">
        <v>166</v>
      </c>
      <c r="E70" s="134">
        <f>SUM(E71:E73)</f>
        <v>0</v>
      </c>
      <c r="F70" s="134">
        <f t="shared" ref="F70:G70" si="12">SUM(F71:F73)</f>
        <v>0</v>
      </c>
      <c r="G70" s="134">
        <f t="shared" si="12"/>
        <v>0</v>
      </c>
      <c r="H70" s="50"/>
      <c r="J70" s="442"/>
      <c r="K70" s="443"/>
      <c r="L70" s="443"/>
      <c r="M70" s="443"/>
      <c r="N70" s="443"/>
      <c r="O70" s="443"/>
      <c r="P70" s="443"/>
      <c r="Q70" s="443"/>
      <c r="R70" s="443"/>
      <c r="S70" s="443"/>
      <c r="T70" s="443"/>
      <c r="U70" s="443"/>
      <c r="V70" s="443"/>
      <c r="W70" s="444"/>
    </row>
    <row r="71" spans="2:23" ht="22.9" customHeight="1">
      <c r="B71" s="48"/>
      <c r="C71" s="367" t="s">
        <v>89</v>
      </c>
      <c r="D71" s="75" t="s">
        <v>167</v>
      </c>
      <c r="E71" s="473">
        <v>0</v>
      </c>
      <c r="F71" s="473">
        <v>0</v>
      </c>
      <c r="G71" s="473">
        <v>0</v>
      </c>
      <c r="H71" s="50"/>
      <c r="J71" s="442"/>
      <c r="K71" s="443"/>
      <c r="L71" s="443"/>
      <c r="M71" s="443"/>
      <c r="N71" s="443"/>
      <c r="O71" s="443"/>
      <c r="P71" s="443"/>
      <c r="Q71" s="443"/>
      <c r="R71" s="443"/>
      <c r="S71" s="443"/>
      <c r="T71" s="443"/>
      <c r="U71" s="443"/>
      <c r="V71" s="443"/>
      <c r="W71" s="444"/>
    </row>
    <row r="72" spans="2:23" ht="22.9" customHeight="1">
      <c r="B72" s="48"/>
      <c r="C72" s="367" t="s">
        <v>91</v>
      </c>
      <c r="D72" s="75" t="s">
        <v>168</v>
      </c>
      <c r="E72" s="473">
        <v>0</v>
      </c>
      <c r="F72" s="473">
        <v>0</v>
      </c>
      <c r="G72" s="473">
        <v>0</v>
      </c>
      <c r="H72" s="50"/>
      <c r="J72" s="442"/>
      <c r="K72" s="443"/>
      <c r="L72" s="443"/>
      <c r="M72" s="443"/>
      <c r="N72" s="443"/>
      <c r="O72" s="443"/>
      <c r="P72" s="443"/>
      <c r="Q72" s="443"/>
      <c r="R72" s="443"/>
      <c r="S72" s="443"/>
      <c r="T72" s="443"/>
      <c r="U72" s="443"/>
      <c r="V72" s="443"/>
      <c r="W72" s="444"/>
    </row>
    <row r="73" spans="2:23" ht="22.9" customHeight="1">
      <c r="B73" s="48"/>
      <c r="C73" s="367" t="s">
        <v>93</v>
      </c>
      <c r="D73" s="75" t="s">
        <v>169</v>
      </c>
      <c r="E73" s="473">
        <v>0</v>
      </c>
      <c r="F73" s="473">
        <v>0</v>
      </c>
      <c r="G73" s="473">
        <v>0</v>
      </c>
      <c r="H73" s="50"/>
      <c r="J73" s="442"/>
      <c r="K73" s="443"/>
      <c r="L73" s="443"/>
      <c r="M73" s="443"/>
      <c r="N73" s="443"/>
      <c r="O73" s="443"/>
      <c r="P73" s="443"/>
      <c r="Q73" s="443"/>
      <c r="R73" s="443"/>
      <c r="S73" s="443"/>
      <c r="T73" s="443"/>
      <c r="U73" s="443"/>
      <c r="V73" s="443"/>
      <c r="W73" s="444"/>
    </row>
    <row r="74" spans="2:23" s="77" customFormat="1" ht="22.9" customHeight="1" thickBot="1">
      <c r="B74" s="24"/>
      <c r="C74" s="368" t="s">
        <v>170</v>
      </c>
      <c r="D74" s="76" t="s">
        <v>171</v>
      </c>
      <c r="E74" s="372">
        <f>E51+E59+E63+E67+E70</f>
        <v>-4741847.29</v>
      </c>
      <c r="F74" s="372">
        <f t="shared" ref="F74:G74" si="13">F51+F59+F63+F67+F70</f>
        <v>-4422889.8709765971</v>
      </c>
      <c r="G74" s="372">
        <f t="shared" si="13"/>
        <v>-4508675.3104829993</v>
      </c>
      <c r="H74" s="61"/>
      <c r="J74" s="442"/>
      <c r="K74" s="443"/>
      <c r="L74" s="443"/>
      <c r="M74" s="443"/>
      <c r="N74" s="443"/>
      <c r="O74" s="443"/>
      <c r="P74" s="443"/>
      <c r="Q74" s="443"/>
      <c r="R74" s="443"/>
      <c r="S74" s="443"/>
      <c r="T74" s="443"/>
      <c r="U74" s="443"/>
      <c r="V74" s="443"/>
      <c r="W74" s="444"/>
    </row>
    <row r="75" spans="2:23" ht="22.9" customHeight="1">
      <c r="B75" s="48"/>
      <c r="C75" s="369"/>
      <c r="D75" s="79"/>
      <c r="E75" s="374"/>
      <c r="F75" s="374"/>
      <c r="G75" s="374"/>
      <c r="H75" s="50"/>
      <c r="J75" s="442"/>
      <c r="K75" s="443"/>
      <c r="L75" s="443"/>
      <c r="M75" s="443"/>
      <c r="N75" s="443"/>
      <c r="O75" s="443"/>
      <c r="P75" s="443"/>
      <c r="Q75" s="443"/>
      <c r="R75" s="443"/>
      <c r="S75" s="443"/>
      <c r="T75" s="443"/>
      <c r="U75" s="443"/>
      <c r="V75" s="443"/>
      <c r="W75" s="444"/>
    </row>
    <row r="76" spans="2:23" s="77" customFormat="1" ht="22.9" customHeight="1" thickBot="1">
      <c r="B76" s="24"/>
      <c r="C76" s="370" t="s">
        <v>172</v>
      </c>
      <c r="D76" s="78" t="s">
        <v>173</v>
      </c>
      <c r="E76" s="375">
        <f>E74+E49</f>
        <v>392216.27999999654</v>
      </c>
      <c r="F76" s="375">
        <f t="shared" ref="F76:G76" si="14">F74+F49</f>
        <v>643361.81164114084</v>
      </c>
      <c r="G76" s="375">
        <f t="shared" si="14"/>
        <v>1057861.5631058151</v>
      </c>
      <c r="H76" s="61"/>
      <c r="J76" s="442"/>
      <c r="K76" s="443"/>
      <c r="L76" s="443"/>
      <c r="M76" s="443"/>
      <c r="N76" s="443"/>
      <c r="O76" s="443"/>
      <c r="P76" s="443"/>
      <c r="Q76" s="443"/>
      <c r="R76" s="443"/>
      <c r="S76" s="443"/>
      <c r="T76" s="443"/>
      <c r="U76" s="443"/>
      <c r="V76" s="443"/>
      <c r="W76" s="444"/>
    </row>
    <row r="77" spans="2:23" ht="22.9" customHeight="1">
      <c r="B77" s="48"/>
      <c r="C77" s="355" t="s">
        <v>174</v>
      </c>
      <c r="D77" s="72" t="s">
        <v>175</v>
      </c>
      <c r="E77" s="472">
        <v>-27285.79</v>
      </c>
      <c r="F77" s="472">
        <v>-193641.58908324136</v>
      </c>
      <c r="G77" s="472">
        <v>-172346.17389841273</v>
      </c>
      <c r="H77" s="50"/>
      <c r="J77" s="442"/>
      <c r="K77" s="443"/>
      <c r="L77" s="443"/>
      <c r="M77" s="443"/>
      <c r="N77" s="443"/>
      <c r="O77" s="443"/>
      <c r="P77" s="443"/>
      <c r="Q77" s="443"/>
      <c r="R77" s="443"/>
      <c r="S77" s="443"/>
      <c r="T77" s="443"/>
      <c r="U77" s="443"/>
      <c r="V77" s="443"/>
      <c r="W77" s="444"/>
    </row>
    <row r="78" spans="2:23" ht="22.9" customHeight="1">
      <c r="B78" s="48"/>
      <c r="C78" s="360"/>
      <c r="D78" s="64"/>
      <c r="E78" s="132"/>
      <c r="F78" s="132"/>
      <c r="G78" s="132"/>
      <c r="H78" s="50"/>
      <c r="J78" s="442"/>
      <c r="K78" s="443"/>
      <c r="L78" s="443"/>
      <c r="M78" s="443"/>
      <c r="N78" s="443"/>
      <c r="O78" s="443"/>
      <c r="P78" s="443"/>
      <c r="Q78" s="443"/>
      <c r="R78" s="443"/>
      <c r="S78" s="443"/>
      <c r="T78" s="443"/>
      <c r="U78" s="443"/>
      <c r="V78" s="443"/>
      <c r="W78" s="444"/>
    </row>
    <row r="79" spans="2:23" s="77" customFormat="1" ht="22.9" customHeight="1" thickBot="1">
      <c r="B79" s="24"/>
      <c r="C79" s="370" t="s">
        <v>176</v>
      </c>
      <c r="D79" s="78" t="s">
        <v>186</v>
      </c>
      <c r="E79" s="375">
        <f>E76+E77</f>
        <v>364930.48999999656</v>
      </c>
      <c r="F79" s="375">
        <f t="shared" ref="F79:G79" si="15">F76+F77</f>
        <v>449720.22255789948</v>
      </c>
      <c r="G79" s="375">
        <f t="shared" si="15"/>
        <v>885515.38920740236</v>
      </c>
      <c r="H79" s="61"/>
      <c r="J79" s="442"/>
      <c r="K79" s="443"/>
      <c r="L79" s="443"/>
      <c r="M79" s="443"/>
      <c r="N79" s="443"/>
      <c r="O79" s="443"/>
      <c r="P79" s="443"/>
      <c r="Q79" s="443"/>
      <c r="R79" s="443"/>
      <c r="S79" s="443"/>
      <c r="T79" s="443"/>
      <c r="U79" s="443"/>
      <c r="V79" s="443"/>
      <c r="W79" s="444"/>
    </row>
    <row r="80" spans="2:23" ht="22.9" customHeight="1">
      <c r="B80" s="48"/>
      <c r="C80" s="360"/>
      <c r="D80" s="64"/>
      <c r="E80" s="132"/>
      <c r="F80" s="132"/>
      <c r="G80" s="132"/>
      <c r="H80" s="50"/>
      <c r="J80" s="442"/>
      <c r="K80" s="443"/>
      <c r="L80" s="443"/>
      <c r="M80" s="443"/>
      <c r="N80" s="443"/>
      <c r="O80" s="443"/>
      <c r="P80" s="443"/>
      <c r="Q80" s="443"/>
      <c r="R80" s="443"/>
      <c r="S80" s="443"/>
      <c r="T80" s="443"/>
      <c r="U80" s="443"/>
      <c r="V80" s="443"/>
      <c r="W80" s="444"/>
    </row>
    <row r="81" spans="2:23" ht="22.9" customHeight="1">
      <c r="B81" s="48"/>
      <c r="C81" s="351" t="s">
        <v>177</v>
      </c>
      <c r="D81" s="88" t="s">
        <v>178</v>
      </c>
      <c r="E81" s="132"/>
      <c r="F81" s="132"/>
      <c r="G81" s="132"/>
      <c r="H81" s="50"/>
      <c r="J81" s="442"/>
      <c r="K81" s="443"/>
      <c r="L81" s="443"/>
      <c r="M81" s="443"/>
      <c r="N81" s="443"/>
      <c r="O81" s="443"/>
      <c r="P81" s="443"/>
      <c r="Q81" s="443"/>
      <c r="R81" s="443"/>
      <c r="S81" s="443"/>
      <c r="T81" s="443"/>
      <c r="U81" s="443"/>
      <c r="V81" s="443"/>
      <c r="W81" s="444"/>
    </row>
    <row r="82" spans="2:23" ht="22.9" customHeight="1">
      <c r="B82" s="48"/>
      <c r="C82" s="355" t="s">
        <v>179</v>
      </c>
      <c r="D82" s="72" t="s">
        <v>180</v>
      </c>
      <c r="E82" s="472"/>
      <c r="F82" s="472"/>
      <c r="G82" s="472"/>
      <c r="H82" s="50"/>
      <c r="J82" s="442"/>
      <c r="K82" s="443"/>
      <c r="L82" s="443"/>
      <c r="M82" s="443"/>
      <c r="N82" s="443"/>
      <c r="O82" s="443"/>
      <c r="P82" s="443"/>
      <c r="Q82" s="443"/>
      <c r="R82" s="443"/>
      <c r="S82" s="443"/>
      <c r="T82" s="443"/>
      <c r="U82" s="443"/>
      <c r="V82" s="443"/>
      <c r="W82" s="444"/>
    </row>
    <row r="83" spans="2:23" ht="22.9" customHeight="1">
      <c r="B83" s="48"/>
      <c r="C83" s="360"/>
      <c r="D83" s="64"/>
      <c r="E83" s="132"/>
      <c r="F83" s="132"/>
      <c r="G83" s="132"/>
      <c r="H83" s="50"/>
      <c r="J83" s="442"/>
      <c r="K83" s="443"/>
      <c r="L83" s="443"/>
      <c r="M83" s="443"/>
      <c r="N83" s="443"/>
      <c r="O83" s="443"/>
      <c r="P83" s="443"/>
      <c r="Q83" s="443"/>
      <c r="R83" s="443"/>
      <c r="S83" s="443"/>
      <c r="T83" s="443"/>
      <c r="U83" s="443"/>
      <c r="V83" s="443"/>
      <c r="W83" s="444"/>
    </row>
    <row r="84" spans="2:23" s="77" customFormat="1" ht="22.9" customHeight="1" thickBot="1">
      <c r="B84" s="24"/>
      <c r="C84" s="371" t="s">
        <v>181</v>
      </c>
      <c r="D84" s="81" t="s">
        <v>182</v>
      </c>
      <c r="E84" s="138">
        <f>E79+E82</f>
        <v>364930.48999999656</v>
      </c>
      <c r="F84" s="138">
        <f t="shared" ref="F84:G84" si="16">F79+F82</f>
        <v>449720.22255789948</v>
      </c>
      <c r="G84" s="138">
        <f t="shared" si="16"/>
        <v>885515.38920740236</v>
      </c>
      <c r="H84" s="61"/>
      <c r="J84" s="442"/>
      <c r="K84" s="443"/>
      <c r="L84" s="443"/>
      <c r="M84" s="443"/>
      <c r="N84" s="443"/>
      <c r="O84" s="443"/>
      <c r="P84" s="443"/>
      <c r="Q84" s="443"/>
      <c r="R84" s="443"/>
      <c r="S84" s="443"/>
      <c r="T84" s="443"/>
      <c r="U84" s="443"/>
      <c r="V84" s="443"/>
      <c r="W84" s="444"/>
    </row>
    <row r="85" spans="2:23" ht="22.9" customHeight="1">
      <c r="B85" s="48"/>
      <c r="C85" s="44"/>
      <c r="D85" s="44"/>
      <c r="E85" s="44"/>
      <c r="F85" s="44"/>
      <c r="G85" s="44"/>
      <c r="H85" s="50"/>
      <c r="J85" s="442"/>
      <c r="K85" s="443"/>
      <c r="L85" s="443"/>
      <c r="M85" s="443"/>
      <c r="N85" s="443"/>
      <c r="O85" s="443"/>
      <c r="P85" s="443"/>
      <c r="Q85" s="443"/>
      <c r="R85" s="443"/>
      <c r="S85" s="443"/>
      <c r="T85" s="443"/>
      <c r="U85" s="443"/>
      <c r="V85" s="443"/>
      <c r="W85" s="444"/>
    </row>
    <row r="86" spans="2:23" ht="22.9" customHeight="1" thickBot="1">
      <c r="B86" s="52"/>
      <c r="C86" s="1128"/>
      <c r="D86" s="1128"/>
      <c r="E86" s="1128"/>
      <c r="F86" s="1128"/>
      <c r="G86" s="54"/>
      <c r="H86" s="55"/>
      <c r="J86" s="445"/>
      <c r="K86" s="446"/>
      <c r="L86" s="446"/>
      <c r="M86" s="446"/>
      <c r="N86" s="446"/>
      <c r="O86" s="446"/>
      <c r="P86" s="446"/>
      <c r="Q86" s="446"/>
      <c r="R86" s="446"/>
      <c r="S86" s="446"/>
      <c r="T86" s="446"/>
      <c r="U86" s="446"/>
      <c r="V86" s="446"/>
      <c r="W86" s="447"/>
    </row>
    <row r="87" spans="2:23" ht="22.9" customHeight="1">
      <c r="C87" s="44"/>
      <c r="D87" s="44"/>
      <c r="E87" s="44"/>
      <c r="F87" s="44"/>
      <c r="G87" s="44"/>
    </row>
    <row r="88" spans="2:23" ht="12.75">
      <c r="C88" s="37" t="s">
        <v>77</v>
      </c>
      <c r="D88" s="44"/>
      <c r="E88" s="44"/>
      <c r="F88" s="44"/>
      <c r="G88" s="41" t="s">
        <v>41</v>
      </c>
    </row>
    <row r="89" spans="2:23" ht="12.75">
      <c r="C89" s="38" t="s">
        <v>78</v>
      </c>
      <c r="D89" s="44"/>
      <c r="E89" s="44"/>
      <c r="F89" s="44"/>
      <c r="G89" s="44"/>
    </row>
    <row r="90" spans="2:23" ht="12.75">
      <c r="C90" s="38" t="s">
        <v>79</v>
      </c>
      <c r="D90" s="44"/>
      <c r="E90" s="44"/>
      <c r="F90" s="44"/>
      <c r="G90" s="44"/>
    </row>
    <row r="91" spans="2:23" ht="12.75">
      <c r="C91" s="38" t="s">
        <v>80</v>
      </c>
      <c r="D91" s="44"/>
      <c r="E91" s="44"/>
      <c r="F91" s="44"/>
      <c r="G91" s="44"/>
    </row>
    <row r="92" spans="2:23" ht="12.75">
      <c r="C92" s="38" t="s">
        <v>81</v>
      </c>
      <c r="D92" s="44"/>
      <c r="E92" s="44"/>
      <c r="F92" s="44"/>
      <c r="G92" s="44"/>
    </row>
    <row r="93" spans="2:23" ht="22.9" customHeight="1">
      <c r="C93" s="44"/>
      <c r="D93" s="44"/>
      <c r="E93" s="44"/>
      <c r="F93" s="44"/>
      <c r="G93" s="44"/>
    </row>
    <row r="94" spans="2:23" ht="22.9" customHeight="1">
      <c r="C94" s="44"/>
      <c r="D94" s="44"/>
      <c r="E94" s="44"/>
      <c r="F94" s="44"/>
      <c r="G94" s="44"/>
    </row>
    <row r="95" spans="2:23" ht="22.9" customHeight="1">
      <c r="C95" s="44"/>
      <c r="D95" s="44"/>
      <c r="E95" s="44"/>
      <c r="F95" s="44"/>
      <c r="G95" s="44"/>
    </row>
    <row r="96" spans="2:23" ht="22.9" customHeight="1">
      <c r="C96" s="44"/>
      <c r="D96" s="44"/>
      <c r="E96" s="44"/>
      <c r="F96" s="44"/>
      <c r="G96" s="44"/>
    </row>
    <row r="97" spans="6:7" ht="22.9" customHeight="1">
      <c r="F97" s="44"/>
      <c r="G97" s="44"/>
    </row>
  </sheetData>
  <sheetProtection password="E059" sheet="1" objects="1" scenarios="1"/>
  <mergeCells count="3">
    <mergeCell ref="C86:F86"/>
    <mergeCell ref="G6:G7"/>
    <mergeCell ref="D9:G9"/>
  </mergeCells>
  <phoneticPr fontId="22" type="noConversion"/>
  <printOptions horizontalCentered="1" verticalCentered="1"/>
  <pageMargins left="0.35629921259842523" right="0.35629921259842523" top="0.60629921259842523" bottom="0.60629921259842523" header="0.5" footer="0.5"/>
  <pageSetup paperSize="9" scale="37" orientation="portrait" horizontalDpi="4294967292" verticalDpi="4294967292"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AC105"/>
  <sheetViews>
    <sheetView tabSelected="1" topLeftCell="J1" zoomScale="80" zoomScaleNormal="80" zoomScalePageLayoutView="70" workbookViewId="0">
      <selection activeCell="T12" sqref="T12"/>
    </sheetView>
  </sheetViews>
  <sheetFormatPr baseColWidth="10" defaultColWidth="10.77734375" defaultRowHeight="22.9" customHeight="1"/>
  <cols>
    <col min="1" max="2" width="3.21875" style="651" customWidth="1"/>
    <col min="3" max="3" width="13.5546875" style="651" customWidth="1"/>
    <col min="4" max="4" width="42.44140625" style="651" customWidth="1"/>
    <col min="5" max="6" width="15.77734375" style="653" customWidth="1"/>
    <col min="7" max="7" width="31" style="653" customWidth="1"/>
    <col min="8" max="8" width="15.5546875" style="653" customWidth="1"/>
    <col min="9" max="9" width="16.77734375" style="653" customWidth="1"/>
    <col min="10" max="10" width="30.5546875" style="653" customWidth="1"/>
    <col min="11" max="12" width="15.77734375" style="653" customWidth="1"/>
    <col min="13" max="13" width="27.21875" style="653" customWidth="1"/>
    <col min="14" max="14" width="3.21875" style="651" customWidth="1"/>
    <col min="15" max="16384" width="10.77734375" style="651"/>
  </cols>
  <sheetData>
    <row r="2" spans="2:29" ht="22.9" customHeight="1">
      <c r="D2" s="652" t="s">
        <v>379</v>
      </c>
    </row>
    <row r="3" spans="2:29" ht="22.9" customHeight="1">
      <c r="D3" s="652" t="s">
        <v>380</v>
      </c>
    </row>
    <row r="4" spans="2:29" ht="22.9" customHeight="1" thickBot="1"/>
    <row r="5" spans="2:29" ht="9" customHeight="1">
      <c r="B5" s="654"/>
      <c r="C5" s="655"/>
      <c r="D5" s="655"/>
      <c r="E5" s="656"/>
      <c r="F5" s="656"/>
      <c r="G5" s="656"/>
      <c r="H5" s="656"/>
      <c r="I5" s="656"/>
      <c r="J5" s="656"/>
      <c r="K5" s="656"/>
      <c r="L5" s="656"/>
      <c r="M5" s="656"/>
      <c r="N5" s="657"/>
      <c r="P5" s="426"/>
      <c r="Q5" s="427"/>
      <c r="R5" s="427"/>
      <c r="S5" s="427"/>
      <c r="T5" s="427"/>
      <c r="U5" s="427"/>
      <c r="V5" s="427"/>
      <c r="W5" s="427"/>
      <c r="X5" s="427"/>
      <c r="Y5" s="427"/>
      <c r="Z5" s="427"/>
      <c r="AA5" s="427"/>
      <c r="AB5" s="427"/>
      <c r="AC5" s="428"/>
    </row>
    <row r="6" spans="2:29" ht="30" customHeight="1">
      <c r="B6" s="658"/>
      <c r="C6" s="659" t="s">
        <v>0</v>
      </c>
      <c r="D6" s="660"/>
      <c r="E6" s="661"/>
      <c r="F6" s="661"/>
      <c r="G6" s="661"/>
      <c r="H6" s="661"/>
      <c r="I6" s="661"/>
      <c r="J6" s="661"/>
      <c r="K6" s="661"/>
      <c r="L6" s="661"/>
      <c r="M6" s="1111">
        <f>ejercicio</f>
        <v>2018</v>
      </c>
      <c r="N6" s="662"/>
      <c r="P6" s="429"/>
      <c r="Q6" s="430" t="s">
        <v>707</v>
      </c>
      <c r="R6" s="431"/>
      <c r="S6" s="431"/>
      <c r="T6" s="431"/>
      <c r="U6" s="431"/>
      <c r="V6" s="431"/>
      <c r="W6" s="431"/>
      <c r="X6" s="431"/>
      <c r="Y6" s="431"/>
      <c r="Z6" s="431"/>
      <c r="AA6" s="431"/>
      <c r="AB6" s="431"/>
      <c r="AC6" s="432"/>
    </row>
    <row r="7" spans="2:29" ht="30" customHeight="1">
      <c r="B7" s="658"/>
      <c r="C7" s="659" t="s">
        <v>1</v>
      </c>
      <c r="D7" s="660"/>
      <c r="E7" s="661"/>
      <c r="F7" s="661"/>
      <c r="G7" s="661"/>
      <c r="H7" s="661"/>
      <c r="I7" s="661"/>
      <c r="J7" s="661"/>
      <c r="K7" s="661"/>
      <c r="L7" s="661"/>
      <c r="M7" s="1111"/>
      <c r="N7" s="663"/>
      <c r="P7" s="429"/>
      <c r="Q7" s="431"/>
      <c r="R7" s="431"/>
      <c r="S7" s="431"/>
      <c r="T7" s="431"/>
      <c r="U7" s="431"/>
      <c r="V7" s="431"/>
      <c r="W7" s="431"/>
      <c r="X7" s="431"/>
      <c r="Y7" s="431"/>
      <c r="Z7" s="431"/>
      <c r="AA7" s="431"/>
      <c r="AB7" s="431"/>
      <c r="AC7" s="432"/>
    </row>
    <row r="8" spans="2:29" ht="30" customHeight="1">
      <c r="B8" s="658"/>
      <c r="C8" s="664"/>
      <c r="D8" s="660"/>
      <c r="E8" s="661"/>
      <c r="F8" s="661"/>
      <c r="G8" s="661"/>
      <c r="H8" s="661"/>
      <c r="I8" s="661"/>
      <c r="J8" s="661"/>
      <c r="K8" s="661"/>
      <c r="L8" s="661"/>
      <c r="M8" s="661"/>
      <c r="N8" s="663"/>
      <c r="P8" s="429"/>
      <c r="Q8" s="431"/>
      <c r="R8" s="431"/>
      <c r="S8" s="431"/>
      <c r="T8" s="431"/>
      <c r="U8" s="431"/>
      <c r="V8" s="431"/>
      <c r="W8" s="431"/>
      <c r="X8" s="431"/>
      <c r="Y8" s="431"/>
      <c r="Z8" s="431"/>
      <c r="AA8" s="431"/>
      <c r="AB8" s="431"/>
      <c r="AC8" s="432"/>
    </row>
    <row r="9" spans="2:29" s="667" customFormat="1" ht="30" customHeight="1">
      <c r="B9" s="665"/>
      <c r="C9" s="666" t="s">
        <v>2</v>
      </c>
      <c r="D9" s="1113" t="str">
        <f>Entidad</f>
        <v>METROPOLITANO DE TENERIFE, S.A.</v>
      </c>
      <c r="E9" s="1113"/>
      <c r="F9" s="1113"/>
      <c r="G9" s="1113"/>
      <c r="H9" s="1113"/>
      <c r="I9" s="1113"/>
      <c r="J9" s="1113"/>
      <c r="K9" s="1113"/>
      <c r="L9" s="1113"/>
      <c r="M9" s="1113"/>
      <c r="N9" s="663"/>
      <c r="P9" s="433"/>
      <c r="Q9" s="431" t="s">
        <v>887</v>
      </c>
      <c r="R9" s="1039"/>
      <c r="S9" s="1039"/>
      <c r="T9" s="1039"/>
      <c r="U9" s="1039"/>
      <c r="V9" s="1039"/>
      <c r="W9" s="434"/>
      <c r="X9" s="434"/>
      <c r="Y9" s="434"/>
      <c r="Z9" s="434"/>
      <c r="AA9" s="434"/>
      <c r="AB9" s="434"/>
      <c r="AC9" s="435"/>
    </row>
    <row r="10" spans="2:29" ht="7.15" customHeight="1">
      <c r="B10" s="658"/>
      <c r="C10" s="660"/>
      <c r="D10" s="660"/>
      <c r="E10" s="661"/>
      <c r="F10" s="661"/>
      <c r="G10" s="661"/>
      <c r="H10" s="661"/>
      <c r="I10" s="661"/>
      <c r="J10" s="661"/>
      <c r="K10" s="661"/>
      <c r="L10" s="661"/>
      <c r="M10" s="661"/>
      <c r="N10" s="663"/>
      <c r="P10" s="429"/>
      <c r="Q10" s="431"/>
      <c r="R10" s="431"/>
      <c r="S10" s="431"/>
      <c r="T10" s="431"/>
      <c r="U10" s="431"/>
      <c r="V10" s="431"/>
      <c r="W10" s="431"/>
      <c r="X10" s="431"/>
      <c r="Y10" s="431"/>
      <c r="Z10" s="431"/>
      <c r="AA10" s="431"/>
      <c r="AB10" s="431"/>
      <c r="AC10" s="432"/>
    </row>
    <row r="11" spans="2:29" s="671" customFormat="1" ht="30" customHeight="1">
      <c r="B11" s="668"/>
      <c r="C11" s="669" t="s">
        <v>656</v>
      </c>
      <c r="D11" s="669"/>
      <c r="E11" s="670"/>
      <c r="F11" s="670"/>
      <c r="G11" s="670"/>
      <c r="H11" s="670"/>
      <c r="I11" s="670"/>
      <c r="J11" s="670"/>
      <c r="K11" s="670"/>
      <c r="L11" s="670"/>
      <c r="M11" s="670"/>
      <c r="N11" s="663"/>
      <c r="P11" s="436"/>
      <c r="Q11" s="440"/>
      <c r="R11" s="440"/>
      <c r="S11" s="440">
        <v>2016</v>
      </c>
      <c r="T11" s="440">
        <v>2017</v>
      </c>
      <c r="U11" s="440">
        <v>2018</v>
      </c>
      <c r="V11" s="440" t="s">
        <v>893</v>
      </c>
      <c r="W11" s="437"/>
      <c r="X11" s="437"/>
      <c r="Y11" s="437"/>
      <c r="Z11" s="437"/>
      <c r="AA11" s="437"/>
      <c r="AB11" s="437"/>
      <c r="AC11" s="438"/>
    </row>
    <row r="12" spans="2:29" s="671" customFormat="1" ht="30" customHeight="1">
      <c r="B12" s="668"/>
      <c r="C12" s="1136"/>
      <c r="D12" s="1136"/>
      <c r="E12" s="672"/>
      <c r="F12" s="672"/>
      <c r="G12" s="672"/>
      <c r="H12" s="672"/>
      <c r="I12" s="672"/>
      <c r="J12" s="672"/>
      <c r="K12" s="672"/>
      <c r="L12" s="672"/>
      <c r="M12" s="672"/>
      <c r="N12" s="663"/>
      <c r="P12" s="436"/>
      <c r="Q12" s="1040" t="s">
        <v>888</v>
      </c>
      <c r="R12" s="437"/>
      <c r="S12" s="1041">
        <v>16601663.640000001</v>
      </c>
      <c r="T12" s="1042">
        <v>17468290.53205977</v>
      </c>
      <c r="U12" s="1042">
        <v>17530531.655920029</v>
      </c>
      <c r="V12" s="1043">
        <v>0.03</v>
      </c>
      <c r="W12" s="437"/>
      <c r="X12" s="437"/>
      <c r="Y12" s="437"/>
      <c r="Z12" s="437"/>
      <c r="AA12" s="437"/>
      <c r="AB12" s="437"/>
      <c r="AC12" s="438"/>
    </row>
    <row r="13" spans="2:29" s="671" customFormat="1" ht="30" customHeight="1">
      <c r="B13" s="668"/>
      <c r="D13" s="673"/>
      <c r="E13" s="672"/>
      <c r="F13" s="672"/>
      <c r="G13" s="672"/>
      <c r="H13" s="672"/>
      <c r="I13" s="672"/>
      <c r="J13" s="672"/>
      <c r="K13" s="672"/>
      <c r="L13" s="672"/>
      <c r="M13" s="672"/>
      <c r="N13" s="663"/>
      <c r="P13" s="429"/>
      <c r="Q13" s="1040" t="s">
        <v>889</v>
      </c>
      <c r="R13" s="431"/>
      <c r="S13" s="1041">
        <v>159728.23000000001</v>
      </c>
      <c r="T13" s="1042">
        <v>157155.71999999997</v>
      </c>
      <c r="U13" s="1042">
        <v>159728.23000000001</v>
      </c>
      <c r="V13" s="1043">
        <v>0.03</v>
      </c>
      <c r="W13" s="431"/>
      <c r="X13" s="431"/>
      <c r="Y13" s="431"/>
      <c r="Z13" s="431"/>
      <c r="AA13" s="431"/>
      <c r="AB13" s="431"/>
      <c r="AC13" s="432"/>
    </row>
    <row r="14" spans="2:29" s="681" customFormat="1" ht="22.9" customHeight="1">
      <c r="B14" s="674"/>
      <c r="C14" s="675"/>
      <c r="D14" s="676"/>
      <c r="E14" s="677"/>
      <c r="F14" s="678" t="s">
        <v>183</v>
      </c>
      <c r="G14" s="679">
        <f>ejercicio-2</f>
        <v>2016</v>
      </c>
      <c r="H14" s="677"/>
      <c r="I14" s="680" t="s">
        <v>184</v>
      </c>
      <c r="J14" s="679">
        <f>ejercicio-1</f>
        <v>2017</v>
      </c>
      <c r="K14" s="677"/>
      <c r="L14" s="678" t="s">
        <v>185</v>
      </c>
      <c r="M14" s="679">
        <f>ejercicio</f>
        <v>2018</v>
      </c>
      <c r="N14" s="663"/>
      <c r="P14" s="429"/>
      <c r="Q14" s="1040" t="s">
        <v>890</v>
      </c>
      <c r="R14" s="431"/>
      <c r="S14" s="1041">
        <v>182625</v>
      </c>
      <c r="T14" s="1042">
        <v>212844.86</v>
      </c>
      <c r="U14" s="1042">
        <v>237000</v>
      </c>
      <c r="V14" s="1043">
        <v>7.0000000000000007E-2</v>
      </c>
      <c r="W14" s="431"/>
      <c r="X14" s="431"/>
      <c r="Y14" s="431"/>
      <c r="Z14" s="431"/>
      <c r="AA14" s="431"/>
      <c r="AB14" s="431"/>
      <c r="AC14" s="432"/>
    </row>
    <row r="15" spans="2:29" s="686" customFormat="1" ht="22.9" customHeight="1">
      <c r="B15" s="682"/>
      <c r="C15" s="683" t="s">
        <v>673</v>
      </c>
      <c r="D15" s="684"/>
      <c r="E15" s="685" t="s">
        <v>657</v>
      </c>
      <c r="F15" s="685" t="s">
        <v>658</v>
      </c>
      <c r="G15" s="685" t="s">
        <v>585</v>
      </c>
      <c r="H15" s="685" t="s">
        <v>657</v>
      </c>
      <c r="I15" s="685" t="s">
        <v>658</v>
      </c>
      <c r="J15" s="685" t="s">
        <v>585</v>
      </c>
      <c r="K15" s="685" t="s">
        <v>657</v>
      </c>
      <c r="L15" s="685" t="s">
        <v>658</v>
      </c>
      <c r="M15" s="685" t="s">
        <v>585</v>
      </c>
      <c r="N15" s="663"/>
      <c r="P15" s="429"/>
      <c r="Q15" s="1040" t="s">
        <v>891</v>
      </c>
      <c r="R15" s="431"/>
      <c r="S15" s="1041">
        <v>46172.74</v>
      </c>
      <c r="T15" s="1042">
        <v>62004.240000000005</v>
      </c>
      <c r="U15" s="1042">
        <v>117166.34261048427</v>
      </c>
      <c r="V15" s="1043">
        <v>7.0000000000000007E-2</v>
      </c>
      <c r="W15" s="431"/>
      <c r="X15" s="431"/>
      <c r="Y15" s="431"/>
      <c r="Z15" s="431"/>
      <c r="AA15" s="431"/>
      <c r="AB15" s="431"/>
      <c r="AC15" s="432"/>
    </row>
    <row r="16" spans="2:29" s="693" customFormat="1" ht="22.9" customHeight="1">
      <c r="B16" s="687"/>
      <c r="C16" s="688" t="s">
        <v>659</v>
      </c>
      <c r="D16" s="689"/>
      <c r="E16" s="690">
        <f>SUM(E17:E18)</f>
        <v>0</v>
      </c>
      <c r="F16" s="690">
        <f>SUM(F17:F18)</f>
        <v>0</v>
      </c>
      <c r="G16" s="691"/>
      <c r="H16" s="690">
        <f>SUM(H17:H18)</f>
        <v>0</v>
      </c>
      <c r="I16" s="690">
        <f>SUM(I17:I18)</f>
        <v>0</v>
      </c>
      <c r="J16" s="691"/>
      <c r="K16" s="690">
        <f>SUM(K17:K18)</f>
        <v>0</v>
      </c>
      <c r="L16" s="690">
        <f>SUM(L17:L18)</f>
        <v>0</v>
      </c>
      <c r="M16" s="692"/>
      <c r="N16" s="663"/>
      <c r="P16" s="429"/>
      <c r="Q16" s="1040" t="s">
        <v>892</v>
      </c>
      <c r="R16" s="431"/>
      <c r="S16" s="1041">
        <v>365175.64</v>
      </c>
      <c r="T16" s="1042">
        <v>377547.6404785894</v>
      </c>
      <c r="U16" s="1042">
        <v>663140.26047858945</v>
      </c>
      <c r="V16" s="1043">
        <v>0</v>
      </c>
      <c r="W16" s="431"/>
      <c r="X16" s="431"/>
      <c r="Y16" s="431"/>
      <c r="Z16" s="431"/>
      <c r="AA16" s="431"/>
      <c r="AB16" s="431"/>
      <c r="AC16" s="432"/>
    </row>
    <row r="17" spans="2:29" s="693" customFormat="1" ht="19.899999999999999" customHeight="1">
      <c r="B17" s="687"/>
      <c r="C17" s="901"/>
      <c r="D17" s="902" t="s">
        <v>660</v>
      </c>
      <c r="E17" s="501"/>
      <c r="F17" s="501"/>
      <c r="G17" s="903"/>
      <c r="H17" s="501"/>
      <c r="I17" s="501"/>
      <c r="J17" s="903"/>
      <c r="K17" s="501"/>
      <c r="L17" s="501"/>
      <c r="M17" s="904"/>
      <c r="N17" s="728"/>
      <c r="P17" s="439"/>
      <c r="Q17" s="440"/>
      <c r="R17" s="440"/>
      <c r="S17" s="440"/>
      <c r="T17" s="440"/>
      <c r="U17" s="440"/>
      <c r="V17" s="440"/>
      <c r="W17" s="440"/>
      <c r="X17" s="440"/>
      <c r="Y17" s="440"/>
      <c r="Z17" s="440"/>
      <c r="AA17" s="440"/>
      <c r="AB17" s="440"/>
      <c r="AC17" s="441"/>
    </row>
    <row r="18" spans="2:29" s="693" customFormat="1" ht="19.899999999999999" customHeight="1">
      <c r="B18" s="687"/>
      <c r="C18" s="905"/>
      <c r="D18" s="906" t="s">
        <v>661</v>
      </c>
      <c r="E18" s="509"/>
      <c r="F18" s="509"/>
      <c r="G18" s="907"/>
      <c r="H18" s="509"/>
      <c r="I18" s="509"/>
      <c r="J18" s="907"/>
      <c r="K18" s="509"/>
      <c r="L18" s="509"/>
      <c r="M18" s="908"/>
      <c r="N18" s="728"/>
      <c r="P18" s="439"/>
      <c r="Q18" s="440"/>
      <c r="R18" s="440"/>
      <c r="S18" s="440"/>
      <c r="T18" s="440"/>
      <c r="U18" s="440"/>
      <c r="V18" s="440"/>
      <c r="W18" s="440"/>
      <c r="X18" s="440"/>
      <c r="Y18" s="440"/>
      <c r="Z18" s="440"/>
      <c r="AA18" s="440"/>
      <c r="AB18" s="440"/>
      <c r="AC18" s="441"/>
    </row>
    <row r="19" spans="2:29" s="693" customFormat="1" ht="22.9" customHeight="1">
      <c r="B19" s="687"/>
      <c r="C19" s="688" t="s">
        <v>662</v>
      </c>
      <c r="D19" s="689"/>
      <c r="E19" s="690">
        <f>+E20+E25</f>
        <v>0</v>
      </c>
      <c r="F19" s="690">
        <f>+F20+F25</f>
        <v>0</v>
      </c>
      <c r="G19" s="691"/>
      <c r="H19" s="690">
        <f>+H20+H25</f>
        <v>0</v>
      </c>
      <c r="I19" s="690">
        <f>+I20+I25</f>
        <v>0</v>
      </c>
      <c r="J19" s="691"/>
      <c r="K19" s="690">
        <f>+K20+K25</f>
        <v>0</v>
      </c>
      <c r="L19" s="690">
        <f>+L20+L25</f>
        <v>0</v>
      </c>
      <c r="M19" s="692"/>
      <c r="N19" s="663"/>
      <c r="P19" s="429"/>
      <c r="Q19" s="431" t="s">
        <v>919</v>
      </c>
      <c r="R19" s="431"/>
      <c r="S19" s="431"/>
      <c r="T19" s="431"/>
      <c r="U19" s="431"/>
      <c r="V19" s="431"/>
      <c r="W19" s="431"/>
      <c r="X19" s="431"/>
      <c r="Y19" s="431"/>
      <c r="Z19" s="431"/>
      <c r="AA19" s="431"/>
      <c r="AB19" s="431"/>
      <c r="AC19" s="432"/>
    </row>
    <row r="20" spans="2:29" s="693" customFormat="1" ht="19.899999999999999" customHeight="1">
      <c r="B20" s="687"/>
      <c r="C20" s="901"/>
      <c r="D20" s="902" t="s">
        <v>834</v>
      </c>
      <c r="E20" s="909">
        <f>SUM(E21:E24)</f>
        <v>0</v>
      </c>
      <c r="F20" s="909">
        <f>SUM(F21:F24)</f>
        <v>0</v>
      </c>
      <c r="G20" s="910"/>
      <c r="H20" s="909">
        <f>SUM(H21:H24)</f>
        <v>0</v>
      </c>
      <c r="I20" s="909">
        <f>SUM(I21:I24)</f>
        <v>0</v>
      </c>
      <c r="J20" s="910"/>
      <c r="K20" s="909">
        <f>SUM(K21:K24)</f>
        <v>0</v>
      </c>
      <c r="L20" s="909">
        <f>SUM(L21:L24)</f>
        <v>0</v>
      </c>
      <c r="M20" s="911"/>
      <c r="N20" s="728"/>
      <c r="P20" s="439"/>
      <c r="Q20" s="440"/>
      <c r="R20" s="440"/>
      <c r="S20" s="440"/>
      <c r="T20" s="440"/>
      <c r="U20" s="440"/>
      <c r="V20" s="440"/>
      <c r="W20" s="440"/>
      <c r="X20" s="440"/>
      <c r="Y20" s="440"/>
      <c r="Z20" s="440"/>
      <c r="AA20" s="440"/>
      <c r="AB20" s="440"/>
      <c r="AC20" s="441"/>
    </row>
    <row r="21" spans="2:29" s="696" customFormat="1" ht="19.899999999999999" customHeight="1">
      <c r="B21" s="665"/>
      <c r="C21" s="592"/>
      <c r="D21" s="593"/>
      <c r="E21" s="536"/>
      <c r="F21" s="536"/>
      <c r="G21" s="579"/>
      <c r="H21" s="536"/>
      <c r="I21" s="536"/>
      <c r="J21" s="579"/>
      <c r="K21" s="536"/>
      <c r="L21" s="536"/>
      <c r="M21" s="546"/>
      <c r="N21" s="663"/>
      <c r="P21" s="429"/>
      <c r="Q21" s="431"/>
      <c r="R21" s="431"/>
      <c r="S21" s="1069">
        <v>2016</v>
      </c>
      <c r="T21" s="1069">
        <v>2017</v>
      </c>
      <c r="U21" s="1069">
        <v>2018</v>
      </c>
      <c r="V21" s="431"/>
      <c r="W21" s="431"/>
      <c r="X21" s="431"/>
      <c r="Y21" s="431"/>
      <c r="Z21" s="431"/>
      <c r="AA21" s="431"/>
      <c r="AB21" s="431"/>
      <c r="AC21" s="432"/>
    </row>
    <row r="22" spans="2:29" s="696" customFormat="1" ht="19.899999999999999" customHeight="1">
      <c r="B22" s="665"/>
      <c r="C22" s="592"/>
      <c r="D22" s="593"/>
      <c r="E22" s="536"/>
      <c r="F22" s="536"/>
      <c r="G22" s="579"/>
      <c r="H22" s="536"/>
      <c r="I22" s="536"/>
      <c r="J22" s="579"/>
      <c r="K22" s="536"/>
      <c r="L22" s="536"/>
      <c r="M22" s="546"/>
      <c r="N22" s="663"/>
      <c r="P22" s="429"/>
      <c r="Q22" s="431" t="s">
        <v>920</v>
      </c>
      <c r="R22" s="431"/>
      <c r="S22" s="1041">
        <v>5384887.8899999997</v>
      </c>
      <c r="T22" s="1042">
        <v>6167309.1145075317</v>
      </c>
      <c r="U22" s="1042">
        <v>6346452.377679239</v>
      </c>
      <c r="V22" s="431"/>
      <c r="W22" s="431"/>
      <c r="X22" s="431"/>
      <c r="Y22" s="431"/>
      <c r="Z22" s="431"/>
      <c r="AA22" s="431"/>
      <c r="AB22" s="431"/>
      <c r="AC22" s="432"/>
    </row>
    <row r="23" spans="2:29" s="696" customFormat="1" ht="19.899999999999999" customHeight="1">
      <c r="B23" s="665"/>
      <c r="C23" s="592"/>
      <c r="D23" s="593"/>
      <c r="E23" s="536"/>
      <c r="F23" s="536"/>
      <c r="G23" s="579"/>
      <c r="H23" s="536"/>
      <c r="I23" s="536"/>
      <c r="J23" s="579"/>
      <c r="K23" s="536"/>
      <c r="L23" s="536"/>
      <c r="M23" s="546"/>
      <c r="N23" s="663"/>
      <c r="P23" s="429"/>
      <c r="Q23" s="431"/>
      <c r="R23" s="431"/>
      <c r="S23" s="431"/>
      <c r="T23" s="431"/>
      <c r="U23" s="431"/>
      <c r="V23" s="431"/>
      <c r="W23" s="431"/>
      <c r="X23" s="431"/>
      <c r="Y23" s="431"/>
      <c r="Z23" s="431"/>
      <c r="AA23" s="431"/>
      <c r="AB23" s="431"/>
      <c r="AC23" s="432"/>
    </row>
    <row r="24" spans="2:29" s="696" customFormat="1" ht="19.899999999999999" customHeight="1">
      <c r="B24" s="665"/>
      <c r="C24" s="592"/>
      <c r="D24" s="593"/>
      <c r="E24" s="536"/>
      <c r="F24" s="536"/>
      <c r="G24" s="579"/>
      <c r="H24" s="536"/>
      <c r="I24" s="536"/>
      <c r="J24" s="579"/>
      <c r="K24" s="536"/>
      <c r="L24" s="536"/>
      <c r="M24" s="546"/>
      <c r="N24" s="663"/>
      <c r="P24" s="429"/>
      <c r="Q24" s="431"/>
      <c r="R24" s="431"/>
      <c r="S24" s="431"/>
      <c r="T24" s="431"/>
      <c r="U24" s="431"/>
      <c r="V24" s="431"/>
      <c r="W24" s="431"/>
      <c r="X24" s="431"/>
      <c r="Y24" s="431"/>
      <c r="Z24" s="431"/>
      <c r="AA24" s="431"/>
      <c r="AB24" s="431"/>
      <c r="AC24" s="432"/>
    </row>
    <row r="25" spans="2:29" s="693" customFormat="1" ht="19.899999999999999" customHeight="1">
      <c r="B25" s="687"/>
      <c r="C25" s="912"/>
      <c r="D25" s="913" t="s">
        <v>835</v>
      </c>
      <c r="E25" s="914">
        <f>SUM(E26:E29)</f>
        <v>0</v>
      </c>
      <c r="F25" s="914">
        <f>SUM(F26:F29)</f>
        <v>0</v>
      </c>
      <c r="G25" s="915"/>
      <c r="H25" s="914">
        <f>SUM(H26:H29)</f>
        <v>0</v>
      </c>
      <c r="I25" s="914">
        <f>SUM(I26:I29)</f>
        <v>0</v>
      </c>
      <c r="J25" s="915"/>
      <c r="K25" s="914">
        <f>SUM(K26:K29)</f>
        <v>0</v>
      </c>
      <c r="L25" s="914">
        <f>SUM(L26:L29)</f>
        <v>0</v>
      </c>
      <c r="M25" s="916"/>
      <c r="N25" s="728"/>
      <c r="P25" s="439"/>
      <c r="Q25" s="440"/>
      <c r="R25" s="440"/>
      <c r="S25" s="440"/>
      <c r="T25" s="440"/>
      <c r="U25" s="440"/>
      <c r="V25" s="440"/>
      <c r="W25" s="440"/>
      <c r="X25" s="440"/>
      <c r="Y25" s="440"/>
      <c r="Z25" s="440"/>
      <c r="AA25" s="440"/>
      <c r="AB25" s="440"/>
      <c r="AC25" s="441"/>
    </row>
    <row r="26" spans="2:29" s="696" customFormat="1" ht="19.899999999999999" customHeight="1">
      <c r="B26" s="665"/>
      <c r="C26" s="592"/>
      <c r="D26" s="593"/>
      <c r="E26" s="536"/>
      <c r="F26" s="536"/>
      <c r="G26" s="579"/>
      <c r="H26" s="536"/>
      <c r="I26" s="536"/>
      <c r="J26" s="579"/>
      <c r="K26" s="536"/>
      <c r="L26" s="536"/>
      <c r="M26" s="546"/>
      <c r="N26" s="663"/>
      <c r="P26" s="429"/>
      <c r="Q26" s="431"/>
      <c r="R26" s="431"/>
      <c r="S26" s="431"/>
      <c r="T26" s="431"/>
      <c r="U26" s="431"/>
      <c r="V26" s="431"/>
      <c r="W26" s="431"/>
      <c r="X26" s="431"/>
      <c r="Y26" s="431"/>
      <c r="Z26" s="431"/>
      <c r="AA26" s="431"/>
      <c r="AB26" s="431"/>
      <c r="AC26" s="432"/>
    </row>
    <row r="27" spans="2:29" s="696" customFormat="1" ht="19.899999999999999" customHeight="1">
      <c r="B27" s="665"/>
      <c r="C27" s="592"/>
      <c r="D27" s="593"/>
      <c r="E27" s="536"/>
      <c r="F27" s="536"/>
      <c r="G27" s="579"/>
      <c r="H27" s="536"/>
      <c r="I27" s="536"/>
      <c r="J27" s="579"/>
      <c r="K27" s="536"/>
      <c r="L27" s="536"/>
      <c r="M27" s="546"/>
      <c r="N27" s="663"/>
      <c r="P27" s="429"/>
      <c r="Q27" s="431"/>
      <c r="R27" s="431"/>
      <c r="S27" s="431"/>
      <c r="T27" s="431"/>
      <c r="U27" s="431"/>
      <c r="V27" s="431"/>
      <c r="W27" s="431"/>
      <c r="X27" s="431"/>
      <c r="Y27" s="431"/>
      <c r="Z27" s="431"/>
      <c r="AA27" s="431"/>
      <c r="AB27" s="431"/>
      <c r="AC27" s="432"/>
    </row>
    <row r="28" spans="2:29" s="696" customFormat="1" ht="19.899999999999999" customHeight="1">
      <c r="B28" s="665"/>
      <c r="C28" s="592"/>
      <c r="D28" s="593"/>
      <c r="E28" s="536"/>
      <c r="F28" s="536"/>
      <c r="G28" s="579"/>
      <c r="H28" s="536"/>
      <c r="I28" s="536"/>
      <c r="J28" s="579"/>
      <c r="K28" s="536"/>
      <c r="L28" s="536"/>
      <c r="M28" s="546"/>
      <c r="N28" s="663"/>
      <c r="P28" s="429"/>
      <c r="Q28" s="431"/>
      <c r="R28" s="431"/>
      <c r="S28" s="431"/>
      <c r="T28" s="431"/>
      <c r="U28" s="431"/>
      <c r="V28" s="431"/>
      <c r="W28" s="431"/>
      <c r="X28" s="431"/>
      <c r="Y28" s="431"/>
      <c r="Z28" s="431"/>
      <c r="AA28" s="431"/>
      <c r="AB28" s="431"/>
      <c r="AC28" s="432"/>
    </row>
    <row r="29" spans="2:29" s="696" customFormat="1" ht="19.899999999999999" customHeight="1">
      <c r="B29" s="665"/>
      <c r="C29" s="594"/>
      <c r="D29" s="595"/>
      <c r="E29" s="538"/>
      <c r="F29" s="538"/>
      <c r="G29" s="558"/>
      <c r="H29" s="538"/>
      <c r="I29" s="538"/>
      <c r="J29" s="558"/>
      <c r="K29" s="538"/>
      <c r="L29" s="538"/>
      <c r="M29" s="547"/>
      <c r="N29" s="663"/>
      <c r="P29" s="429"/>
      <c r="Q29" s="431"/>
      <c r="R29" s="431"/>
      <c r="S29" s="431"/>
      <c r="T29" s="431"/>
      <c r="U29" s="431"/>
      <c r="V29" s="431"/>
      <c r="W29" s="431"/>
      <c r="X29" s="431"/>
      <c r="Y29" s="431"/>
      <c r="Z29" s="431"/>
      <c r="AA29" s="431"/>
      <c r="AB29" s="431"/>
      <c r="AC29" s="432"/>
    </row>
    <row r="30" spans="2:29" s="693" customFormat="1" ht="22.9" customHeight="1">
      <c r="B30" s="687"/>
      <c r="C30" s="688" t="s">
        <v>663</v>
      </c>
      <c r="D30" s="689"/>
      <c r="E30" s="690">
        <f>+E31+E40</f>
        <v>17355449.600000001</v>
      </c>
      <c r="F30" s="690">
        <f>+F31+F40</f>
        <v>518857.59789999999</v>
      </c>
      <c r="G30" s="691"/>
      <c r="H30" s="690">
        <f>+H31+H40</f>
        <v>18277842.992538352</v>
      </c>
      <c r="I30" s="690">
        <f>+I31+I40</f>
        <v>548002.82456179312</v>
      </c>
      <c r="J30" s="691"/>
      <c r="K30" s="690">
        <f>+K31+K40</f>
        <v>18707566.489009108</v>
      </c>
      <c r="L30" s="690">
        <f>+L31+L40</f>
        <v>555499.44056033483</v>
      </c>
      <c r="M30" s="692"/>
      <c r="N30" s="663"/>
      <c r="P30" s="439"/>
      <c r="Q30" s="440"/>
      <c r="R30" s="440"/>
      <c r="S30" s="440"/>
      <c r="T30" s="440"/>
      <c r="U30" s="440"/>
      <c r="V30" s="440"/>
      <c r="W30" s="440"/>
      <c r="X30" s="440"/>
      <c r="Y30" s="440"/>
      <c r="Z30" s="440"/>
      <c r="AA30" s="440"/>
      <c r="AB30" s="440"/>
      <c r="AC30" s="441"/>
    </row>
    <row r="31" spans="2:29" s="707" customFormat="1" ht="19.149999999999999" customHeight="1">
      <c r="B31" s="700"/>
      <c r="C31" s="701" t="s">
        <v>664</v>
      </c>
      <c r="D31" s="702"/>
      <c r="E31" s="703">
        <f>E32+E36</f>
        <v>0</v>
      </c>
      <c r="F31" s="703">
        <f>F32+F36</f>
        <v>0</v>
      </c>
      <c r="G31" s="704"/>
      <c r="H31" s="703">
        <f>H32+H36</f>
        <v>0</v>
      </c>
      <c r="I31" s="703">
        <f>I32+I36</f>
        <v>0</v>
      </c>
      <c r="J31" s="704"/>
      <c r="K31" s="703">
        <f>K32+K36</f>
        <v>0</v>
      </c>
      <c r="L31" s="703">
        <f>L32+L36</f>
        <v>0</v>
      </c>
      <c r="M31" s="705"/>
      <c r="N31" s="706"/>
      <c r="P31" s="645"/>
      <c r="Q31" s="646"/>
      <c r="R31" s="646"/>
      <c r="S31" s="646"/>
      <c r="T31" s="646"/>
      <c r="U31" s="646"/>
      <c r="V31" s="646"/>
      <c r="W31" s="646"/>
      <c r="X31" s="646"/>
      <c r="Y31" s="646"/>
      <c r="Z31" s="646"/>
      <c r="AA31" s="646"/>
      <c r="AB31" s="646"/>
      <c r="AC31" s="647"/>
    </row>
    <row r="32" spans="2:29" s="693" customFormat="1" ht="19.149999999999999" customHeight="1">
      <c r="B32" s="687"/>
      <c r="C32" s="901"/>
      <c r="D32" s="902" t="s">
        <v>836</v>
      </c>
      <c r="E32" s="909">
        <f>SUM(E33:E35)</f>
        <v>0</v>
      </c>
      <c r="F32" s="909">
        <f>SUM(F33:F35)</f>
        <v>0</v>
      </c>
      <c r="G32" s="910"/>
      <c r="H32" s="909">
        <f>SUM(H33:H35)</f>
        <v>0</v>
      </c>
      <c r="I32" s="909">
        <f>SUM(I33:I35)</f>
        <v>0</v>
      </c>
      <c r="J32" s="910"/>
      <c r="K32" s="909">
        <f>SUM(K33:K35)</f>
        <v>0</v>
      </c>
      <c r="L32" s="909">
        <f>SUM(L33:L35)</f>
        <v>0</v>
      </c>
      <c r="M32" s="911"/>
      <c r="N32" s="728"/>
      <c r="P32" s="439"/>
      <c r="Q32" s="440"/>
      <c r="R32" s="440"/>
      <c r="S32" s="440"/>
      <c r="T32" s="440"/>
      <c r="U32" s="440"/>
      <c r="V32" s="440"/>
      <c r="W32" s="440"/>
      <c r="X32" s="440"/>
      <c r="Y32" s="440"/>
      <c r="Z32" s="440"/>
      <c r="AA32" s="440"/>
      <c r="AB32" s="440"/>
      <c r="AC32" s="441"/>
    </row>
    <row r="33" spans="2:29" s="696" customFormat="1" ht="19.149999999999999" customHeight="1">
      <c r="B33" s="665"/>
      <c r="C33" s="590"/>
      <c r="D33" s="591"/>
      <c r="E33" s="533"/>
      <c r="F33" s="533"/>
      <c r="G33" s="577"/>
      <c r="H33" s="533"/>
      <c r="I33" s="533"/>
      <c r="J33" s="577"/>
      <c r="K33" s="533"/>
      <c r="L33" s="533"/>
      <c r="M33" s="578"/>
      <c r="N33" s="663"/>
      <c r="P33" s="429"/>
      <c r="Q33" s="431"/>
      <c r="R33" s="431"/>
      <c r="S33" s="431"/>
      <c r="T33" s="431"/>
      <c r="U33" s="431"/>
      <c r="V33" s="431"/>
      <c r="W33" s="431"/>
      <c r="X33" s="431"/>
      <c r="Y33" s="431"/>
      <c r="Z33" s="431"/>
      <c r="AA33" s="431"/>
      <c r="AB33" s="431"/>
      <c r="AC33" s="432"/>
    </row>
    <row r="34" spans="2:29" s="696" customFormat="1" ht="19.149999999999999" customHeight="1">
      <c r="B34" s="665"/>
      <c r="C34" s="590"/>
      <c r="D34" s="591"/>
      <c r="E34" s="533"/>
      <c r="F34" s="533"/>
      <c r="G34" s="577"/>
      <c r="H34" s="533"/>
      <c r="I34" s="533"/>
      <c r="J34" s="577"/>
      <c r="K34" s="533"/>
      <c r="L34" s="533"/>
      <c r="M34" s="578"/>
      <c r="N34" s="663"/>
      <c r="P34" s="429"/>
      <c r="Q34" s="431"/>
      <c r="R34" s="431"/>
      <c r="S34" s="431"/>
      <c r="T34" s="431"/>
      <c r="U34" s="431"/>
      <c r="V34" s="431"/>
      <c r="W34" s="431"/>
      <c r="X34" s="431"/>
      <c r="Y34" s="431"/>
      <c r="Z34" s="431"/>
      <c r="AA34" s="431"/>
      <c r="AB34" s="431"/>
      <c r="AC34" s="432"/>
    </row>
    <row r="35" spans="2:29" s="696" customFormat="1" ht="19.149999999999999" customHeight="1">
      <c r="B35" s="665"/>
      <c r="C35" s="590"/>
      <c r="D35" s="591"/>
      <c r="E35" s="533"/>
      <c r="F35" s="533"/>
      <c r="G35" s="577"/>
      <c r="H35" s="533"/>
      <c r="I35" s="533"/>
      <c r="J35" s="577"/>
      <c r="K35" s="533"/>
      <c r="L35" s="533"/>
      <c r="M35" s="578"/>
      <c r="N35" s="663"/>
      <c r="P35" s="429"/>
      <c r="Q35" s="431"/>
      <c r="R35" s="431"/>
      <c r="S35" s="431"/>
      <c r="T35" s="431"/>
      <c r="U35" s="431"/>
      <c r="V35" s="431"/>
      <c r="W35" s="431"/>
      <c r="X35" s="431"/>
      <c r="Y35" s="431"/>
      <c r="Z35" s="431"/>
      <c r="AA35" s="431"/>
      <c r="AB35" s="431"/>
      <c r="AC35" s="432"/>
    </row>
    <row r="36" spans="2:29" s="693" customFormat="1" ht="19.149999999999999" customHeight="1">
      <c r="B36" s="687"/>
      <c r="C36" s="901"/>
      <c r="D36" s="902" t="s">
        <v>837</v>
      </c>
      <c r="E36" s="909">
        <f>SUM(E37:E39)</f>
        <v>0</v>
      </c>
      <c r="F36" s="909">
        <f>SUM(F37:F39)</f>
        <v>0</v>
      </c>
      <c r="G36" s="910"/>
      <c r="H36" s="909">
        <f>SUM(H37:H39)</f>
        <v>0</v>
      </c>
      <c r="I36" s="909">
        <f>SUM(I37:I39)</f>
        <v>0</v>
      </c>
      <c r="J36" s="910"/>
      <c r="K36" s="909">
        <f>SUM(K37:K39)</f>
        <v>0</v>
      </c>
      <c r="L36" s="909">
        <f>SUM(L37:L39)</f>
        <v>0</v>
      </c>
      <c r="M36" s="911"/>
      <c r="N36" s="728"/>
      <c r="P36" s="917"/>
      <c r="Q36" s="918"/>
      <c r="R36" s="918"/>
      <c r="S36" s="918"/>
      <c r="T36" s="918"/>
      <c r="U36" s="918"/>
      <c r="V36" s="918"/>
      <c r="W36" s="918"/>
      <c r="X36" s="918"/>
      <c r="Y36" s="918"/>
      <c r="Z36" s="918"/>
      <c r="AA36" s="918"/>
      <c r="AB36" s="918"/>
      <c r="AC36" s="919"/>
    </row>
    <row r="37" spans="2:29" s="696" customFormat="1" ht="19.149999999999999" customHeight="1">
      <c r="B37" s="665"/>
      <c r="C37" s="590"/>
      <c r="D37" s="591"/>
      <c r="E37" s="533"/>
      <c r="F37" s="533"/>
      <c r="G37" s="577"/>
      <c r="H37" s="533"/>
      <c r="I37" s="533"/>
      <c r="J37" s="577"/>
      <c r="K37" s="533"/>
      <c r="L37" s="533"/>
      <c r="M37" s="578"/>
      <c r="N37" s="663"/>
      <c r="P37" s="442"/>
      <c r="Q37" s="443"/>
      <c r="R37" s="443"/>
      <c r="S37" s="443"/>
      <c r="T37" s="443"/>
      <c r="U37" s="443"/>
      <c r="V37" s="443"/>
      <c r="W37" s="443"/>
      <c r="X37" s="443"/>
      <c r="Y37" s="443"/>
      <c r="Z37" s="443"/>
      <c r="AA37" s="443"/>
      <c r="AB37" s="443"/>
      <c r="AC37" s="444"/>
    </row>
    <row r="38" spans="2:29" s="696" customFormat="1" ht="19.149999999999999" customHeight="1">
      <c r="B38" s="665"/>
      <c r="C38" s="590"/>
      <c r="D38" s="591"/>
      <c r="E38" s="533"/>
      <c r="F38" s="533"/>
      <c r="G38" s="577"/>
      <c r="H38" s="533"/>
      <c r="I38" s="533"/>
      <c r="J38" s="577"/>
      <c r="K38" s="533"/>
      <c r="L38" s="533"/>
      <c r="M38" s="578"/>
      <c r="N38" s="663"/>
      <c r="P38" s="442"/>
      <c r="Q38" s="443"/>
      <c r="R38" s="443"/>
      <c r="S38" s="443"/>
      <c r="T38" s="443"/>
      <c r="U38" s="443"/>
      <c r="V38" s="443"/>
      <c r="W38" s="443"/>
      <c r="X38" s="443"/>
      <c r="Y38" s="443"/>
      <c r="Z38" s="443"/>
      <c r="AA38" s="443"/>
      <c r="AB38" s="443"/>
      <c r="AC38" s="444"/>
    </row>
    <row r="39" spans="2:29" s="696" customFormat="1" ht="19.149999999999999" customHeight="1">
      <c r="B39" s="665"/>
      <c r="C39" s="590"/>
      <c r="D39" s="591"/>
      <c r="E39" s="533"/>
      <c r="F39" s="533"/>
      <c r="G39" s="577"/>
      <c r="H39" s="533"/>
      <c r="I39" s="533"/>
      <c r="J39" s="577"/>
      <c r="K39" s="533"/>
      <c r="L39" s="533"/>
      <c r="M39" s="578"/>
      <c r="N39" s="663"/>
      <c r="P39" s="442"/>
      <c r="Q39" s="443"/>
      <c r="R39" s="443"/>
      <c r="S39" s="443"/>
      <c r="T39" s="443"/>
      <c r="U39" s="443"/>
      <c r="V39" s="443"/>
      <c r="W39" s="443"/>
      <c r="X39" s="443"/>
      <c r="Y39" s="443"/>
      <c r="Z39" s="443"/>
      <c r="AA39" s="443"/>
      <c r="AB39" s="443"/>
      <c r="AC39" s="444"/>
    </row>
    <row r="40" spans="2:29" s="707" customFormat="1" ht="19.149999999999999" customHeight="1">
      <c r="B40" s="700"/>
      <c r="C40" s="701" t="s">
        <v>665</v>
      </c>
      <c r="D40" s="702"/>
      <c r="E40" s="703">
        <f>+E41+E42</f>
        <v>17355449.600000001</v>
      </c>
      <c r="F40" s="703">
        <f>+F41+F42</f>
        <v>518857.59789999999</v>
      </c>
      <c r="G40" s="704"/>
      <c r="H40" s="703">
        <f>+H41+H42</f>
        <v>18277842.992538352</v>
      </c>
      <c r="I40" s="703">
        <f>+I41+I42</f>
        <v>548002.82456179312</v>
      </c>
      <c r="J40" s="704"/>
      <c r="K40" s="703">
        <f>+K41+K42</f>
        <v>18707566.489009108</v>
      </c>
      <c r="L40" s="703">
        <f>+L41+L42</f>
        <v>555499.44056033483</v>
      </c>
      <c r="M40" s="705"/>
      <c r="N40" s="706"/>
      <c r="P40" s="648"/>
      <c r="Q40" s="649"/>
      <c r="R40" s="649"/>
      <c r="S40" s="649"/>
      <c r="T40" s="649"/>
      <c r="U40" s="649"/>
      <c r="V40" s="649"/>
      <c r="W40" s="649"/>
      <c r="X40" s="649"/>
      <c r="Y40" s="649"/>
      <c r="Z40" s="649"/>
      <c r="AA40" s="649"/>
      <c r="AB40" s="649"/>
      <c r="AC40" s="650"/>
    </row>
    <row r="41" spans="2:29" s="693" customFormat="1" ht="19.149999999999999" customHeight="1">
      <c r="B41" s="687"/>
      <c r="C41" s="901"/>
      <c r="D41" s="902" t="s">
        <v>666</v>
      </c>
      <c r="E41" s="501">
        <v>84.35</v>
      </c>
      <c r="F41" s="501">
        <v>0</v>
      </c>
      <c r="G41" s="903"/>
      <c r="H41" s="501"/>
      <c r="I41" s="501"/>
      <c r="J41" s="903"/>
      <c r="K41" s="501"/>
      <c r="L41" s="501"/>
      <c r="M41" s="904"/>
      <c r="N41" s="728"/>
      <c r="P41" s="917"/>
      <c r="Q41" s="918"/>
      <c r="R41" s="918"/>
      <c r="S41" s="918"/>
      <c r="T41" s="918"/>
      <c r="U41" s="918"/>
      <c r="V41" s="918"/>
      <c r="W41" s="918"/>
      <c r="X41" s="918"/>
      <c r="Y41" s="918"/>
      <c r="Z41" s="918"/>
      <c r="AA41" s="918"/>
      <c r="AB41" s="918"/>
      <c r="AC41" s="919"/>
    </row>
    <row r="42" spans="2:29" s="693" customFormat="1" ht="19.149999999999999" customHeight="1">
      <c r="B42" s="687"/>
      <c r="C42" s="920"/>
      <c r="D42" s="921" t="s">
        <v>667</v>
      </c>
      <c r="E42" s="922">
        <v>17355365.25</v>
      </c>
      <c r="F42" s="922">
        <v>518857.59789999999</v>
      </c>
      <c r="G42" s="923"/>
      <c r="H42" s="922">
        <v>18277842.992538352</v>
      </c>
      <c r="I42" s="922">
        <v>548002.82456179312</v>
      </c>
      <c r="J42" s="923"/>
      <c r="K42" s="922">
        <v>18707566.489009108</v>
      </c>
      <c r="L42" s="922">
        <v>555499.44056033483</v>
      </c>
      <c r="M42" s="924"/>
      <c r="N42" s="728"/>
      <c r="P42" s="917"/>
      <c r="Q42" s="918"/>
      <c r="R42" s="918"/>
      <c r="S42" s="918"/>
      <c r="T42" s="918"/>
      <c r="U42" s="918"/>
      <c r="V42" s="918"/>
      <c r="W42" s="918"/>
      <c r="X42" s="918"/>
      <c r="Y42" s="918"/>
      <c r="Z42" s="918"/>
      <c r="AA42" s="918"/>
      <c r="AB42" s="918"/>
      <c r="AC42" s="919"/>
    </row>
    <row r="43" spans="2:29" s="693" customFormat="1" ht="22.9" customHeight="1" thickBot="1">
      <c r="B43" s="687"/>
      <c r="C43" s="708" t="s">
        <v>668</v>
      </c>
      <c r="D43" s="709"/>
      <c r="E43" s="710">
        <f>E16+E19+E30</f>
        <v>17355449.600000001</v>
      </c>
      <c r="F43" s="710">
        <f>F16+F19+F30</f>
        <v>518857.59789999999</v>
      </c>
      <c r="G43" s="711"/>
      <c r="H43" s="710">
        <f>H16+H19+H30</f>
        <v>18277842.992538352</v>
      </c>
      <c r="I43" s="710">
        <f>I16+I19+I30</f>
        <v>548002.82456179312</v>
      </c>
      <c r="J43" s="711"/>
      <c r="K43" s="710">
        <f>K16+K19+K30</f>
        <v>18707566.489009108</v>
      </c>
      <c r="L43" s="710">
        <f>L16+L19+L30</f>
        <v>555499.44056033483</v>
      </c>
      <c r="M43" s="712"/>
      <c r="N43" s="663"/>
      <c r="P43" s="442"/>
      <c r="Q43" s="443"/>
      <c r="R43" s="443"/>
      <c r="S43" s="443"/>
      <c r="T43" s="443"/>
      <c r="U43" s="443"/>
      <c r="V43" s="443"/>
      <c r="W43" s="443"/>
      <c r="X43" s="443"/>
      <c r="Y43" s="443"/>
      <c r="Z43" s="443"/>
      <c r="AA43" s="443"/>
      <c r="AB43" s="443"/>
      <c r="AC43" s="444"/>
    </row>
    <row r="44" spans="2:29" s="696" customFormat="1" ht="22.9" customHeight="1">
      <c r="B44" s="665"/>
      <c r="C44" s="713"/>
      <c r="D44" s="713"/>
      <c r="E44" s="714"/>
      <c r="F44" s="714"/>
      <c r="G44" s="714"/>
      <c r="H44" s="714"/>
      <c r="I44" s="714"/>
      <c r="J44" s="714"/>
      <c r="K44" s="714"/>
      <c r="L44" s="714"/>
      <c r="M44" s="714"/>
      <c r="N44" s="663"/>
      <c r="P44" s="442"/>
      <c r="Q44" s="443"/>
      <c r="R44" s="443"/>
      <c r="S44" s="443"/>
      <c r="T44" s="443"/>
      <c r="U44" s="443"/>
      <c r="V44" s="443"/>
      <c r="W44" s="443"/>
      <c r="X44" s="443"/>
      <c r="Y44" s="443"/>
      <c r="Z44" s="443"/>
      <c r="AA44" s="443"/>
      <c r="AB44" s="443"/>
      <c r="AC44" s="444"/>
    </row>
    <row r="45" spans="2:29" s="681" customFormat="1" ht="22.9" customHeight="1">
      <c r="B45" s="674"/>
      <c r="C45" s="675"/>
      <c r="D45" s="676"/>
      <c r="E45" s="715" t="s">
        <v>183</v>
      </c>
      <c r="F45" s="715" t="s">
        <v>184</v>
      </c>
      <c r="G45" s="715" t="s">
        <v>185</v>
      </c>
      <c r="H45" s="1130" t="s">
        <v>585</v>
      </c>
      <c r="I45" s="1131"/>
      <c r="J45" s="1131"/>
      <c r="K45" s="1131"/>
      <c r="L45" s="1131"/>
      <c r="M45" s="1132"/>
      <c r="N45" s="663"/>
      <c r="P45" s="442"/>
      <c r="Q45" s="443"/>
      <c r="R45" s="443"/>
      <c r="S45" s="443"/>
      <c r="T45" s="443"/>
      <c r="U45" s="443"/>
      <c r="V45" s="443"/>
      <c r="W45" s="443"/>
      <c r="X45" s="443"/>
      <c r="Y45" s="443"/>
      <c r="Z45" s="443"/>
      <c r="AA45" s="443"/>
      <c r="AB45" s="443"/>
      <c r="AC45" s="444"/>
    </row>
    <row r="46" spans="2:29" s="686" customFormat="1" ht="22.9" customHeight="1">
      <c r="B46" s="682"/>
      <c r="C46" s="683" t="s">
        <v>669</v>
      </c>
      <c r="D46" s="684"/>
      <c r="E46" s="716">
        <f>ejercicio-2</f>
        <v>2016</v>
      </c>
      <c r="F46" s="716">
        <f>ejercicio-1</f>
        <v>2017</v>
      </c>
      <c r="G46" s="716">
        <f>ejercicio</f>
        <v>2018</v>
      </c>
      <c r="H46" s="1133"/>
      <c r="I46" s="1134"/>
      <c r="J46" s="1134"/>
      <c r="K46" s="1134"/>
      <c r="L46" s="1134"/>
      <c r="M46" s="1135"/>
      <c r="N46" s="663"/>
      <c r="P46" s="442"/>
      <c r="Q46" s="443"/>
      <c r="R46" s="443"/>
      <c r="S46" s="443"/>
      <c r="T46" s="443"/>
      <c r="U46" s="443"/>
      <c r="V46" s="443"/>
      <c r="W46" s="443"/>
      <c r="X46" s="443"/>
      <c r="Y46" s="443"/>
      <c r="Z46" s="443"/>
      <c r="AA46" s="443"/>
      <c r="AB46" s="443"/>
      <c r="AC46" s="444"/>
    </row>
    <row r="47" spans="2:29" s="696" customFormat="1" ht="22.9" customHeight="1" thickBot="1">
      <c r="B47" s="665"/>
      <c r="C47" s="708" t="s">
        <v>884</v>
      </c>
      <c r="D47" s="709"/>
      <c r="E47" s="710">
        <f>SUM(E48:E54)</f>
        <v>18881.010000000002</v>
      </c>
      <c r="F47" s="710">
        <f>SUM(F48:F54)</f>
        <v>95</v>
      </c>
      <c r="G47" s="710">
        <f>SUM(G48:G54)</f>
        <v>0</v>
      </c>
      <c r="H47" s="717"/>
      <c r="I47" s="718"/>
      <c r="J47" s="718"/>
      <c r="K47" s="718"/>
      <c r="L47" s="718"/>
      <c r="M47" s="719"/>
      <c r="N47" s="663"/>
      <c r="P47" s="442"/>
      <c r="Q47" s="443"/>
      <c r="R47" s="443"/>
      <c r="S47" s="443"/>
      <c r="T47" s="443"/>
      <c r="U47" s="443"/>
      <c r="V47" s="443"/>
      <c r="W47" s="443"/>
      <c r="X47" s="443"/>
      <c r="Y47" s="443"/>
      <c r="Z47" s="443"/>
      <c r="AA47" s="443"/>
      <c r="AB47" s="443"/>
      <c r="AC47" s="444"/>
    </row>
    <row r="48" spans="2:29" s="696" customFormat="1" ht="19.899999999999999" customHeight="1">
      <c r="B48" s="665"/>
      <c r="C48" s="1065" t="s">
        <v>915</v>
      </c>
      <c r="D48" s="739"/>
      <c r="E48" s="740">
        <v>14190.85</v>
      </c>
      <c r="F48" s="740">
        <v>95</v>
      </c>
      <c r="G48" s="740"/>
      <c r="H48" s="1066" t="s">
        <v>916</v>
      </c>
      <c r="I48" s="741"/>
      <c r="J48" s="741"/>
      <c r="K48" s="741"/>
      <c r="L48" s="741"/>
      <c r="M48" s="742"/>
      <c r="N48" s="663"/>
      <c r="P48" s="442"/>
      <c r="Q48" s="443"/>
      <c r="R48" s="443"/>
      <c r="S48" s="443"/>
      <c r="T48" s="443"/>
      <c r="U48" s="443"/>
      <c r="V48" s="443"/>
      <c r="W48" s="443"/>
      <c r="X48" s="443"/>
      <c r="Y48" s="443"/>
      <c r="Z48" s="443"/>
      <c r="AA48" s="443"/>
      <c r="AB48" s="443"/>
      <c r="AC48" s="444"/>
    </row>
    <row r="49" spans="2:29" s="696" customFormat="1" ht="19.899999999999999" customHeight="1">
      <c r="B49" s="665"/>
      <c r="C49" s="1067" t="s">
        <v>917</v>
      </c>
      <c r="D49" s="593"/>
      <c r="E49" s="614">
        <v>4690.16</v>
      </c>
      <c r="F49" s="614"/>
      <c r="G49" s="614"/>
      <c r="H49" s="1068" t="s">
        <v>918</v>
      </c>
      <c r="I49" s="743"/>
      <c r="J49" s="743"/>
      <c r="K49" s="743"/>
      <c r="L49" s="743"/>
      <c r="M49" s="563"/>
      <c r="N49" s="663"/>
      <c r="P49" s="442"/>
      <c r="Q49" s="443"/>
      <c r="R49" s="443"/>
      <c r="S49" s="443"/>
      <c r="T49" s="443"/>
      <c r="U49" s="443"/>
      <c r="V49" s="443"/>
      <c r="W49" s="443"/>
      <c r="X49" s="443"/>
      <c r="Y49" s="443"/>
      <c r="Z49" s="443"/>
      <c r="AA49" s="443"/>
      <c r="AB49" s="443"/>
      <c r="AC49" s="444"/>
    </row>
    <row r="50" spans="2:29" s="696" customFormat="1" ht="19.899999999999999" customHeight="1">
      <c r="B50" s="665"/>
      <c r="C50" s="592"/>
      <c r="D50" s="593"/>
      <c r="E50" s="614"/>
      <c r="F50" s="614"/>
      <c r="G50" s="614"/>
      <c r="H50" s="566"/>
      <c r="I50" s="743"/>
      <c r="J50" s="743"/>
      <c r="K50" s="743"/>
      <c r="L50" s="743"/>
      <c r="M50" s="563"/>
      <c r="N50" s="663"/>
      <c r="P50" s="442"/>
      <c r="Q50" s="443"/>
      <c r="R50" s="443"/>
      <c r="S50" s="443"/>
      <c r="T50" s="443"/>
      <c r="U50" s="443"/>
      <c r="V50" s="443"/>
      <c r="W50" s="443"/>
      <c r="X50" s="443"/>
      <c r="Y50" s="443"/>
      <c r="Z50" s="443"/>
      <c r="AA50" s="443"/>
      <c r="AB50" s="443"/>
      <c r="AC50" s="444"/>
    </row>
    <row r="51" spans="2:29" s="696" customFormat="1" ht="19.899999999999999" customHeight="1">
      <c r="B51" s="665"/>
      <c r="C51" s="592"/>
      <c r="D51" s="593"/>
      <c r="E51" s="614"/>
      <c r="F51" s="614"/>
      <c r="G51" s="614"/>
      <c r="H51" s="566"/>
      <c r="I51" s="743"/>
      <c r="J51" s="743"/>
      <c r="K51" s="743"/>
      <c r="L51" s="743"/>
      <c r="M51" s="563"/>
      <c r="N51" s="663"/>
      <c r="P51" s="442"/>
      <c r="Q51" s="443"/>
      <c r="R51" s="443"/>
      <c r="S51" s="443"/>
      <c r="T51" s="443"/>
      <c r="U51" s="443"/>
      <c r="V51" s="443"/>
      <c r="W51" s="443"/>
      <c r="X51" s="443"/>
      <c r="Y51" s="443"/>
      <c r="Z51" s="443"/>
      <c r="AA51" s="443"/>
      <c r="AB51" s="443"/>
      <c r="AC51" s="444"/>
    </row>
    <row r="52" spans="2:29" s="696" customFormat="1" ht="19.899999999999999" customHeight="1">
      <c r="B52" s="665"/>
      <c r="C52" s="592"/>
      <c r="D52" s="593"/>
      <c r="E52" s="614"/>
      <c r="F52" s="614"/>
      <c r="G52" s="614"/>
      <c r="H52" s="566"/>
      <c r="I52" s="743"/>
      <c r="J52" s="743"/>
      <c r="K52" s="743"/>
      <c r="L52" s="743"/>
      <c r="M52" s="563"/>
      <c r="N52" s="663"/>
      <c r="P52" s="442"/>
      <c r="Q52" s="443"/>
      <c r="R52" s="443"/>
      <c r="S52" s="443"/>
      <c r="T52" s="443"/>
      <c r="U52" s="443"/>
      <c r="V52" s="443"/>
      <c r="W52" s="443"/>
      <c r="X52" s="443"/>
      <c r="Y52" s="443"/>
      <c r="Z52" s="443"/>
      <c r="AA52" s="443"/>
      <c r="AB52" s="443"/>
      <c r="AC52" s="444"/>
    </row>
    <row r="53" spans="2:29" s="696" customFormat="1" ht="19.899999999999999" customHeight="1">
      <c r="B53" s="665"/>
      <c r="C53" s="592"/>
      <c r="D53" s="593"/>
      <c r="E53" s="614"/>
      <c r="F53" s="614"/>
      <c r="G53" s="614"/>
      <c r="H53" s="566"/>
      <c r="I53" s="743"/>
      <c r="J53" s="743"/>
      <c r="K53" s="743"/>
      <c r="L53" s="743"/>
      <c r="M53" s="563"/>
      <c r="N53" s="663"/>
      <c r="P53" s="442"/>
      <c r="Q53" s="443"/>
      <c r="R53" s="443"/>
      <c r="S53" s="443"/>
      <c r="T53" s="443"/>
      <c r="U53" s="443"/>
      <c r="V53" s="443"/>
      <c r="W53" s="443"/>
      <c r="X53" s="443"/>
      <c r="Y53" s="443"/>
      <c r="Z53" s="443"/>
      <c r="AA53" s="443"/>
      <c r="AB53" s="443"/>
      <c r="AC53" s="444"/>
    </row>
    <row r="54" spans="2:29" s="696" customFormat="1" ht="19.899999999999999" customHeight="1">
      <c r="B54" s="665"/>
      <c r="C54" s="594"/>
      <c r="D54" s="595"/>
      <c r="E54" s="615"/>
      <c r="F54" s="615"/>
      <c r="G54" s="615"/>
      <c r="H54" s="564"/>
      <c r="I54" s="557"/>
      <c r="J54" s="557"/>
      <c r="K54" s="557"/>
      <c r="L54" s="557"/>
      <c r="M54" s="565"/>
      <c r="N54" s="663"/>
      <c r="P54" s="442"/>
      <c r="Q54" s="443"/>
      <c r="R54" s="443"/>
      <c r="S54" s="443"/>
      <c r="T54" s="443"/>
      <c r="U54" s="443"/>
      <c r="V54" s="443"/>
      <c r="W54" s="443"/>
      <c r="X54" s="443"/>
      <c r="Y54" s="443"/>
      <c r="Z54" s="443"/>
      <c r="AA54" s="443"/>
      <c r="AB54" s="443"/>
      <c r="AC54" s="444"/>
    </row>
    <row r="55" spans="2:29" s="696" customFormat="1" ht="22.9" customHeight="1" thickBot="1">
      <c r="B55" s="665"/>
      <c r="C55" s="708" t="s">
        <v>885</v>
      </c>
      <c r="D55" s="709"/>
      <c r="E55" s="710">
        <f>SUM(E56:E62)</f>
        <v>-8199.24</v>
      </c>
      <c r="F55" s="710">
        <f>SUM(F56:F62)</f>
        <v>-4306.26</v>
      </c>
      <c r="G55" s="710">
        <f>SUM(G56:G62)</f>
        <v>-1492478.88</v>
      </c>
      <c r="H55" s="717"/>
      <c r="I55" s="718"/>
      <c r="J55" s="718"/>
      <c r="K55" s="718"/>
      <c r="L55" s="718"/>
      <c r="M55" s="719"/>
      <c r="N55" s="663"/>
      <c r="P55" s="442"/>
      <c r="Q55" s="443"/>
      <c r="R55" s="443"/>
      <c r="S55" s="443"/>
      <c r="T55" s="443"/>
      <c r="U55" s="443"/>
      <c r="V55" s="443"/>
      <c r="W55" s="443"/>
      <c r="X55" s="443"/>
      <c r="Y55" s="443"/>
      <c r="Z55" s="443"/>
      <c r="AA55" s="443"/>
      <c r="AB55" s="443"/>
      <c r="AC55" s="444"/>
    </row>
    <row r="56" spans="2:29" s="696" customFormat="1" ht="19.899999999999999" customHeight="1">
      <c r="B56" s="665"/>
      <c r="C56" s="1065" t="s">
        <v>921</v>
      </c>
      <c r="D56" s="739"/>
      <c r="E56" s="740">
        <v>-2760</v>
      </c>
      <c r="F56" s="740">
        <v>-3600</v>
      </c>
      <c r="G56" s="740">
        <v>-3600</v>
      </c>
      <c r="H56" s="1066" t="s">
        <v>923</v>
      </c>
      <c r="I56" s="741"/>
      <c r="J56" s="741"/>
      <c r="K56" s="741"/>
      <c r="L56" s="741"/>
      <c r="M56" s="742"/>
      <c r="N56" s="663"/>
      <c r="P56" s="442"/>
      <c r="Q56" s="443"/>
      <c r="R56" s="443"/>
      <c r="S56" s="443"/>
      <c r="T56" s="443"/>
      <c r="U56" s="443"/>
      <c r="V56" s="443"/>
      <c r="W56" s="443"/>
      <c r="X56" s="443"/>
      <c r="Y56" s="443"/>
      <c r="Z56" s="443"/>
      <c r="AA56" s="443"/>
      <c r="AB56" s="443"/>
      <c r="AC56" s="444"/>
    </row>
    <row r="57" spans="2:29" s="696" customFormat="1" ht="19.899999999999999" customHeight="1">
      <c r="B57" s="665"/>
      <c r="C57" s="1067" t="s">
        <v>924</v>
      </c>
      <c r="D57" s="593"/>
      <c r="E57" s="614">
        <v>-2703.97</v>
      </c>
      <c r="F57" s="614">
        <v>0</v>
      </c>
      <c r="G57" s="614">
        <v>0</v>
      </c>
      <c r="H57" s="1068" t="s">
        <v>922</v>
      </c>
      <c r="I57" s="743"/>
      <c r="J57" s="743"/>
      <c r="K57" s="743"/>
      <c r="L57" s="743"/>
      <c r="M57" s="563"/>
      <c r="N57" s="663"/>
      <c r="P57" s="442"/>
      <c r="Q57" s="443"/>
      <c r="R57" s="443"/>
      <c r="S57" s="443"/>
      <c r="T57" s="443"/>
      <c r="U57" s="443"/>
      <c r="V57" s="443"/>
      <c r="W57" s="443"/>
      <c r="X57" s="443"/>
      <c r="Y57" s="443"/>
      <c r="Z57" s="443"/>
      <c r="AA57" s="443"/>
      <c r="AB57" s="443"/>
      <c r="AC57" s="444"/>
    </row>
    <row r="58" spans="2:29" s="696" customFormat="1" ht="19.899999999999999" customHeight="1">
      <c r="B58" s="665"/>
      <c r="C58" s="1070" t="s">
        <v>927</v>
      </c>
      <c r="D58" s="593"/>
      <c r="E58" s="614">
        <v>-1173.82</v>
      </c>
      <c r="F58" s="614">
        <v>0</v>
      </c>
      <c r="G58" s="614">
        <v>0</v>
      </c>
      <c r="H58" s="1068" t="s">
        <v>928</v>
      </c>
      <c r="I58" s="743"/>
      <c r="J58" s="743"/>
      <c r="K58" s="743"/>
      <c r="L58" s="743"/>
      <c r="M58" s="563"/>
      <c r="N58" s="663"/>
      <c r="P58" s="442"/>
      <c r="Q58" s="443"/>
      <c r="R58" s="443"/>
      <c r="S58" s="443"/>
      <c r="T58" s="443"/>
      <c r="U58" s="443"/>
      <c r="V58" s="443"/>
      <c r="W58" s="443"/>
      <c r="X58" s="443"/>
      <c r="Y58" s="443"/>
      <c r="Z58" s="443"/>
      <c r="AA58" s="443"/>
      <c r="AB58" s="443"/>
      <c r="AC58" s="444"/>
    </row>
    <row r="59" spans="2:29" s="696" customFormat="1" ht="19.899999999999999" customHeight="1">
      <c r="B59" s="665"/>
      <c r="C59" s="1067" t="s">
        <v>926</v>
      </c>
      <c r="D59" s="593"/>
      <c r="E59" s="614">
        <v>-1561.45</v>
      </c>
      <c r="F59" s="614">
        <v>-706.26</v>
      </c>
      <c r="G59" s="614">
        <v>0</v>
      </c>
      <c r="H59" s="1068" t="s">
        <v>925</v>
      </c>
      <c r="I59" s="743"/>
      <c r="J59" s="743"/>
      <c r="K59" s="743"/>
      <c r="L59" s="743"/>
      <c r="M59" s="563"/>
      <c r="N59" s="663"/>
      <c r="P59" s="442"/>
      <c r="Q59" s="443"/>
      <c r="R59" s="443"/>
      <c r="S59" s="443"/>
      <c r="T59" s="443"/>
      <c r="U59" s="443"/>
      <c r="V59" s="443"/>
      <c r="W59" s="443"/>
      <c r="X59" s="443"/>
      <c r="Y59" s="443"/>
      <c r="Z59" s="443"/>
      <c r="AA59" s="443"/>
      <c r="AB59" s="443"/>
      <c r="AC59" s="444"/>
    </row>
    <row r="60" spans="2:29" s="696" customFormat="1" ht="19.899999999999999" customHeight="1">
      <c r="B60" s="665"/>
      <c r="C60" s="1070" t="s">
        <v>929</v>
      </c>
      <c r="D60" s="593"/>
      <c r="E60" s="614">
        <v>0</v>
      </c>
      <c r="F60" s="614">
        <v>0</v>
      </c>
      <c r="G60" s="614">
        <v>-1488878.88</v>
      </c>
      <c r="H60" s="1068" t="s">
        <v>930</v>
      </c>
      <c r="I60" s="743"/>
      <c r="J60" s="743"/>
      <c r="K60" s="743"/>
      <c r="L60" s="743"/>
      <c r="M60" s="563"/>
      <c r="N60" s="663"/>
      <c r="P60" s="442"/>
      <c r="Q60" s="443"/>
      <c r="R60" s="443"/>
      <c r="S60" s="443"/>
      <c r="T60" s="443"/>
      <c r="U60" s="443"/>
      <c r="V60" s="443"/>
      <c r="W60" s="443"/>
      <c r="X60" s="443"/>
      <c r="Y60" s="443"/>
      <c r="Z60" s="443"/>
      <c r="AA60" s="443"/>
      <c r="AB60" s="443"/>
      <c r="AC60" s="444"/>
    </row>
    <row r="61" spans="2:29" s="696" customFormat="1" ht="19.899999999999999" customHeight="1">
      <c r="B61" s="665"/>
      <c r="C61" s="544"/>
      <c r="D61" s="593"/>
      <c r="E61" s="614"/>
      <c r="F61" s="614"/>
      <c r="G61" s="614"/>
      <c r="H61" s="566"/>
      <c r="I61" s="743"/>
      <c r="J61" s="743"/>
      <c r="K61" s="743"/>
      <c r="L61" s="743"/>
      <c r="M61" s="563"/>
      <c r="N61" s="663"/>
      <c r="P61" s="442"/>
      <c r="Q61" s="443"/>
      <c r="R61" s="443"/>
      <c r="S61" s="443"/>
      <c r="T61" s="443"/>
      <c r="U61" s="443"/>
      <c r="V61" s="443"/>
      <c r="W61" s="443"/>
      <c r="X61" s="443"/>
      <c r="Y61" s="443"/>
      <c r="Z61" s="443"/>
      <c r="AA61" s="443"/>
      <c r="AB61" s="443"/>
      <c r="AC61" s="444"/>
    </row>
    <row r="62" spans="2:29" s="696" customFormat="1" ht="19.899999999999999" customHeight="1">
      <c r="B62" s="665"/>
      <c r="C62" s="594"/>
      <c r="D62" s="595"/>
      <c r="E62" s="615"/>
      <c r="F62" s="615"/>
      <c r="G62" s="615"/>
      <c r="H62" s="564"/>
      <c r="I62" s="557"/>
      <c r="J62" s="557"/>
      <c r="K62" s="557"/>
      <c r="L62" s="557"/>
      <c r="M62" s="565"/>
      <c r="N62" s="663"/>
      <c r="P62" s="442"/>
      <c r="Q62" s="443"/>
      <c r="R62" s="443"/>
      <c r="S62" s="443"/>
      <c r="T62" s="443"/>
      <c r="U62" s="443"/>
      <c r="V62" s="443"/>
      <c r="W62" s="443"/>
      <c r="X62" s="443"/>
      <c r="Y62" s="443"/>
      <c r="Z62" s="443"/>
      <c r="AA62" s="443"/>
      <c r="AB62" s="443"/>
      <c r="AC62" s="444"/>
    </row>
    <row r="63" spans="2:29" s="696" customFormat="1" ht="22.9" customHeight="1">
      <c r="B63" s="665"/>
      <c r="C63" s="713"/>
      <c r="D63" s="713"/>
      <c r="E63" s="714"/>
      <c r="F63" s="714"/>
      <c r="G63" s="714"/>
      <c r="H63" s="714"/>
      <c r="I63" s="714"/>
      <c r="J63" s="714"/>
      <c r="K63" s="714"/>
      <c r="L63" s="714"/>
      <c r="M63" s="714"/>
      <c r="N63" s="663"/>
      <c r="P63" s="442"/>
      <c r="Q63" s="443"/>
      <c r="R63" s="443"/>
      <c r="S63" s="443"/>
      <c r="T63" s="443"/>
      <c r="U63" s="443"/>
      <c r="V63" s="443"/>
      <c r="W63" s="443"/>
      <c r="X63" s="443"/>
      <c r="Y63" s="443"/>
      <c r="Z63" s="443"/>
      <c r="AA63" s="443"/>
      <c r="AB63" s="443"/>
      <c r="AC63" s="444"/>
    </row>
    <row r="64" spans="2:29" s="696" customFormat="1" ht="22.9" customHeight="1">
      <c r="B64" s="665"/>
      <c r="C64" s="675"/>
      <c r="D64" s="676"/>
      <c r="E64" s="715" t="s">
        <v>183</v>
      </c>
      <c r="F64" s="715" t="s">
        <v>184</v>
      </c>
      <c r="G64" s="715" t="s">
        <v>185</v>
      </c>
      <c r="H64" s="1130" t="s">
        <v>585</v>
      </c>
      <c r="I64" s="1131"/>
      <c r="J64" s="1131"/>
      <c r="K64" s="1131"/>
      <c r="L64" s="1131"/>
      <c r="M64" s="1132"/>
      <c r="N64" s="663"/>
      <c r="P64" s="442"/>
      <c r="Q64" s="443"/>
      <c r="R64" s="443"/>
      <c r="S64" s="443"/>
      <c r="T64" s="443"/>
      <c r="U64" s="443"/>
      <c r="V64" s="443"/>
      <c r="W64" s="443"/>
      <c r="X64" s="443"/>
      <c r="Y64" s="443"/>
      <c r="Z64" s="443"/>
      <c r="AA64" s="443"/>
      <c r="AB64" s="443"/>
      <c r="AC64" s="444"/>
    </row>
    <row r="65" spans="2:29" s="696" customFormat="1" ht="22.9" customHeight="1">
      <c r="B65" s="665"/>
      <c r="C65" s="683" t="s">
        <v>670</v>
      </c>
      <c r="D65" s="684"/>
      <c r="E65" s="716">
        <f>ejercicio-2</f>
        <v>2016</v>
      </c>
      <c r="F65" s="716">
        <f>ejercicio-1</f>
        <v>2017</v>
      </c>
      <c r="G65" s="716">
        <f>ejercicio</f>
        <v>2018</v>
      </c>
      <c r="H65" s="1133"/>
      <c r="I65" s="1134"/>
      <c r="J65" s="1134"/>
      <c r="K65" s="1134"/>
      <c r="L65" s="1134"/>
      <c r="M65" s="1135"/>
      <c r="N65" s="663"/>
      <c r="P65" s="442"/>
      <c r="Q65" s="443"/>
      <c r="R65" s="443"/>
      <c r="S65" s="443"/>
      <c r="T65" s="443"/>
      <c r="U65" s="443"/>
      <c r="V65" s="443"/>
      <c r="W65" s="443"/>
      <c r="X65" s="443"/>
      <c r="Y65" s="443"/>
      <c r="Z65" s="443"/>
      <c r="AA65" s="443"/>
      <c r="AB65" s="443"/>
      <c r="AC65" s="444"/>
    </row>
    <row r="66" spans="2:29" s="696" customFormat="1" ht="22.9" customHeight="1">
      <c r="B66" s="665"/>
      <c r="C66" s="694" t="s">
        <v>671</v>
      </c>
      <c r="D66" s="695"/>
      <c r="E66" s="533">
        <v>197066.29</v>
      </c>
      <c r="F66" s="533">
        <v>109567.9</v>
      </c>
      <c r="G66" s="925">
        <v>0</v>
      </c>
      <c r="H66" s="744"/>
      <c r="I66" s="745"/>
      <c r="J66" s="745"/>
      <c r="K66" s="745"/>
      <c r="L66" s="745"/>
      <c r="M66" s="534"/>
      <c r="N66" s="663"/>
      <c r="P66" s="442"/>
      <c r="Q66" s="443"/>
      <c r="R66" s="443"/>
      <c r="S66" s="443"/>
      <c r="T66" s="443"/>
      <c r="U66" s="443"/>
      <c r="V66" s="443"/>
      <c r="W66" s="443"/>
      <c r="X66" s="443"/>
      <c r="Y66" s="443"/>
      <c r="Z66" s="443"/>
      <c r="AA66" s="443"/>
      <c r="AB66" s="443"/>
      <c r="AC66" s="444"/>
    </row>
    <row r="67" spans="2:29" s="696" customFormat="1" ht="22.9" customHeight="1">
      <c r="B67" s="665"/>
      <c r="C67" s="697" t="s">
        <v>672</v>
      </c>
      <c r="D67" s="698"/>
      <c r="E67" s="538">
        <v>-5483.7</v>
      </c>
      <c r="F67" s="538">
        <v>-169780.5</v>
      </c>
      <c r="G67" s="615">
        <f>193641.589083241-109567.9</f>
        <v>84073.689083241014</v>
      </c>
      <c r="H67" s="564"/>
      <c r="I67" s="557"/>
      <c r="J67" s="557"/>
      <c r="K67" s="557"/>
      <c r="L67" s="557"/>
      <c r="M67" s="565"/>
      <c r="N67" s="663"/>
      <c r="P67" s="442"/>
      <c r="Q67" s="443"/>
      <c r="R67" s="443"/>
      <c r="S67" s="443"/>
      <c r="T67" s="443"/>
      <c r="U67" s="443"/>
      <c r="V67" s="443"/>
      <c r="W67" s="443"/>
      <c r="X67" s="443"/>
      <c r="Y67" s="443"/>
      <c r="Z67" s="443"/>
      <c r="AA67" s="443"/>
      <c r="AB67" s="443"/>
      <c r="AC67" s="444"/>
    </row>
    <row r="68" spans="2:29" s="696" customFormat="1" ht="22.9" customHeight="1">
      <c r="B68" s="665"/>
      <c r="C68" s="713"/>
      <c r="D68" s="713"/>
      <c r="E68" s="714"/>
      <c r="F68" s="714"/>
      <c r="G68" s="714"/>
      <c r="H68" s="714"/>
      <c r="I68" s="714"/>
      <c r="J68" s="714"/>
      <c r="K68" s="714"/>
      <c r="L68" s="714"/>
      <c r="M68" s="714"/>
      <c r="N68" s="663"/>
      <c r="P68" s="442"/>
      <c r="Q68" s="443"/>
      <c r="R68" s="443"/>
      <c r="S68" s="443"/>
      <c r="T68" s="443"/>
      <c r="U68" s="443"/>
      <c r="V68" s="443"/>
      <c r="W68" s="443"/>
      <c r="X68" s="443"/>
      <c r="Y68" s="443"/>
      <c r="Z68" s="443"/>
      <c r="AA68" s="443"/>
      <c r="AB68" s="443"/>
      <c r="AC68" s="444"/>
    </row>
    <row r="69" spans="2:29" s="696" customFormat="1" ht="22.9" customHeight="1">
      <c r="B69" s="665"/>
      <c r="C69" s="675"/>
      <c r="D69" s="676"/>
      <c r="E69" s="715" t="s">
        <v>183</v>
      </c>
      <c r="F69" s="715" t="s">
        <v>184</v>
      </c>
      <c r="G69" s="715" t="s">
        <v>185</v>
      </c>
      <c r="H69" s="1130" t="s">
        <v>585</v>
      </c>
      <c r="I69" s="1131"/>
      <c r="J69" s="1131"/>
      <c r="K69" s="1131"/>
      <c r="L69" s="1131"/>
      <c r="M69" s="1132"/>
      <c r="N69" s="663"/>
      <c r="P69" s="442"/>
      <c r="Q69" s="443"/>
      <c r="R69" s="443"/>
      <c r="S69" s="443"/>
      <c r="T69" s="443"/>
      <c r="U69" s="443"/>
      <c r="V69" s="443"/>
      <c r="W69" s="443"/>
      <c r="X69" s="443"/>
      <c r="Y69" s="443"/>
      <c r="Z69" s="443"/>
      <c r="AA69" s="443"/>
      <c r="AB69" s="443"/>
      <c r="AC69" s="444"/>
    </row>
    <row r="70" spans="2:29" s="696" customFormat="1" ht="22.9" customHeight="1">
      <c r="B70" s="665"/>
      <c r="C70" s="683" t="s">
        <v>709</v>
      </c>
      <c r="D70" s="684"/>
      <c r="E70" s="716">
        <f>ejercicio-2</f>
        <v>2016</v>
      </c>
      <c r="F70" s="716">
        <f>ejercicio-1</f>
        <v>2017</v>
      </c>
      <c r="G70" s="716">
        <f>ejercicio</f>
        <v>2018</v>
      </c>
      <c r="H70" s="1133"/>
      <c r="I70" s="1134"/>
      <c r="J70" s="1134"/>
      <c r="K70" s="1134"/>
      <c r="L70" s="1134"/>
      <c r="M70" s="1135"/>
      <c r="N70" s="663"/>
      <c r="P70" s="442"/>
      <c r="Q70" s="443"/>
      <c r="R70" s="443"/>
      <c r="S70" s="443"/>
      <c r="T70" s="443"/>
      <c r="U70" s="443"/>
      <c r="V70" s="443"/>
      <c r="W70" s="443"/>
      <c r="X70" s="443"/>
      <c r="Y70" s="443"/>
      <c r="Z70" s="443"/>
      <c r="AA70" s="443"/>
      <c r="AB70" s="443"/>
      <c r="AC70" s="444"/>
    </row>
    <row r="71" spans="2:29" s="696" customFormat="1" ht="22.9" customHeight="1">
      <c r="B71" s="665"/>
      <c r="C71" s="688" t="s">
        <v>710</v>
      </c>
      <c r="D71" s="689"/>
      <c r="E71" s="690">
        <f>SUM(E72:E74)</f>
        <v>5019436.75</v>
      </c>
      <c r="F71" s="690">
        <f>SUM(F72:F74)</f>
        <v>5134216.513850498</v>
      </c>
      <c r="G71" s="690">
        <f>SUM(G72:G74)</f>
        <v>5190253.7533767037</v>
      </c>
      <c r="H71" s="720"/>
      <c r="I71" s="721"/>
      <c r="J71" s="721"/>
      <c r="K71" s="721"/>
      <c r="L71" s="721"/>
      <c r="M71" s="722"/>
      <c r="N71" s="663"/>
      <c r="P71" s="442"/>
      <c r="Q71" s="443"/>
      <c r="R71" s="443"/>
      <c r="S71" s="443"/>
      <c r="T71" s="443"/>
      <c r="U71" s="443"/>
      <c r="V71" s="443"/>
      <c r="W71" s="443"/>
      <c r="X71" s="443"/>
      <c r="Y71" s="443"/>
      <c r="Z71" s="443"/>
      <c r="AA71" s="443"/>
      <c r="AB71" s="443"/>
      <c r="AC71" s="444"/>
    </row>
    <row r="72" spans="2:29" s="696" customFormat="1" ht="22.9" customHeight="1">
      <c r="B72" s="665"/>
      <c r="C72" s="723" t="s">
        <v>711</v>
      </c>
      <c r="D72" s="724"/>
      <c r="E72" s="535">
        <v>0</v>
      </c>
      <c r="F72" s="535">
        <v>0</v>
      </c>
      <c r="G72" s="535">
        <v>0</v>
      </c>
      <c r="H72" s="561"/>
      <c r="I72" s="556"/>
      <c r="J72" s="556"/>
      <c r="K72" s="556"/>
      <c r="L72" s="556"/>
      <c r="M72" s="562"/>
      <c r="N72" s="663"/>
      <c r="P72" s="442"/>
      <c r="Q72" s="443"/>
      <c r="R72" s="443"/>
      <c r="S72" s="443"/>
      <c r="T72" s="443"/>
      <c r="U72" s="443"/>
      <c r="V72" s="443"/>
      <c r="W72" s="443"/>
      <c r="X72" s="443"/>
      <c r="Y72" s="443"/>
      <c r="Z72" s="443"/>
      <c r="AA72" s="443"/>
      <c r="AB72" s="443"/>
      <c r="AC72" s="444"/>
    </row>
    <row r="73" spans="2:29" s="696" customFormat="1" ht="22.9" customHeight="1">
      <c r="B73" s="665"/>
      <c r="C73" s="725" t="s">
        <v>712</v>
      </c>
      <c r="D73" s="699"/>
      <c r="E73" s="536">
        <v>0</v>
      </c>
      <c r="F73" s="536">
        <v>0</v>
      </c>
      <c r="G73" s="536">
        <v>0</v>
      </c>
      <c r="H73" s="566"/>
      <c r="I73" s="743"/>
      <c r="J73" s="743"/>
      <c r="K73" s="743"/>
      <c r="L73" s="743"/>
      <c r="M73" s="563"/>
      <c r="N73" s="663"/>
      <c r="P73" s="442"/>
      <c r="Q73" s="443"/>
      <c r="R73" s="443"/>
      <c r="S73" s="443"/>
      <c r="T73" s="443"/>
      <c r="U73" s="443"/>
      <c r="V73" s="443"/>
      <c r="W73" s="443"/>
      <c r="X73" s="443"/>
      <c r="Y73" s="443"/>
      <c r="Z73" s="443"/>
      <c r="AA73" s="443"/>
      <c r="AB73" s="443"/>
      <c r="AC73" s="444"/>
    </row>
    <row r="74" spans="2:29" s="696" customFormat="1" ht="22.9" customHeight="1">
      <c r="B74" s="665"/>
      <c r="C74" s="726" t="s">
        <v>713</v>
      </c>
      <c r="D74" s="727"/>
      <c r="E74" s="537">
        <v>5019436.75</v>
      </c>
      <c r="F74" s="537">
        <v>5134216.513850498</v>
      </c>
      <c r="G74" s="537">
        <v>5190253.7533767037</v>
      </c>
      <c r="H74" s="1071" t="s">
        <v>931</v>
      </c>
      <c r="I74" s="746"/>
      <c r="J74" s="746"/>
      <c r="K74" s="746"/>
      <c r="L74" s="746"/>
      <c r="M74" s="520"/>
      <c r="N74" s="663"/>
      <c r="P74" s="442"/>
      <c r="Q74" s="443"/>
      <c r="R74" s="443"/>
      <c r="S74" s="443"/>
      <c r="T74" s="443"/>
      <c r="U74" s="443"/>
      <c r="V74" s="443"/>
      <c r="W74" s="443"/>
      <c r="X74" s="443"/>
      <c r="Y74" s="443"/>
      <c r="Z74" s="443"/>
      <c r="AA74" s="443"/>
      <c r="AB74" s="443"/>
      <c r="AC74" s="444"/>
    </row>
    <row r="75" spans="2:29" s="693" customFormat="1" ht="22.9" customHeight="1">
      <c r="B75" s="687"/>
      <c r="C75" s="688" t="s">
        <v>719</v>
      </c>
      <c r="D75" s="689"/>
      <c r="E75" s="690">
        <f>SUM(E76:E81)</f>
        <v>226078.1</v>
      </c>
      <c r="F75" s="690">
        <f>SUM(F76:F81)</f>
        <v>517736.37678473507</v>
      </c>
      <c r="G75" s="690">
        <f>SUM(G76:G81)</f>
        <v>575258.32530615199</v>
      </c>
      <c r="H75" s="720"/>
      <c r="I75" s="721"/>
      <c r="J75" s="721"/>
      <c r="K75" s="721"/>
      <c r="L75" s="721"/>
      <c r="M75" s="722"/>
      <c r="N75" s="728"/>
      <c r="P75" s="442"/>
      <c r="Q75" s="443"/>
      <c r="R75" s="443"/>
      <c r="S75" s="443"/>
      <c r="T75" s="443"/>
      <c r="U75" s="443"/>
      <c r="V75" s="443"/>
      <c r="W75" s="443"/>
      <c r="X75" s="443"/>
      <c r="Y75" s="443"/>
      <c r="Z75" s="443"/>
      <c r="AA75" s="443"/>
      <c r="AB75" s="443"/>
      <c r="AC75" s="444"/>
    </row>
    <row r="76" spans="2:29" s="696" customFormat="1" ht="22.9" customHeight="1">
      <c r="B76" s="665"/>
      <c r="C76" s="723" t="s">
        <v>714</v>
      </c>
      <c r="D76" s="724"/>
      <c r="E76" s="612">
        <v>18728.34</v>
      </c>
      <c r="F76" s="614">
        <v>21354</v>
      </c>
      <c r="G76" s="614">
        <v>21354</v>
      </c>
      <c r="H76" s="1072" t="s">
        <v>946</v>
      </c>
      <c r="I76" s="556"/>
      <c r="J76" s="556"/>
      <c r="K76" s="556"/>
      <c r="L76" s="556"/>
      <c r="M76" s="562"/>
      <c r="N76" s="663"/>
      <c r="P76" s="442"/>
      <c r="Q76" s="443"/>
      <c r="R76" s="443"/>
      <c r="S76" s="443"/>
      <c r="T76" s="443"/>
      <c r="U76" s="443"/>
      <c r="V76" s="443"/>
      <c r="W76" s="443"/>
      <c r="X76" s="443"/>
      <c r="Y76" s="443"/>
      <c r="Z76" s="443"/>
      <c r="AA76" s="443"/>
      <c r="AB76" s="443"/>
      <c r="AC76" s="444"/>
    </row>
    <row r="77" spans="2:29" s="696" customFormat="1" ht="22.9" customHeight="1">
      <c r="B77" s="665"/>
      <c r="C77" s="725" t="s">
        <v>715</v>
      </c>
      <c r="D77" s="699"/>
      <c r="E77" s="614"/>
      <c r="F77" s="614"/>
      <c r="G77" s="614"/>
      <c r="H77" s="1044"/>
      <c r="I77" s="743"/>
      <c r="J77" s="743"/>
      <c r="K77" s="743"/>
      <c r="L77" s="743"/>
      <c r="M77" s="563"/>
      <c r="N77" s="663"/>
      <c r="P77" s="442"/>
      <c r="Q77" s="443"/>
      <c r="R77" s="443"/>
      <c r="S77" s="443"/>
      <c r="T77" s="443"/>
      <c r="U77" s="443"/>
      <c r="V77" s="443"/>
      <c r="W77" s="443"/>
      <c r="X77" s="443"/>
      <c r="Y77" s="443"/>
      <c r="Z77" s="443"/>
      <c r="AA77" s="443"/>
      <c r="AB77" s="443"/>
      <c r="AC77" s="444"/>
    </row>
    <row r="78" spans="2:29" s="696" customFormat="1" ht="22.9" customHeight="1">
      <c r="B78" s="665"/>
      <c r="C78" s="725" t="s">
        <v>716</v>
      </c>
      <c r="D78" s="699"/>
      <c r="E78" s="614"/>
      <c r="F78" s="614"/>
      <c r="G78" s="614"/>
      <c r="H78" s="566"/>
      <c r="I78" s="743"/>
      <c r="J78" s="743"/>
      <c r="K78" s="743"/>
      <c r="L78" s="743"/>
      <c r="M78" s="563"/>
      <c r="N78" s="663"/>
      <c r="P78" s="442"/>
      <c r="Q78" s="443"/>
      <c r="R78" s="443"/>
      <c r="S78" s="443"/>
      <c r="T78" s="443"/>
      <c r="U78" s="443"/>
      <c r="V78" s="443"/>
      <c r="W78" s="443"/>
      <c r="X78" s="443"/>
      <c r="Y78" s="443"/>
      <c r="Z78" s="443"/>
      <c r="AA78" s="443"/>
      <c r="AB78" s="443"/>
      <c r="AC78" s="444"/>
    </row>
    <row r="79" spans="2:29" s="696" customFormat="1" ht="22.9" customHeight="1">
      <c r="B79" s="665"/>
      <c r="C79" s="725" t="s">
        <v>717</v>
      </c>
      <c r="D79" s="699"/>
      <c r="E79" s="614">
        <v>207349.76000000001</v>
      </c>
      <c r="F79" s="614">
        <v>496382.37678473507</v>
      </c>
      <c r="G79" s="614">
        <v>364278.32530615199</v>
      </c>
      <c r="H79" s="566"/>
      <c r="I79" s="743"/>
      <c r="J79" s="743"/>
      <c r="K79" s="743"/>
      <c r="L79" s="743"/>
      <c r="M79" s="563"/>
      <c r="N79" s="663"/>
      <c r="P79" s="442"/>
      <c r="Q79" s="443"/>
      <c r="R79" s="443"/>
      <c r="S79" s="443"/>
      <c r="T79" s="443"/>
      <c r="U79" s="443"/>
      <c r="V79" s="443"/>
      <c r="W79" s="443"/>
      <c r="X79" s="443"/>
      <c r="Y79" s="443"/>
      <c r="Z79" s="443"/>
      <c r="AA79" s="443"/>
      <c r="AB79" s="443"/>
      <c r="AC79" s="444"/>
    </row>
    <row r="80" spans="2:29" s="696" customFormat="1" ht="22.9" customHeight="1">
      <c r="B80" s="665"/>
      <c r="C80" s="729" t="s">
        <v>745</v>
      </c>
      <c r="D80" s="699"/>
      <c r="E80" s="614"/>
      <c r="F80" s="614"/>
      <c r="G80" s="614"/>
      <c r="H80" s="566"/>
      <c r="I80" s="743"/>
      <c r="J80" s="743"/>
      <c r="K80" s="743"/>
      <c r="L80" s="743"/>
      <c r="M80" s="563"/>
      <c r="N80" s="663"/>
      <c r="P80" s="442"/>
      <c r="Q80" s="443"/>
      <c r="R80" s="443"/>
      <c r="S80" s="443"/>
      <c r="T80" s="443"/>
      <c r="U80" s="443"/>
      <c r="V80" s="443"/>
      <c r="W80" s="443"/>
      <c r="X80" s="443"/>
      <c r="Y80" s="443"/>
      <c r="Z80" s="443"/>
      <c r="AA80" s="443"/>
      <c r="AB80" s="443"/>
      <c r="AC80" s="444"/>
    </row>
    <row r="81" spans="2:29" s="696" customFormat="1" ht="22.9" customHeight="1">
      <c r="B81" s="665"/>
      <c r="C81" s="697" t="s">
        <v>718</v>
      </c>
      <c r="D81" s="698"/>
      <c r="E81" s="615">
        <v>0</v>
      </c>
      <c r="F81" s="615">
        <v>0</v>
      </c>
      <c r="G81" s="615">
        <f>400846-211220</f>
        <v>189626</v>
      </c>
      <c r="H81" s="1073" t="s">
        <v>947</v>
      </c>
      <c r="I81" s="557"/>
      <c r="J81" s="557"/>
      <c r="K81" s="557"/>
      <c r="L81" s="557"/>
      <c r="M81" s="565"/>
      <c r="N81" s="663"/>
      <c r="P81" s="442"/>
      <c r="Q81" s="443"/>
      <c r="R81" s="443"/>
      <c r="S81" s="443"/>
      <c r="T81" s="443"/>
      <c r="U81" s="443"/>
      <c r="V81" s="443"/>
      <c r="W81" s="443"/>
      <c r="X81" s="443"/>
      <c r="Y81" s="443"/>
      <c r="Z81" s="443"/>
      <c r="AA81" s="443"/>
      <c r="AB81" s="443"/>
      <c r="AC81" s="444"/>
    </row>
    <row r="82" spans="2:29" s="696" customFormat="1" ht="22.9" customHeight="1">
      <c r="B82" s="665"/>
      <c r="C82" s="713"/>
      <c r="D82" s="713"/>
      <c r="E82" s="714"/>
      <c r="F82" s="714"/>
      <c r="G82" s="714"/>
      <c r="H82" s="714"/>
      <c r="I82" s="714"/>
      <c r="J82" s="714"/>
      <c r="K82" s="714"/>
      <c r="L82" s="714"/>
      <c r="M82" s="714"/>
      <c r="N82" s="663"/>
      <c r="P82" s="442"/>
      <c r="Q82" s="443"/>
      <c r="R82" s="443"/>
      <c r="S82" s="443"/>
      <c r="T82" s="443"/>
      <c r="U82" s="443"/>
      <c r="V82" s="443"/>
      <c r="W82" s="443"/>
      <c r="X82" s="443"/>
      <c r="Y82" s="443"/>
      <c r="Z82" s="443"/>
      <c r="AA82" s="443"/>
      <c r="AB82" s="443"/>
      <c r="AC82" s="444"/>
    </row>
    <row r="83" spans="2:29" s="696" customFormat="1" ht="22.9" customHeight="1">
      <c r="B83" s="665"/>
      <c r="C83" s="1139" t="s">
        <v>781</v>
      </c>
      <c r="D83" s="1140"/>
      <c r="E83" s="1141"/>
      <c r="F83" s="870" t="s">
        <v>423</v>
      </c>
      <c r="G83" s="715" t="s">
        <v>185</v>
      </c>
      <c r="H83" s="1137" t="s">
        <v>585</v>
      </c>
      <c r="I83" s="1137"/>
      <c r="J83" s="1137"/>
      <c r="K83" s="1137"/>
      <c r="L83" s="1137"/>
      <c r="M83" s="1137"/>
      <c r="N83" s="663"/>
      <c r="P83" s="442"/>
      <c r="Q83" s="443"/>
      <c r="R83" s="443"/>
      <c r="S83" s="443"/>
      <c r="T83" s="443"/>
      <c r="U83" s="443"/>
      <c r="V83" s="443"/>
      <c r="W83" s="443"/>
      <c r="X83" s="443"/>
      <c r="Y83" s="443"/>
      <c r="Z83" s="443"/>
      <c r="AA83" s="443"/>
      <c r="AB83" s="443"/>
      <c r="AC83" s="444"/>
    </row>
    <row r="84" spans="2:29" s="696" customFormat="1" ht="43.15" customHeight="1">
      <c r="B84" s="665"/>
      <c r="C84" s="1142"/>
      <c r="D84" s="1143"/>
      <c r="E84" s="1144"/>
      <c r="F84" s="871" t="s">
        <v>782</v>
      </c>
      <c r="G84" s="716">
        <f>ejercicio</f>
        <v>2018</v>
      </c>
      <c r="H84" s="1138"/>
      <c r="I84" s="1138"/>
      <c r="J84" s="1138"/>
      <c r="K84" s="1138"/>
      <c r="L84" s="1138"/>
      <c r="M84" s="1138"/>
      <c r="N84" s="663"/>
      <c r="P84" s="442"/>
      <c r="Q84" s="443"/>
      <c r="R84" s="443"/>
      <c r="S84" s="443"/>
      <c r="T84" s="443"/>
      <c r="U84" s="443"/>
      <c r="V84" s="443"/>
      <c r="W84" s="443"/>
      <c r="X84" s="443"/>
      <c r="Y84" s="443"/>
      <c r="Z84" s="443"/>
      <c r="AA84" s="443"/>
      <c r="AB84" s="443"/>
      <c r="AC84" s="444"/>
    </row>
    <row r="85" spans="2:29" s="696" customFormat="1" ht="22.9" customHeight="1" thickBot="1">
      <c r="B85" s="665"/>
      <c r="C85" s="708" t="s">
        <v>786</v>
      </c>
      <c r="D85" s="875"/>
      <c r="E85" s="876"/>
      <c r="F85" s="710"/>
      <c r="G85" s="710">
        <f>SUM(G86:G88)</f>
        <v>0</v>
      </c>
      <c r="H85" s="717"/>
      <c r="I85" s="718"/>
      <c r="J85" s="718"/>
      <c r="K85" s="718"/>
      <c r="L85" s="718"/>
      <c r="M85" s="719"/>
      <c r="N85" s="663"/>
      <c r="P85" s="442"/>
      <c r="Q85" s="443"/>
      <c r="R85" s="443"/>
      <c r="S85" s="443"/>
      <c r="T85" s="443"/>
      <c r="U85" s="443"/>
      <c r="V85" s="443"/>
      <c r="W85" s="443"/>
      <c r="X85" s="443"/>
      <c r="Y85" s="443"/>
      <c r="Z85" s="443"/>
      <c r="AA85" s="443"/>
      <c r="AB85" s="443"/>
      <c r="AC85" s="444"/>
    </row>
    <row r="86" spans="2:29" s="696" customFormat="1" ht="22.9" customHeight="1">
      <c r="B86" s="665"/>
      <c r="C86" s="1145" t="s">
        <v>783</v>
      </c>
      <c r="D86" s="1146"/>
      <c r="E86" s="1147"/>
      <c r="F86" s="926"/>
      <c r="G86" s="535"/>
      <c r="H86" s="877"/>
      <c r="I86" s="556"/>
      <c r="J86" s="556"/>
      <c r="K86" s="556"/>
      <c r="L86" s="556"/>
      <c r="M86" s="755"/>
      <c r="N86" s="663"/>
      <c r="P86" s="442"/>
      <c r="Q86" s="443"/>
      <c r="R86" s="443"/>
      <c r="S86" s="443"/>
      <c r="T86" s="443"/>
      <c r="U86" s="443"/>
      <c r="V86" s="443"/>
      <c r="W86" s="443"/>
      <c r="X86" s="443"/>
      <c r="Y86" s="443"/>
      <c r="Z86" s="443"/>
      <c r="AA86" s="443"/>
      <c r="AB86" s="443"/>
      <c r="AC86" s="444"/>
    </row>
    <row r="87" spans="2:29" s="696" customFormat="1" ht="22.9" customHeight="1">
      <c r="B87" s="665"/>
      <c r="C87" s="872" t="s">
        <v>784</v>
      </c>
      <c r="D87" s="873"/>
      <c r="E87" s="874"/>
      <c r="F87" s="926"/>
      <c r="G87" s="535"/>
      <c r="H87" s="754"/>
      <c r="I87" s="556"/>
      <c r="J87" s="556"/>
      <c r="K87" s="556"/>
      <c r="L87" s="556"/>
      <c r="M87" s="755"/>
      <c r="N87" s="663"/>
      <c r="P87" s="442"/>
      <c r="Q87" s="443"/>
      <c r="R87" s="443"/>
      <c r="S87" s="443"/>
      <c r="T87" s="443"/>
      <c r="U87" s="443"/>
      <c r="V87" s="443"/>
      <c r="W87" s="443"/>
      <c r="X87" s="443"/>
      <c r="Y87" s="443"/>
      <c r="Z87" s="443"/>
      <c r="AA87" s="443"/>
      <c r="AB87" s="443"/>
      <c r="AC87" s="444"/>
    </row>
    <row r="88" spans="2:29" s="696" customFormat="1" ht="22.9" customHeight="1">
      <c r="B88" s="665"/>
      <c r="C88" s="1148" t="s">
        <v>785</v>
      </c>
      <c r="D88" s="1149"/>
      <c r="E88" s="1150"/>
      <c r="F88" s="927"/>
      <c r="G88" s="536"/>
      <c r="H88" s="756"/>
      <c r="I88" s="743"/>
      <c r="J88" s="743"/>
      <c r="K88" s="743"/>
      <c r="L88" s="743"/>
      <c r="M88" s="757"/>
      <c r="N88" s="663"/>
      <c r="P88" s="442"/>
      <c r="Q88" s="443"/>
      <c r="R88" s="443"/>
      <c r="S88" s="443"/>
      <c r="T88" s="443"/>
      <c r="U88" s="443"/>
      <c r="V88" s="443"/>
      <c r="W88" s="443"/>
      <c r="X88" s="443"/>
      <c r="Y88" s="443"/>
      <c r="Z88" s="443"/>
      <c r="AA88" s="443"/>
      <c r="AB88" s="443"/>
      <c r="AC88" s="444"/>
    </row>
    <row r="89" spans="2:29" s="696" customFormat="1" ht="22.9" customHeight="1">
      <c r="B89" s="665"/>
      <c r="C89" s="864"/>
      <c r="D89" s="713"/>
      <c r="E89" s="865"/>
      <c r="F89" s="865"/>
      <c r="G89" s="865"/>
      <c r="H89" s="866"/>
      <c r="I89" s="866"/>
      <c r="J89" s="866"/>
      <c r="K89" s="866"/>
      <c r="L89" s="866"/>
      <c r="M89" s="866"/>
      <c r="N89" s="663"/>
      <c r="P89" s="442"/>
      <c r="Q89" s="443"/>
      <c r="R89" s="443"/>
      <c r="S89" s="443"/>
      <c r="T89" s="443"/>
      <c r="U89" s="443"/>
      <c r="V89" s="443"/>
      <c r="W89" s="443"/>
      <c r="X89" s="443"/>
      <c r="Y89" s="443"/>
      <c r="Z89" s="443"/>
      <c r="AA89" s="443"/>
      <c r="AB89" s="443"/>
      <c r="AC89" s="444"/>
    </row>
    <row r="90" spans="2:29" s="696" customFormat="1" ht="22.9" customHeight="1">
      <c r="B90" s="665"/>
      <c r="C90" s="867" t="s">
        <v>416</v>
      </c>
      <c r="D90" s="868"/>
      <c r="E90" s="714"/>
      <c r="F90" s="714"/>
      <c r="G90" s="714"/>
      <c r="H90" s="714"/>
      <c r="I90" s="714"/>
      <c r="J90" s="714"/>
      <c r="K90" s="714"/>
      <c r="L90" s="714"/>
      <c r="M90" s="714"/>
      <c r="N90" s="663"/>
      <c r="P90" s="442"/>
      <c r="Q90" s="443"/>
      <c r="R90" s="443"/>
      <c r="S90" s="443"/>
      <c r="T90" s="443"/>
      <c r="U90" s="443"/>
      <c r="V90" s="443"/>
      <c r="W90" s="443"/>
      <c r="X90" s="443"/>
      <c r="Y90" s="443"/>
      <c r="Z90" s="443"/>
      <c r="AA90" s="443"/>
      <c r="AB90" s="443"/>
      <c r="AC90" s="444"/>
    </row>
    <row r="91" spans="2:29" s="696" customFormat="1" ht="22.9" customHeight="1">
      <c r="B91" s="665"/>
      <c r="C91" s="868" t="s">
        <v>838</v>
      </c>
      <c r="D91" s="868"/>
      <c r="E91" s="732"/>
      <c r="F91" s="732"/>
      <c r="G91" s="732"/>
      <c r="H91" s="732"/>
      <c r="I91" s="732"/>
      <c r="J91" s="732"/>
      <c r="K91" s="732"/>
      <c r="L91" s="732"/>
      <c r="M91" s="732"/>
      <c r="N91" s="663"/>
      <c r="P91" s="442"/>
      <c r="Q91" s="443"/>
      <c r="R91" s="443"/>
      <c r="S91" s="443"/>
      <c r="T91" s="443"/>
      <c r="U91" s="443"/>
      <c r="V91" s="443"/>
      <c r="W91" s="443"/>
      <c r="X91" s="443"/>
      <c r="Y91" s="443"/>
      <c r="Z91" s="443"/>
      <c r="AA91" s="443"/>
      <c r="AB91" s="443"/>
      <c r="AC91" s="444"/>
    </row>
    <row r="92" spans="2:29" s="696" customFormat="1" ht="22.9" customHeight="1">
      <c r="B92" s="665"/>
      <c r="C92" s="869" t="s">
        <v>674</v>
      </c>
      <c r="D92" s="868"/>
      <c r="E92" s="732"/>
      <c r="F92" s="732"/>
      <c r="G92" s="732"/>
      <c r="H92" s="732"/>
      <c r="I92" s="732"/>
      <c r="J92" s="732"/>
      <c r="K92" s="732"/>
      <c r="L92" s="732"/>
      <c r="M92" s="732"/>
      <c r="N92" s="663"/>
      <c r="P92" s="442"/>
      <c r="Q92" s="443"/>
      <c r="R92" s="443"/>
      <c r="S92" s="443"/>
      <c r="T92" s="443"/>
      <c r="U92" s="443"/>
      <c r="V92" s="443"/>
      <c r="W92" s="443"/>
      <c r="X92" s="443"/>
      <c r="Y92" s="443"/>
      <c r="Z92" s="443"/>
      <c r="AA92" s="443"/>
      <c r="AB92" s="443"/>
      <c r="AC92" s="444"/>
    </row>
    <row r="93" spans="2:29" s="696" customFormat="1" ht="22.9" customHeight="1">
      <c r="B93" s="665"/>
      <c r="C93" s="869" t="s">
        <v>839</v>
      </c>
      <c r="D93" s="868"/>
      <c r="E93" s="732"/>
      <c r="F93" s="732"/>
      <c r="G93" s="732"/>
      <c r="H93" s="732"/>
      <c r="I93" s="732"/>
      <c r="J93" s="732"/>
      <c r="K93" s="732"/>
      <c r="L93" s="732"/>
      <c r="M93" s="732"/>
      <c r="N93" s="663"/>
      <c r="P93" s="442"/>
      <c r="Q93" s="443"/>
      <c r="R93" s="443"/>
      <c r="S93" s="443"/>
      <c r="T93" s="443"/>
      <c r="U93" s="443"/>
      <c r="V93" s="443"/>
      <c r="W93" s="443"/>
      <c r="X93" s="443"/>
      <c r="Y93" s="443"/>
      <c r="Z93" s="443"/>
      <c r="AA93" s="443"/>
      <c r="AB93" s="443"/>
      <c r="AC93" s="444"/>
    </row>
    <row r="94" spans="2:29" ht="22.9" customHeight="1" thickBot="1">
      <c r="B94" s="733"/>
      <c r="C94" s="1112"/>
      <c r="D94" s="1112"/>
      <c r="E94" s="1112"/>
      <c r="F94" s="1112"/>
      <c r="G94" s="734"/>
      <c r="H94" s="734"/>
      <c r="I94" s="734"/>
      <c r="J94" s="734"/>
      <c r="K94" s="734"/>
      <c r="L94" s="734"/>
      <c r="M94" s="734"/>
      <c r="N94" s="735"/>
      <c r="P94" s="445"/>
      <c r="Q94" s="446"/>
      <c r="R94" s="446"/>
      <c r="S94" s="446"/>
      <c r="T94" s="446"/>
      <c r="U94" s="446"/>
      <c r="V94" s="446"/>
      <c r="W94" s="446"/>
      <c r="X94" s="446"/>
      <c r="Y94" s="446"/>
      <c r="Z94" s="446"/>
      <c r="AA94" s="446"/>
      <c r="AB94" s="446"/>
      <c r="AC94" s="447"/>
    </row>
    <row r="95" spans="2:29" ht="22.9" customHeight="1">
      <c r="C95" s="660"/>
      <c r="D95" s="660"/>
      <c r="E95" s="661"/>
      <c r="F95" s="661"/>
      <c r="G95" s="661"/>
      <c r="H95" s="661"/>
      <c r="I95" s="661"/>
      <c r="J95" s="661"/>
      <c r="K95" s="661"/>
      <c r="L95" s="661"/>
      <c r="M95" s="661"/>
    </row>
    <row r="96" spans="2:29" ht="12.75">
      <c r="C96" s="736" t="s">
        <v>77</v>
      </c>
      <c r="D96" s="660"/>
      <c r="E96" s="661"/>
      <c r="F96" s="661"/>
      <c r="G96" s="661"/>
      <c r="H96" s="661"/>
      <c r="I96" s="661"/>
      <c r="J96" s="661"/>
      <c r="K96" s="661"/>
      <c r="L96" s="661"/>
      <c r="M96" s="737" t="s">
        <v>47</v>
      </c>
    </row>
    <row r="97" spans="3:13" ht="12.75">
      <c r="C97" s="738" t="s">
        <v>78</v>
      </c>
      <c r="D97" s="660"/>
      <c r="E97" s="661"/>
      <c r="F97" s="661"/>
      <c r="G97" s="661"/>
      <c r="H97" s="661"/>
      <c r="I97" s="661"/>
      <c r="J97" s="661"/>
      <c r="K97" s="661"/>
      <c r="L97" s="661"/>
      <c r="M97" s="661"/>
    </row>
    <row r="98" spans="3:13" ht="12.75">
      <c r="C98" s="738" t="s">
        <v>79</v>
      </c>
      <c r="D98" s="660"/>
      <c r="E98" s="661"/>
      <c r="F98" s="661"/>
      <c r="G98" s="661"/>
      <c r="H98" s="661"/>
      <c r="I98" s="661"/>
      <c r="J98" s="661"/>
      <c r="K98" s="661"/>
      <c r="L98" s="661"/>
      <c r="M98" s="661"/>
    </row>
    <row r="99" spans="3:13" ht="12.75">
      <c r="C99" s="738" t="s">
        <v>80</v>
      </c>
      <c r="D99" s="660"/>
      <c r="E99" s="661"/>
      <c r="F99" s="661"/>
      <c r="G99" s="661"/>
      <c r="H99" s="661"/>
      <c r="I99" s="661"/>
      <c r="J99" s="661"/>
      <c r="K99" s="661"/>
      <c r="L99" s="661"/>
      <c r="M99" s="661"/>
    </row>
    <row r="100" spans="3:13" ht="12.75">
      <c r="C100" s="738" t="s">
        <v>81</v>
      </c>
      <c r="D100" s="660"/>
      <c r="E100" s="661"/>
      <c r="F100" s="661"/>
      <c r="G100" s="661"/>
      <c r="H100" s="661"/>
      <c r="I100" s="661"/>
      <c r="J100" s="661"/>
      <c r="K100" s="661"/>
      <c r="L100" s="661"/>
      <c r="M100" s="661"/>
    </row>
    <row r="101" spans="3:13" ht="22.9" customHeight="1">
      <c r="C101" s="660"/>
      <c r="D101" s="660"/>
      <c r="E101" s="661"/>
      <c r="F101" s="661"/>
      <c r="G101" s="661"/>
      <c r="H101" s="661"/>
      <c r="I101" s="661"/>
      <c r="J101" s="661"/>
      <c r="K101" s="661"/>
      <c r="L101" s="661"/>
      <c r="M101" s="661"/>
    </row>
    <row r="102" spans="3:13" ht="22.9" customHeight="1">
      <c r="C102" s="660"/>
      <c r="D102" s="660"/>
      <c r="E102" s="661"/>
      <c r="F102" s="661"/>
      <c r="G102" s="661"/>
      <c r="H102" s="661"/>
      <c r="I102" s="661"/>
      <c r="J102" s="661"/>
      <c r="K102" s="661"/>
      <c r="L102" s="661"/>
      <c r="M102" s="661"/>
    </row>
    <row r="103" spans="3:13" ht="22.9" customHeight="1">
      <c r="C103" s="660"/>
      <c r="D103" s="660"/>
      <c r="E103" s="661"/>
      <c r="F103" s="661"/>
      <c r="G103" s="661"/>
      <c r="H103" s="661"/>
      <c r="I103" s="661"/>
      <c r="J103" s="661"/>
      <c r="K103" s="661"/>
      <c r="L103" s="661"/>
      <c r="M103" s="661"/>
    </row>
    <row r="104" spans="3:13" ht="22.9" customHeight="1">
      <c r="C104" s="660"/>
      <c r="D104" s="660"/>
      <c r="E104" s="661"/>
      <c r="F104" s="661"/>
      <c r="G104" s="661"/>
      <c r="H104" s="661"/>
      <c r="I104" s="661"/>
      <c r="J104" s="661"/>
      <c r="K104" s="661"/>
      <c r="L104" s="661"/>
      <c r="M104" s="661"/>
    </row>
    <row r="105" spans="3:13" ht="22.9" customHeight="1">
      <c r="F105" s="661"/>
      <c r="G105" s="661"/>
      <c r="H105" s="661"/>
      <c r="I105" s="661"/>
      <c r="J105" s="661"/>
      <c r="K105" s="661"/>
      <c r="L105" s="661"/>
      <c r="M105" s="661"/>
    </row>
  </sheetData>
  <sheetProtection password="E059" sheet="1" objects="1" scenarios="1" insertRows="0"/>
  <mergeCells count="11">
    <mergeCell ref="C94:F94"/>
    <mergeCell ref="H45:M46"/>
    <mergeCell ref="H64:M65"/>
    <mergeCell ref="M6:M7"/>
    <mergeCell ref="D9:M9"/>
    <mergeCell ref="C12:D12"/>
    <mergeCell ref="H69:M70"/>
    <mergeCell ref="H83:M84"/>
    <mergeCell ref="C83:E84"/>
    <mergeCell ref="C86:E86"/>
    <mergeCell ref="C88:E88"/>
  </mergeCells>
  <phoneticPr fontId="22" type="noConversion"/>
  <printOptions horizontalCentered="1" verticalCentered="1"/>
  <pageMargins left="0.35629921259842523" right="0.35629921259842523" top="0.60629921259842523" bottom="0.60629921259842523" header="0.5" footer="0.5"/>
  <pageSetup paperSize="9" scale="32" orientation="portrait" horizontalDpi="4294967292" verticalDpi="4294967292" r:id="rId1"/>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W106"/>
  <sheetViews>
    <sheetView zoomScale="78" zoomScaleNormal="78" zoomScalePageLayoutView="85" workbookViewId="0">
      <selection activeCell="D116" sqref="D116"/>
    </sheetView>
  </sheetViews>
  <sheetFormatPr baseColWidth="10" defaultColWidth="10.77734375" defaultRowHeight="22.9" customHeight="1"/>
  <cols>
    <col min="1" max="2" width="3.21875" style="42" customWidth="1"/>
    <col min="3" max="3" width="13.5546875" style="42" customWidth="1"/>
    <col min="4" max="4" width="76.77734375" style="42" customWidth="1"/>
    <col min="5" max="7" width="18.21875" style="42" customWidth="1"/>
    <col min="8" max="8" width="3.21875" style="42" customWidth="1"/>
    <col min="9" max="16384" width="10.77734375" style="42"/>
  </cols>
  <sheetData>
    <row r="1" spans="2:23" ht="22.9" customHeight="1">
      <c r="D1" s="44"/>
    </row>
    <row r="2" spans="2:23" ht="22.9" customHeight="1">
      <c r="D2" s="66" t="s">
        <v>31</v>
      </c>
    </row>
    <row r="3" spans="2:23" ht="22.9" customHeight="1">
      <c r="D3" s="66" t="s">
        <v>32</v>
      </c>
    </row>
    <row r="4" spans="2:23" ht="22.9" customHeight="1" thickBot="1"/>
    <row r="5" spans="2:23" ht="9" customHeight="1">
      <c r="B5" s="45"/>
      <c r="C5" s="46"/>
      <c r="D5" s="46"/>
      <c r="E5" s="46"/>
      <c r="F5" s="46"/>
      <c r="G5" s="46"/>
      <c r="H5" s="47"/>
      <c r="J5" s="426"/>
      <c r="K5" s="427"/>
      <c r="L5" s="427"/>
      <c r="M5" s="427"/>
      <c r="N5" s="427"/>
      <c r="O5" s="427"/>
      <c r="P5" s="427"/>
      <c r="Q5" s="427"/>
      <c r="R5" s="427"/>
      <c r="S5" s="427"/>
      <c r="T5" s="427"/>
      <c r="U5" s="427"/>
      <c r="V5" s="427"/>
      <c r="W5" s="428"/>
    </row>
    <row r="6" spans="2:23" ht="30" customHeight="1">
      <c r="B6" s="48"/>
      <c r="C6" s="1" t="s">
        <v>0</v>
      </c>
      <c r="D6" s="44"/>
      <c r="E6" s="44"/>
      <c r="F6" s="44"/>
      <c r="G6" s="1105">
        <f>ejercicio</f>
        <v>2018</v>
      </c>
      <c r="H6" s="50"/>
      <c r="J6" s="429"/>
      <c r="K6" s="430" t="s">
        <v>707</v>
      </c>
      <c r="L6" s="431"/>
      <c r="M6" s="431"/>
      <c r="N6" s="431"/>
      <c r="O6" s="431"/>
      <c r="P6" s="431"/>
      <c r="Q6" s="431"/>
      <c r="R6" s="431"/>
      <c r="S6" s="431"/>
      <c r="T6" s="431"/>
      <c r="U6" s="431"/>
      <c r="V6" s="431"/>
      <c r="W6" s="432"/>
    </row>
    <row r="7" spans="2:23" ht="30" customHeight="1">
      <c r="B7" s="48"/>
      <c r="C7" s="1" t="s">
        <v>1</v>
      </c>
      <c r="D7" s="44"/>
      <c r="E7" s="44"/>
      <c r="F7" s="44"/>
      <c r="G7" s="1105"/>
      <c r="H7" s="50"/>
      <c r="J7" s="429"/>
      <c r="K7" s="431"/>
      <c r="L7" s="431"/>
      <c r="M7" s="431"/>
      <c r="N7" s="431"/>
      <c r="O7" s="431"/>
      <c r="P7" s="431"/>
      <c r="Q7" s="431"/>
      <c r="R7" s="431"/>
      <c r="S7" s="431"/>
      <c r="T7" s="431"/>
      <c r="U7" s="431"/>
      <c r="V7" s="431"/>
      <c r="W7" s="432"/>
    </row>
    <row r="8" spans="2:23" ht="30" customHeight="1">
      <c r="B8" s="48"/>
      <c r="C8" s="49"/>
      <c r="D8" s="44"/>
      <c r="E8" s="44"/>
      <c r="F8" s="44"/>
      <c r="G8" s="51"/>
      <c r="H8" s="50"/>
      <c r="J8" s="429"/>
      <c r="K8" s="431"/>
      <c r="L8" s="431"/>
      <c r="M8" s="431"/>
      <c r="N8" s="431"/>
      <c r="O8" s="431"/>
      <c r="P8" s="431"/>
      <c r="Q8" s="431"/>
      <c r="R8" s="431"/>
      <c r="S8" s="431"/>
      <c r="T8" s="431"/>
      <c r="U8" s="431"/>
      <c r="V8" s="431"/>
      <c r="W8" s="432"/>
    </row>
    <row r="9" spans="2:23" s="60" customFormat="1" ht="30" customHeight="1">
      <c r="B9" s="58"/>
      <c r="C9" s="39" t="s">
        <v>2</v>
      </c>
      <c r="D9" s="1129" t="str">
        <f>Entidad</f>
        <v>METROPOLITANO DE TENERIFE, S.A.</v>
      </c>
      <c r="E9" s="1129"/>
      <c r="F9" s="1129"/>
      <c r="G9" s="1129"/>
      <c r="H9" s="59"/>
      <c r="J9" s="433"/>
      <c r="K9" s="434"/>
      <c r="L9" s="434"/>
      <c r="M9" s="434"/>
      <c r="N9" s="434"/>
      <c r="O9" s="434"/>
      <c r="P9" s="434"/>
      <c r="Q9" s="434"/>
      <c r="R9" s="434"/>
      <c r="S9" s="434"/>
      <c r="T9" s="434"/>
      <c r="U9" s="434"/>
      <c r="V9" s="434"/>
      <c r="W9" s="435"/>
    </row>
    <row r="10" spans="2:23" ht="7.15" customHeight="1">
      <c r="B10" s="48"/>
      <c r="C10" s="44"/>
      <c r="D10" s="44"/>
      <c r="E10" s="44"/>
      <c r="F10" s="44"/>
      <c r="G10" s="44"/>
      <c r="H10" s="50"/>
      <c r="J10" s="429"/>
      <c r="K10" s="431"/>
      <c r="L10" s="431"/>
      <c r="M10" s="431"/>
      <c r="N10" s="431"/>
      <c r="O10" s="431"/>
      <c r="P10" s="431"/>
      <c r="Q10" s="431"/>
      <c r="R10" s="431"/>
      <c r="S10" s="431"/>
      <c r="T10" s="431"/>
      <c r="U10" s="431"/>
      <c r="V10" s="431"/>
      <c r="W10" s="432"/>
    </row>
    <row r="11" spans="2:23" s="62" customFormat="1" ht="30" customHeight="1">
      <c r="B11" s="24"/>
      <c r="C11" s="11" t="s">
        <v>254</v>
      </c>
      <c r="D11" s="11"/>
      <c r="E11" s="11"/>
      <c r="F11" s="11"/>
      <c r="G11" s="11"/>
      <c r="H11" s="61"/>
      <c r="J11" s="436"/>
      <c r="K11" s="437"/>
      <c r="L11" s="437"/>
      <c r="M11" s="437"/>
      <c r="N11" s="437"/>
      <c r="O11" s="437"/>
      <c r="P11" s="437"/>
      <c r="Q11" s="437"/>
      <c r="R11" s="437"/>
      <c r="S11" s="437"/>
      <c r="T11" s="437"/>
      <c r="U11" s="437"/>
      <c r="V11" s="437"/>
      <c r="W11" s="438"/>
    </row>
    <row r="12" spans="2:23" s="62" customFormat="1" ht="30" customHeight="1">
      <c r="B12" s="24"/>
      <c r="C12" s="68"/>
      <c r="D12" s="68"/>
      <c r="E12" s="68"/>
      <c r="F12" s="68"/>
      <c r="G12" s="68"/>
      <c r="H12" s="61"/>
      <c r="J12" s="436"/>
      <c r="K12" s="437"/>
      <c r="L12" s="437"/>
      <c r="M12" s="437"/>
      <c r="N12" s="437"/>
      <c r="O12" s="437"/>
      <c r="P12" s="437"/>
      <c r="Q12" s="437"/>
      <c r="R12" s="437"/>
      <c r="S12" s="437"/>
      <c r="T12" s="437"/>
      <c r="U12" s="437"/>
      <c r="V12" s="437"/>
      <c r="W12" s="438"/>
    </row>
    <row r="13" spans="2:23" ht="22.9" customHeight="1">
      <c r="B13" s="48"/>
      <c r="C13" s="345"/>
      <c r="D13" s="346"/>
      <c r="E13" s="347" t="s">
        <v>183</v>
      </c>
      <c r="F13" s="348" t="s">
        <v>184</v>
      </c>
      <c r="G13" s="349" t="s">
        <v>185</v>
      </c>
      <c r="H13" s="50"/>
      <c r="J13" s="429"/>
      <c r="K13" s="431"/>
      <c r="L13" s="431"/>
      <c r="M13" s="431"/>
      <c r="N13" s="431"/>
      <c r="O13" s="431"/>
      <c r="P13" s="431"/>
      <c r="Q13" s="431"/>
      <c r="R13" s="431"/>
      <c r="S13" s="431"/>
      <c r="T13" s="431"/>
      <c r="U13" s="431"/>
      <c r="V13" s="431"/>
      <c r="W13" s="432"/>
    </row>
    <row r="14" spans="2:23" ht="22.9" customHeight="1">
      <c r="B14" s="48"/>
      <c r="C14" s="350" t="s">
        <v>250</v>
      </c>
      <c r="D14" s="70"/>
      <c r="E14" s="331">
        <f>ejercicio-2</f>
        <v>2016</v>
      </c>
      <c r="F14" s="338">
        <f>ejercicio-1</f>
        <v>2017</v>
      </c>
      <c r="G14" s="330">
        <f>ejercicio</f>
        <v>2018</v>
      </c>
      <c r="H14" s="50"/>
      <c r="J14" s="429"/>
      <c r="K14" s="431"/>
      <c r="L14" s="431"/>
      <c r="M14" s="431"/>
      <c r="N14" s="431"/>
      <c r="O14" s="431"/>
      <c r="P14" s="431"/>
      <c r="Q14" s="431"/>
      <c r="R14" s="431"/>
      <c r="S14" s="431"/>
      <c r="T14" s="431"/>
      <c r="U14" s="431"/>
      <c r="V14" s="431"/>
      <c r="W14" s="432"/>
    </row>
    <row r="15" spans="2:23" ht="22.9" customHeight="1">
      <c r="B15" s="48"/>
      <c r="C15" s="351"/>
      <c r="D15" s="88"/>
      <c r="E15" s="332"/>
      <c r="F15" s="339"/>
      <c r="G15" s="352"/>
      <c r="H15" s="50"/>
      <c r="J15" s="429" t="s">
        <v>948</v>
      </c>
      <c r="K15" s="431"/>
      <c r="L15" s="431"/>
      <c r="M15" s="431"/>
      <c r="N15" s="431"/>
      <c r="O15" s="431"/>
      <c r="P15" s="431"/>
      <c r="Q15" s="431"/>
      <c r="R15" s="431"/>
      <c r="S15" s="431"/>
      <c r="T15" s="431"/>
      <c r="U15" s="431"/>
      <c r="V15" s="431"/>
      <c r="W15" s="432"/>
    </row>
    <row r="16" spans="2:23" ht="22.9" customHeight="1">
      <c r="B16" s="48"/>
      <c r="C16" s="353" t="s">
        <v>187</v>
      </c>
      <c r="D16" s="86" t="s">
        <v>188</v>
      </c>
      <c r="E16" s="333">
        <f>E17+E26+E30+E33+E40+E47+E48</f>
        <v>181024590.16</v>
      </c>
      <c r="F16" s="340">
        <f>F17+F26+F30+F33+F40+F47+F48</f>
        <v>178672742.70999998</v>
      </c>
      <c r="G16" s="354">
        <f>G17+G26+G30+G33+G40+G47+G48</f>
        <v>181521459.02000001</v>
      </c>
      <c r="H16" s="50"/>
      <c r="J16" s="429" t="s">
        <v>949</v>
      </c>
      <c r="K16" s="431"/>
      <c r="L16" s="431"/>
      <c r="M16" s="431"/>
      <c r="N16" s="431"/>
      <c r="O16" s="431"/>
      <c r="P16" s="431"/>
      <c r="Q16" s="431"/>
      <c r="R16" s="431"/>
      <c r="S16" s="431"/>
      <c r="T16" s="431"/>
      <c r="U16" s="431"/>
      <c r="V16" s="431"/>
      <c r="W16" s="432"/>
    </row>
    <row r="17" spans="2:23" ht="22.9" customHeight="1">
      <c r="B17" s="48"/>
      <c r="C17" s="355" t="s">
        <v>189</v>
      </c>
      <c r="D17" s="72" t="s">
        <v>190</v>
      </c>
      <c r="E17" s="334">
        <f>SUM(E18:E25)</f>
        <v>144655678.28999999</v>
      </c>
      <c r="F17" s="341">
        <f>SUM(F18:F25)</f>
        <v>142054046.44</v>
      </c>
      <c r="G17" s="356">
        <f>SUM(G18:G25)</f>
        <v>139998279.90000001</v>
      </c>
      <c r="H17" s="50"/>
      <c r="J17" s="429"/>
      <c r="K17" s="431"/>
      <c r="L17" s="431"/>
      <c r="M17" s="431"/>
      <c r="N17" s="431">
        <v>2016</v>
      </c>
      <c r="O17" s="431">
        <v>2017</v>
      </c>
      <c r="P17" s="431">
        <v>2018</v>
      </c>
      <c r="Q17" s="431"/>
      <c r="R17" s="431"/>
      <c r="S17" s="431"/>
      <c r="T17" s="431"/>
      <c r="U17" s="431"/>
      <c r="V17" s="431"/>
      <c r="W17" s="432"/>
    </row>
    <row r="18" spans="2:23" ht="22.9" customHeight="1">
      <c r="B18" s="48"/>
      <c r="C18" s="357" t="s">
        <v>88</v>
      </c>
      <c r="D18" s="73" t="s">
        <v>191</v>
      </c>
      <c r="E18" s="474"/>
      <c r="F18" s="475"/>
      <c r="G18" s="476"/>
      <c r="H18" s="50"/>
      <c r="J18" s="429"/>
      <c r="K18" s="431" t="s">
        <v>950</v>
      </c>
      <c r="L18" s="431"/>
      <c r="M18" s="431"/>
      <c r="N18" s="1076">
        <v>108080444.48</v>
      </c>
      <c r="O18" s="1076">
        <v>104449010.30999999</v>
      </c>
      <c r="P18" s="1076">
        <v>104449010.30999999</v>
      </c>
      <c r="Q18" s="431"/>
      <c r="R18" s="431"/>
      <c r="S18" s="431"/>
      <c r="T18" s="431"/>
      <c r="U18" s="431"/>
      <c r="V18" s="431"/>
      <c r="W18" s="432"/>
    </row>
    <row r="19" spans="2:23" ht="22.9" customHeight="1">
      <c r="B19" s="48"/>
      <c r="C19" s="358" t="s">
        <v>95</v>
      </c>
      <c r="D19" s="74" t="s">
        <v>192</v>
      </c>
      <c r="E19" s="477"/>
      <c r="F19" s="478"/>
      <c r="G19" s="479"/>
      <c r="H19" s="50"/>
      <c r="J19" s="429"/>
      <c r="K19" s="431" t="s">
        <v>951</v>
      </c>
      <c r="L19" s="431"/>
      <c r="M19" s="431"/>
      <c r="N19" s="1076">
        <v>26654594.93</v>
      </c>
      <c r="O19" s="1076">
        <v>27955284.639688447</v>
      </c>
      <c r="P19" s="1076">
        <v>29051129.754804209</v>
      </c>
      <c r="Q19" s="431"/>
      <c r="R19" s="431"/>
      <c r="S19" s="431"/>
      <c r="T19" s="431"/>
      <c r="U19" s="431"/>
      <c r="V19" s="431"/>
      <c r="W19" s="432"/>
    </row>
    <row r="20" spans="2:23" ht="22.9" customHeight="1">
      <c r="B20" s="48"/>
      <c r="C20" s="358" t="s">
        <v>97</v>
      </c>
      <c r="D20" s="74" t="s">
        <v>193</v>
      </c>
      <c r="E20" s="477"/>
      <c r="F20" s="478"/>
      <c r="G20" s="479"/>
      <c r="H20" s="50"/>
      <c r="J20" s="429"/>
      <c r="K20" s="431"/>
      <c r="L20" s="431"/>
      <c r="M20" s="431"/>
      <c r="N20" s="431"/>
      <c r="O20" s="431"/>
      <c r="P20" s="431"/>
      <c r="Q20" s="431"/>
      <c r="R20" s="431"/>
      <c r="S20" s="431"/>
      <c r="T20" s="431"/>
      <c r="U20" s="431"/>
      <c r="V20" s="431"/>
      <c r="W20" s="432"/>
    </row>
    <row r="21" spans="2:23" ht="22.9" customHeight="1">
      <c r="B21" s="48"/>
      <c r="C21" s="358" t="s">
        <v>99</v>
      </c>
      <c r="D21" s="74" t="s">
        <v>194</v>
      </c>
      <c r="E21" s="477"/>
      <c r="F21" s="478"/>
      <c r="G21" s="479"/>
      <c r="H21" s="50"/>
      <c r="J21" s="429" t="s">
        <v>952</v>
      </c>
      <c r="K21" s="431"/>
      <c r="L21" s="431"/>
      <c r="M21" s="431"/>
      <c r="N21" s="431"/>
      <c r="O21" s="431"/>
      <c r="P21" s="431"/>
      <c r="Q21" s="431"/>
      <c r="R21" s="431"/>
      <c r="S21" s="431"/>
      <c r="T21" s="431"/>
      <c r="U21" s="431"/>
      <c r="V21" s="431"/>
      <c r="W21" s="432"/>
    </row>
    <row r="22" spans="2:23" ht="22.9" customHeight="1">
      <c r="B22" s="48"/>
      <c r="C22" s="358" t="s">
        <v>195</v>
      </c>
      <c r="D22" s="74" t="s">
        <v>196</v>
      </c>
      <c r="E22" s="477"/>
      <c r="F22" s="478"/>
      <c r="G22" s="479"/>
      <c r="H22" s="50"/>
      <c r="J22" s="429"/>
      <c r="K22" s="431"/>
      <c r="L22" s="431"/>
      <c r="M22" s="431"/>
      <c r="N22" s="431"/>
      <c r="O22" s="431"/>
      <c r="P22" s="431"/>
      <c r="Q22" s="431"/>
      <c r="R22" s="431"/>
      <c r="S22" s="431"/>
      <c r="T22" s="431"/>
      <c r="U22" s="431"/>
      <c r="V22" s="431"/>
      <c r="W22" s="432"/>
    </row>
    <row r="23" spans="2:23" ht="22.9" customHeight="1">
      <c r="B23" s="48"/>
      <c r="C23" s="358" t="s">
        <v>109</v>
      </c>
      <c r="D23" s="74" t="s">
        <v>197</v>
      </c>
      <c r="E23" s="477"/>
      <c r="F23" s="478"/>
      <c r="G23" s="479"/>
      <c r="H23" s="50"/>
      <c r="J23" s="429"/>
      <c r="K23" s="431"/>
      <c r="L23" s="431"/>
      <c r="M23" s="431"/>
      <c r="N23" s="431"/>
      <c r="O23" s="431"/>
      <c r="P23" s="431"/>
      <c r="Q23" s="431"/>
      <c r="R23" s="431"/>
      <c r="S23" s="431"/>
      <c r="T23" s="431"/>
      <c r="U23" s="431"/>
      <c r="V23" s="431"/>
      <c r="W23" s="432"/>
    </row>
    <row r="24" spans="2:23" ht="22.9" customHeight="1">
      <c r="B24" s="48"/>
      <c r="C24" s="358" t="s">
        <v>114</v>
      </c>
      <c r="D24" s="74" t="s">
        <v>249</v>
      </c>
      <c r="E24" s="477"/>
      <c r="F24" s="478"/>
      <c r="G24" s="479"/>
      <c r="H24" s="50"/>
      <c r="J24" s="429"/>
      <c r="K24" s="431"/>
      <c r="L24" s="431"/>
      <c r="M24" s="431"/>
      <c r="N24" s="431"/>
      <c r="O24" s="431"/>
      <c r="P24" s="431"/>
      <c r="Q24" s="431"/>
      <c r="R24" s="431"/>
      <c r="S24" s="431"/>
      <c r="T24" s="431"/>
      <c r="U24" s="431"/>
      <c r="V24" s="431"/>
      <c r="W24" s="432"/>
    </row>
    <row r="25" spans="2:23" ht="22.9" customHeight="1">
      <c r="B25" s="48"/>
      <c r="C25" s="358" t="s">
        <v>122</v>
      </c>
      <c r="D25" s="74" t="s">
        <v>198</v>
      </c>
      <c r="E25" s="477">
        <v>144655678.28999999</v>
      </c>
      <c r="F25" s="478">
        <v>142054046.44</v>
      </c>
      <c r="G25" s="479">
        <v>139998279.90000001</v>
      </c>
      <c r="H25" s="50"/>
      <c r="J25" s="429"/>
      <c r="K25" s="431"/>
      <c r="L25" s="431"/>
      <c r="M25" s="431"/>
      <c r="N25" s="431"/>
      <c r="O25" s="431"/>
      <c r="P25" s="431"/>
      <c r="Q25" s="431"/>
      <c r="R25" s="431"/>
      <c r="S25" s="431"/>
      <c r="T25" s="431"/>
      <c r="U25" s="431"/>
      <c r="V25" s="431"/>
      <c r="W25" s="432"/>
    </row>
    <row r="26" spans="2:23" ht="22.9" customHeight="1">
      <c r="B26" s="48"/>
      <c r="C26" s="355" t="s">
        <v>199</v>
      </c>
      <c r="D26" s="72" t="s">
        <v>200</v>
      </c>
      <c r="E26" s="334">
        <f>SUM(E27:E29)</f>
        <v>26859314.379999999</v>
      </c>
      <c r="F26" s="341">
        <f>SUM(F27:F29)</f>
        <v>28314995.789999999</v>
      </c>
      <c r="G26" s="356">
        <f>SUM(G27:G29)</f>
        <v>32822070.649999999</v>
      </c>
      <c r="H26" s="50"/>
      <c r="J26" s="429"/>
      <c r="K26" s="431"/>
      <c r="L26" s="431"/>
      <c r="M26" s="431"/>
      <c r="N26" s="431"/>
      <c r="O26" s="431"/>
      <c r="P26" s="431"/>
      <c r="Q26" s="431"/>
      <c r="R26" s="431"/>
      <c r="S26" s="431"/>
      <c r="T26" s="431"/>
      <c r="U26" s="431"/>
      <c r="V26" s="431"/>
      <c r="W26" s="432"/>
    </row>
    <row r="27" spans="2:23" ht="22.9" customHeight="1">
      <c r="B27" s="48"/>
      <c r="C27" s="357" t="s">
        <v>88</v>
      </c>
      <c r="D27" s="73" t="s">
        <v>201</v>
      </c>
      <c r="E27" s="474"/>
      <c r="F27" s="475"/>
      <c r="G27" s="476"/>
      <c r="H27" s="50"/>
      <c r="J27" s="429"/>
      <c r="K27" s="431"/>
      <c r="L27" s="431"/>
      <c r="M27" s="431"/>
      <c r="N27" s="431"/>
      <c r="O27" s="431"/>
      <c r="P27" s="431"/>
      <c r="Q27" s="431"/>
      <c r="R27" s="431"/>
      <c r="S27" s="431"/>
      <c r="T27" s="431"/>
      <c r="U27" s="431"/>
      <c r="V27" s="431"/>
      <c r="W27" s="432"/>
    </row>
    <row r="28" spans="2:23" ht="22.9" customHeight="1">
      <c r="B28" s="48"/>
      <c r="C28" s="358" t="s">
        <v>95</v>
      </c>
      <c r="D28" s="74" t="s">
        <v>202</v>
      </c>
      <c r="E28" s="477">
        <v>3383310.13</v>
      </c>
      <c r="F28" s="478">
        <v>3183276.58</v>
      </c>
      <c r="G28" s="479">
        <v>2984164.22</v>
      </c>
      <c r="H28" s="50"/>
      <c r="J28" s="429"/>
      <c r="K28" s="431"/>
      <c r="L28" s="431"/>
      <c r="M28" s="431"/>
      <c r="N28" s="431"/>
      <c r="O28" s="431"/>
      <c r="P28" s="431"/>
      <c r="Q28" s="431"/>
      <c r="R28" s="431"/>
      <c r="S28" s="431"/>
      <c r="T28" s="431"/>
      <c r="U28" s="431"/>
      <c r="V28" s="431"/>
      <c r="W28" s="432"/>
    </row>
    <row r="29" spans="2:23" ht="22.9" customHeight="1">
      <c r="B29" s="48"/>
      <c r="C29" s="358" t="s">
        <v>97</v>
      </c>
      <c r="D29" s="74" t="s">
        <v>203</v>
      </c>
      <c r="E29" s="477">
        <v>23476004.25</v>
      </c>
      <c r="F29" s="478">
        <v>25131719.210000001</v>
      </c>
      <c r="G29" s="479">
        <v>29837906.43</v>
      </c>
      <c r="H29" s="50"/>
      <c r="J29" s="429"/>
      <c r="K29" s="431"/>
      <c r="L29" s="431"/>
      <c r="M29" s="431"/>
      <c r="N29" s="431"/>
      <c r="O29" s="431"/>
      <c r="P29" s="431"/>
      <c r="Q29" s="431"/>
      <c r="R29" s="431"/>
      <c r="S29" s="431"/>
      <c r="T29" s="431"/>
      <c r="U29" s="431"/>
      <c r="V29" s="431"/>
      <c r="W29" s="432"/>
    </row>
    <row r="30" spans="2:23" ht="22.9" customHeight="1">
      <c r="B30" s="48"/>
      <c r="C30" s="355" t="s">
        <v>204</v>
      </c>
      <c r="D30" s="72" t="s">
        <v>205</v>
      </c>
      <c r="E30" s="334">
        <f>SUM(E31:E32)</f>
        <v>0</v>
      </c>
      <c r="F30" s="341">
        <f>SUM(F31:F32)</f>
        <v>0</v>
      </c>
      <c r="G30" s="356">
        <f>SUM(G31:G32)</f>
        <v>0</v>
      </c>
      <c r="H30" s="50"/>
      <c r="J30" s="439"/>
      <c r="K30" s="440"/>
      <c r="L30" s="440"/>
      <c r="M30" s="440"/>
      <c r="N30" s="440"/>
      <c r="O30" s="440"/>
      <c r="P30" s="440"/>
      <c r="Q30" s="440"/>
      <c r="R30" s="440"/>
      <c r="S30" s="440"/>
      <c r="T30" s="440"/>
      <c r="U30" s="440"/>
      <c r="V30" s="440"/>
      <c r="W30" s="441"/>
    </row>
    <row r="31" spans="2:23" ht="22.9" customHeight="1">
      <c r="B31" s="48"/>
      <c r="C31" s="357" t="s">
        <v>88</v>
      </c>
      <c r="D31" s="73" t="s">
        <v>206</v>
      </c>
      <c r="E31" s="474"/>
      <c r="F31" s="475"/>
      <c r="G31" s="476"/>
      <c r="H31" s="50"/>
      <c r="J31" s="439"/>
      <c r="K31" s="440"/>
      <c r="L31" s="440"/>
      <c r="M31" s="440"/>
      <c r="N31" s="440"/>
      <c r="O31" s="440"/>
      <c r="P31" s="440"/>
      <c r="Q31" s="440"/>
      <c r="R31" s="440"/>
      <c r="S31" s="440"/>
      <c r="T31" s="440"/>
      <c r="U31" s="440"/>
      <c r="V31" s="440"/>
      <c r="W31" s="441"/>
    </row>
    <row r="32" spans="2:23" ht="22.9" customHeight="1">
      <c r="B32" s="48"/>
      <c r="C32" s="358" t="s">
        <v>95</v>
      </c>
      <c r="D32" s="74" t="s">
        <v>207</v>
      </c>
      <c r="E32" s="477"/>
      <c r="F32" s="478"/>
      <c r="G32" s="479"/>
      <c r="H32" s="50"/>
      <c r="J32" s="429"/>
      <c r="K32" s="431"/>
      <c r="L32" s="431"/>
      <c r="M32" s="431"/>
      <c r="N32" s="431"/>
      <c r="O32" s="431"/>
      <c r="P32" s="431"/>
      <c r="Q32" s="431"/>
      <c r="R32" s="431"/>
      <c r="S32" s="431"/>
      <c r="T32" s="431"/>
      <c r="U32" s="431"/>
      <c r="V32" s="431"/>
      <c r="W32" s="432"/>
    </row>
    <row r="33" spans="2:23" ht="22.9" customHeight="1">
      <c r="B33" s="48"/>
      <c r="C33" s="355" t="s">
        <v>208</v>
      </c>
      <c r="D33" s="72" t="s">
        <v>209</v>
      </c>
      <c r="E33" s="334">
        <f>SUM(E34:E39)</f>
        <v>31854.78</v>
      </c>
      <c r="F33" s="341">
        <f>SUM(F34:F39)</f>
        <v>22868.01</v>
      </c>
      <c r="G33" s="356">
        <f>SUM(G34:G39)</f>
        <v>1595654.13</v>
      </c>
      <c r="H33" s="50"/>
      <c r="J33" s="429"/>
      <c r="K33" s="431"/>
      <c r="L33" s="431"/>
      <c r="M33" s="431"/>
      <c r="N33" s="431"/>
      <c r="O33" s="431"/>
      <c r="P33" s="431"/>
      <c r="Q33" s="431"/>
      <c r="R33" s="431"/>
      <c r="S33" s="431"/>
      <c r="T33" s="431"/>
      <c r="U33" s="431"/>
      <c r="V33" s="431"/>
      <c r="W33" s="432"/>
    </row>
    <row r="34" spans="2:23" ht="22.9" customHeight="1">
      <c r="B34" s="48"/>
      <c r="C34" s="357" t="s">
        <v>88</v>
      </c>
      <c r="D34" s="73" t="s">
        <v>210</v>
      </c>
      <c r="E34" s="474"/>
      <c r="F34" s="475"/>
      <c r="G34" s="476"/>
      <c r="H34" s="50"/>
      <c r="J34" s="429"/>
      <c r="K34" s="431"/>
      <c r="L34" s="431"/>
      <c r="M34" s="431"/>
      <c r="N34" s="431"/>
      <c r="O34" s="431"/>
      <c r="P34" s="431"/>
      <c r="Q34" s="431"/>
      <c r="R34" s="431"/>
      <c r="S34" s="431"/>
      <c r="T34" s="431"/>
      <c r="U34" s="431"/>
      <c r="V34" s="431"/>
      <c r="W34" s="432"/>
    </row>
    <row r="35" spans="2:23" ht="22.9" customHeight="1">
      <c r="B35" s="48"/>
      <c r="C35" s="358" t="s">
        <v>95</v>
      </c>
      <c r="D35" s="74" t="s">
        <v>211</v>
      </c>
      <c r="E35" s="477">
        <v>31854.78</v>
      </c>
      <c r="F35" s="478">
        <v>22868.01</v>
      </c>
      <c r="G35" s="479">
        <v>1595654.13</v>
      </c>
      <c r="H35" s="50"/>
      <c r="J35" s="429" t="s">
        <v>974</v>
      </c>
      <c r="K35" s="431"/>
      <c r="L35" s="431"/>
      <c r="M35" s="431"/>
      <c r="N35" s="431"/>
      <c r="O35" s="431"/>
      <c r="P35" s="431"/>
      <c r="Q35" s="431"/>
      <c r="R35" s="431"/>
      <c r="S35" s="431"/>
      <c r="T35" s="431"/>
      <c r="U35" s="431"/>
      <c r="V35" s="431"/>
      <c r="W35" s="432"/>
    </row>
    <row r="36" spans="2:23" ht="22.9" customHeight="1">
      <c r="B36" s="48"/>
      <c r="C36" s="358" t="s">
        <v>97</v>
      </c>
      <c r="D36" s="74" t="s">
        <v>212</v>
      </c>
      <c r="E36" s="477"/>
      <c r="F36" s="478"/>
      <c r="G36" s="479"/>
      <c r="H36" s="50"/>
      <c r="J36" s="442"/>
      <c r="K36" s="443"/>
      <c r="L36" s="443"/>
      <c r="M36" s="443"/>
      <c r="N36" s="443"/>
      <c r="O36" s="443"/>
      <c r="P36" s="443"/>
      <c r="Q36" s="443"/>
      <c r="R36" s="443"/>
      <c r="S36" s="443"/>
      <c r="T36" s="443"/>
      <c r="U36" s="443"/>
      <c r="V36" s="443"/>
      <c r="W36" s="444"/>
    </row>
    <row r="37" spans="2:23" ht="22.9" customHeight="1">
      <c r="B37" s="48"/>
      <c r="C37" s="358" t="s">
        <v>99</v>
      </c>
      <c r="D37" s="74" t="s">
        <v>213</v>
      </c>
      <c r="E37" s="477"/>
      <c r="F37" s="478"/>
      <c r="G37" s="479"/>
      <c r="H37" s="50"/>
      <c r="J37" s="442"/>
      <c r="K37" s="443"/>
      <c r="L37" s="443"/>
      <c r="M37" s="443"/>
      <c r="N37" s="443"/>
      <c r="O37" s="443"/>
      <c r="P37" s="443"/>
      <c r="Q37" s="443"/>
      <c r="R37" s="443"/>
      <c r="S37" s="443"/>
      <c r="T37" s="443"/>
      <c r="U37" s="443"/>
      <c r="V37" s="443"/>
      <c r="W37" s="444"/>
    </row>
    <row r="38" spans="2:23" ht="22.9" customHeight="1">
      <c r="B38" s="48"/>
      <c r="C38" s="358" t="s">
        <v>195</v>
      </c>
      <c r="D38" s="74" t="s">
        <v>214</v>
      </c>
      <c r="E38" s="477"/>
      <c r="F38" s="478"/>
      <c r="G38" s="479"/>
      <c r="H38" s="50"/>
      <c r="J38" s="442"/>
      <c r="K38" s="443"/>
      <c r="L38" s="443"/>
      <c r="M38" s="443"/>
      <c r="N38" s="443"/>
      <c r="O38" s="443"/>
      <c r="P38" s="443"/>
      <c r="Q38" s="443"/>
      <c r="R38" s="443"/>
      <c r="S38" s="443"/>
      <c r="T38" s="443"/>
      <c r="U38" s="443"/>
      <c r="V38" s="443"/>
      <c r="W38" s="444"/>
    </row>
    <row r="39" spans="2:23" ht="22.9" customHeight="1">
      <c r="B39" s="48"/>
      <c r="C39" s="358" t="s">
        <v>109</v>
      </c>
      <c r="D39" s="74" t="s">
        <v>215</v>
      </c>
      <c r="E39" s="477"/>
      <c r="F39" s="478"/>
      <c r="G39" s="479"/>
      <c r="H39" s="50"/>
      <c r="J39" s="442"/>
      <c r="K39" s="443"/>
      <c r="L39" s="443"/>
      <c r="M39" s="443"/>
      <c r="N39" s="443"/>
      <c r="O39" s="443"/>
      <c r="P39" s="443"/>
      <c r="Q39" s="443"/>
      <c r="R39" s="443"/>
      <c r="S39" s="443"/>
      <c r="T39" s="443"/>
      <c r="U39" s="443"/>
      <c r="V39" s="443"/>
      <c r="W39" s="444"/>
    </row>
    <row r="40" spans="2:23" ht="22.9" customHeight="1">
      <c r="B40" s="48"/>
      <c r="C40" s="355" t="s">
        <v>216</v>
      </c>
      <c r="D40" s="72" t="s">
        <v>217</v>
      </c>
      <c r="E40" s="334">
        <f>SUM(E41:E46)</f>
        <v>14344.41</v>
      </c>
      <c r="F40" s="341">
        <f>SUM(F41:F46)</f>
        <v>14014.41</v>
      </c>
      <c r="G40" s="356">
        <f>SUM(G41:G46)</f>
        <v>14014.41</v>
      </c>
      <c r="H40" s="50"/>
      <c r="J40" s="442"/>
      <c r="K40" s="443"/>
      <c r="L40" s="443"/>
      <c r="M40" s="443"/>
      <c r="N40" s="443"/>
      <c r="O40" s="443"/>
      <c r="P40" s="443"/>
      <c r="Q40" s="443"/>
      <c r="R40" s="443"/>
      <c r="S40" s="443"/>
      <c r="T40" s="443"/>
      <c r="U40" s="443"/>
      <c r="V40" s="443"/>
      <c r="W40" s="444"/>
    </row>
    <row r="41" spans="2:23" ht="22.9" customHeight="1">
      <c r="B41" s="48"/>
      <c r="C41" s="357" t="s">
        <v>88</v>
      </c>
      <c r="D41" s="73" t="s">
        <v>210</v>
      </c>
      <c r="E41" s="474"/>
      <c r="F41" s="475"/>
      <c r="G41" s="476"/>
      <c r="H41" s="50"/>
      <c r="J41" s="442"/>
      <c r="K41" s="443"/>
      <c r="L41" s="443"/>
      <c r="M41" s="443"/>
      <c r="N41" s="443"/>
      <c r="O41" s="443"/>
      <c r="P41" s="443"/>
      <c r="Q41" s="443"/>
      <c r="R41" s="443"/>
      <c r="S41" s="443"/>
      <c r="T41" s="443"/>
      <c r="U41" s="443"/>
      <c r="V41" s="443"/>
      <c r="W41" s="444"/>
    </row>
    <row r="42" spans="2:23" ht="22.9" customHeight="1">
      <c r="B42" s="48"/>
      <c r="C42" s="358" t="s">
        <v>95</v>
      </c>
      <c r="D42" s="74" t="s">
        <v>218</v>
      </c>
      <c r="E42" s="477"/>
      <c r="F42" s="478"/>
      <c r="G42" s="479"/>
      <c r="H42" s="50"/>
      <c r="J42" s="442"/>
      <c r="K42" s="443"/>
      <c r="L42" s="443"/>
      <c r="M42" s="443"/>
      <c r="N42" s="443"/>
      <c r="O42" s="443"/>
      <c r="P42" s="443"/>
      <c r="Q42" s="443"/>
      <c r="R42" s="443"/>
      <c r="S42" s="443"/>
      <c r="T42" s="443"/>
      <c r="U42" s="443"/>
      <c r="V42" s="443"/>
      <c r="W42" s="444"/>
    </row>
    <row r="43" spans="2:23" ht="22.9" customHeight="1">
      <c r="B43" s="48"/>
      <c r="C43" s="358" t="s">
        <v>97</v>
      </c>
      <c r="D43" s="74" t="s">
        <v>212</v>
      </c>
      <c r="E43" s="477"/>
      <c r="F43" s="478"/>
      <c r="G43" s="479"/>
      <c r="H43" s="50"/>
      <c r="J43" s="442"/>
      <c r="K43" s="443"/>
      <c r="L43" s="443"/>
      <c r="M43" s="443"/>
      <c r="N43" s="443"/>
      <c r="O43" s="443"/>
      <c r="P43" s="443"/>
      <c r="Q43" s="443"/>
      <c r="R43" s="443"/>
      <c r="S43" s="443"/>
      <c r="T43" s="443"/>
      <c r="U43" s="443"/>
      <c r="V43" s="443"/>
      <c r="W43" s="444"/>
    </row>
    <row r="44" spans="2:23" ht="22.9" customHeight="1">
      <c r="B44" s="48"/>
      <c r="C44" s="358" t="s">
        <v>99</v>
      </c>
      <c r="D44" s="74" t="s">
        <v>213</v>
      </c>
      <c r="E44" s="477"/>
      <c r="F44" s="478"/>
      <c r="G44" s="479"/>
      <c r="H44" s="50"/>
      <c r="J44" s="442"/>
      <c r="K44" s="443"/>
      <c r="L44" s="443"/>
      <c r="M44" s="443"/>
      <c r="N44" s="443"/>
      <c r="O44" s="443"/>
      <c r="P44" s="443"/>
      <c r="Q44" s="443"/>
      <c r="R44" s="443"/>
      <c r="S44" s="443"/>
      <c r="T44" s="443"/>
      <c r="U44" s="443"/>
      <c r="V44" s="443"/>
      <c r="W44" s="444"/>
    </row>
    <row r="45" spans="2:23" ht="22.9" customHeight="1">
      <c r="B45" s="48"/>
      <c r="C45" s="358" t="s">
        <v>195</v>
      </c>
      <c r="D45" s="74" t="s">
        <v>214</v>
      </c>
      <c r="E45" s="477">
        <v>14344.41</v>
      </c>
      <c r="F45" s="478">
        <v>14014.41</v>
      </c>
      <c r="G45" s="479">
        <v>14014.41</v>
      </c>
      <c r="H45" s="50"/>
      <c r="J45" s="442"/>
      <c r="K45" s="443"/>
      <c r="L45" s="443"/>
      <c r="M45" s="443"/>
      <c r="N45" s="443"/>
      <c r="O45" s="443"/>
      <c r="P45" s="443"/>
      <c r="Q45" s="443"/>
      <c r="R45" s="443"/>
      <c r="S45" s="443"/>
      <c r="T45" s="443"/>
      <c r="U45" s="443"/>
      <c r="V45" s="443"/>
      <c r="W45" s="444"/>
    </row>
    <row r="46" spans="2:23" ht="22.9" customHeight="1">
      <c r="B46" s="48"/>
      <c r="C46" s="358" t="s">
        <v>109</v>
      </c>
      <c r="D46" s="74" t="s">
        <v>215</v>
      </c>
      <c r="E46" s="477"/>
      <c r="F46" s="478"/>
      <c r="G46" s="479"/>
      <c r="H46" s="50"/>
      <c r="J46" s="442"/>
      <c r="K46" s="443"/>
      <c r="L46" s="443"/>
      <c r="M46" s="443"/>
      <c r="N46" s="443"/>
      <c r="O46" s="443"/>
      <c r="P46" s="443"/>
      <c r="Q46" s="443"/>
      <c r="R46" s="443"/>
      <c r="S46" s="443"/>
      <c r="T46" s="443"/>
      <c r="U46" s="443"/>
      <c r="V46" s="443"/>
      <c r="W46" s="444"/>
    </row>
    <row r="47" spans="2:23" ht="22.9" customHeight="1">
      <c r="B47" s="48"/>
      <c r="C47" s="355" t="s">
        <v>219</v>
      </c>
      <c r="D47" s="72" t="s">
        <v>220</v>
      </c>
      <c r="E47" s="480">
        <v>9463398.3000000007</v>
      </c>
      <c r="F47" s="481">
        <v>8266818.0599999996</v>
      </c>
      <c r="G47" s="482">
        <v>7091439.9299999997</v>
      </c>
      <c r="H47" s="50"/>
      <c r="J47" s="442"/>
      <c r="K47" s="443"/>
      <c r="L47" s="443"/>
      <c r="M47" s="443"/>
      <c r="N47" s="443"/>
      <c r="O47" s="443"/>
      <c r="P47" s="443"/>
      <c r="Q47" s="443"/>
      <c r="R47" s="443"/>
      <c r="S47" s="443"/>
      <c r="T47" s="443"/>
      <c r="U47" s="443"/>
      <c r="V47" s="443"/>
      <c r="W47" s="444"/>
    </row>
    <row r="48" spans="2:23" ht="22.9" customHeight="1">
      <c r="B48" s="48"/>
      <c r="C48" s="355" t="s">
        <v>221</v>
      </c>
      <c r="D48" s="72" t="s">
        <v>222</v>
      </c>
      <c r="E48" s="480">
        <v>0</v>
      </c>
      <c r="F48" s="481">
        <v>0</v>
      </c>
      <c r="G48" s="482">
        <v>0</v>
      </c>
      <c r="H48" s="50"/>
      <c r="J48" s="442"/>
      <c r="K48" s="443"/>
      <c r="L48" s="443"/>
      <c r="M48" s="443"/>
      <c r="N48" s="443"/>
      <c r="O48" s="443"/>
      <c r="P48" s="443"/>
      <c r="Q48" s="443"/>
      <c r="R48" s="443"/>
      <c r="S48" s="443"/>
      <c r="T48" s="443"/>
      <c r="U48" s="443"/>
      <c r="V48" s="443"/>
      <c r="W48" s="444"/>
    </row>
    <row r="49" spans="2:23" ht="22.9" customHeight="1">
      <c r="B49" s="48"/>
      <c r="C49" s="360"/>
      <c r="D49" s="64"/>
      <c r="E49" s="332"/>
      <c r="F49" s="339"/>
      <c r="G49" s="352"/>
      <c r="H49" s="50"/>
      <c r="J49" s="442"/>
      <c r="K49" s="443"/>
      <c r="L49" s="443"/>
      <c r="M49" s="443"/>
      <c r="N49" s="443"/>
      <c r="O49" s="443"/>
      <c r="P49" s="443"/>
      <c r="Q49" s="443"/>
      <c r="R49" s="443"/>
      <c r="S49" s="443"/>
      <c r="T49" s="443"/>
      <c r="U49" s="443"/>
      <c r="V49" s="443"/>
      <c r="W49" s="444"/>
    </row>
    <row r="50" spans="2:23" s="77" customFormat="1" ht="22.9" customHeight="1">
      <c r="B50" s="24"/>
      <c r="C50" s="353" t="s">
        <v>177</v>
      </c>
      <c r="D50" s="86" t="s">
        <v>223</v>
      </c>
      <c r="E50" s="333">
        <f>E51+E52+E65+E75+E82+E89+E90</f>
        <v>12351540.68</v>
      </c>
      <c r="F50" s="340">
        <f>F51+F52+F65+F75+F82+F89+F90</f>
        <v>13454501</v>
      </c>
      <c r="G50" s="354">
        <f>G51+G52+G65+G75+G82+G89+G90</f>
        <v>10027238.821829971</v>
      </c>
      <c r="H50" s="61"/>
      <c r="J50" s="442"/>
      <c r="K50" s="443"/>
      <c r="L50" s="443"/>
      <c r="M50" s="443"/>
      <c r="N50" s="443"/>
      <c r="O50" s="443"/>
      <c r="P50" s="443"/>
      <c r="Q50" s="443"/>
      <c r="R50" s="443"/>
      <c r="S50" s="443"/>
      <c r="T50" s="443"/>
      <c r="U50" s="443"/>
      <c r="V50" s="443"/>
      <c r="W50" s="444"/>
    </row>
    <row r="51" spans="2:23" ht="22.9" customHeight="1">
      <c r="B51" s="48"/>
      <c r="C51" s="355" t="s">
        <v>189</v>
      </c>
      <c r="D51" s="72" t="s">
        <v>224</v>
      </c>
      <c r="E51" s="480"/>
      <c r="F51" s="481"/>
      <c r="G51" s="482"/>
      <c r="H51" s="50"/>
      <c r="J51" s="442"/>
      <c r="K51" s="443"/>
      <c r="L51" s="443"/>
      <c r="M51" s="443"/>
      <c r="N51" s="443"/>
      <c r="O51" s="443"/>
      <c r="P51" s="443"/>
      <c r="Q51" s="443"/>
      <c r="R51" s="443"/>
      <c r="S51" s="443"/>
      <c r="T51" s="443"/>
      <c r="U51" s="443"/>
      <c r="V51" s="443"/>
      <c r="W51" s="444"/>
    </row>
    <row r="52" spans="2:23" ht="22.9" customHeight="1">
      <c r="B52" s="48"/>
      <c r="C52" s="355" t="s">
        <v>199</v>
      </c>
      <c r="D52" s="72" t="s">
        <v>225</v>
      </c>
      <c r="E52" s="334">
        <f>E53+E54+E57+E60+E63+E64</f>
        <v>2500596.89</v>
      </c>
      <c r="F52" s="341">
        <f t="shared" ref="F52:G52" si="0">F53+F54+F57+F60+F63+F64</f>
        <v>2462809.61</v>
      </c>
      <c r="G52" s="356">
        <f t="shared" si="0"/>
        <v>2462809.61</v>
      </c>
      <c r="H52" s="50"/>
      <c r="J52" s="442"/>
      <c r="K52" s="443"/>
      <c r="L52" s="443"/>
      <c r="M52" s="443"/>
      <c r="N52" s="443"/>
      <c r="O52" s="443"/>
      <c r="P52" s="443"/>
      <c r="Q52" s="443"/>
      <c r="R52" s="443"/>
      <c r="S52" s="443"/>
      <c r="T52" s="443"/>
      <c r="U52" s="443"/>
      <c r="V52" s="443"/>
      <c r="W52" s="444"/>
    </row>
    <row r="53" spans="2:23" ht="22.9" customHeight="1">
      <c r="B53" s="48"/>
      <c r="C53" s="358" t="s">
        <v>88</v>
      </c>
      <c r="D53" s="74" t="s">
        <v>226</v>
      </c>
      <c r="E53" s="477"/>
      <c r="F53" s="478"/>
      <c r="G53" s="479"/>
      <c r="H53" s="50"/>
      <c r="J53" s="442"/>
      <c r="K53" s="443"/>
      <c r="L53" s="443"/>
      <c r="M53" s="443"/>
      <c r="N53" s="443"/>
      <c r="O53" s="443"/>
      <c r="P53" s="443"/>
      <c r="Q53" s="443"/>
      <c r="R53" s="443"/>
      <c r="S53" s="443"/>
      <c r="T53" s="443"/>
      <c r="U53" s="443"/>
      <c r="V53" s="443"/>
      <c r="W53" s="444"/>
    </row>
    <row r="54" spans="2:23" ht="22.9" customHeight="1">
      <c r="B54" s="48"/>
      <c r="C54" s="358" t="s">
        <v>95</v>
      </c>
      <c r="D54" s="74" t="s">
        <v>227</v>
      </c>
      <c r="E54" s="335">
        <f>E55+E56</f>
        <v>2491488.81</v>
      </c>
      <c r="F54" s="342">
        <f t="shared" ref="F54:G54" si="1">F55+F56</f>
        <v>2462809.61</v>
      </c>
      <c r="G54" s="359">
        <f t="shared" si="1"/>
        <v>2462809.61</v>
      </c>
      <c r="H54" s="50"/>
      <c r="J54" s="442"/>
      <c r="K54" s="443"/>
      <c r="L54" s="443"/>
      <c r="M54" s="443"/>
      <c r="N54" s="443"/>
      <c r="O54" s="443"/>
      <c r="P54" s="443"/>
      <c r="Q54" s="443"/>
      <c r="R54" s="443"/>
      <c r="S54" s="443"/>
      <c r="T54" s="443"/>
      <c r="U54" s="443"/>
      <c r="V54" s="443"/>
      <c r="W54" s="444"/>
    </row>
    <row r="55" spans="2:23" ht="22.9" customHeight="1">
      <c r="B55" s="48"/>
      <c r="C55" s="361" t="s">
        <v>89</v>
      </c>
      <c r="D55" s="89" t="s">
        <v>251</v>
      </c>
      <c r="E55" s="747"/>
      <c r="F55" s="748"/>
      <c r="G55" s="749"/>
      <c r="H55" s="50"/>
      <c r="J55" s="442"/>
      <c r="K55" s="443"/>
      <c r="L55" s="443"/>
      <c r="M55" s="443"/>
      <c r="N55" s="443"/>
      <c r="O55" s="443"/>
      <c r="P55" s="443"/>
      <c r="Q55" s="443"/>
      <c r="R55" s="443"/>
      <c r="S55" s="443"/>
      <c r="T55" s="443"/>
      <c r="U55" s="443"/>
      <c r="V55" s="443"/>
      <c r="W55" s="444"/>
    </row>
    <row r="56" spans="2:23" ht="22.9" customHeight="1">
      <c r="B56" s="48"/>
      <c r="C56" s="361" t="s">
        <v>91</v>
      </c>
      <c r="D56" s="89" t="s">
        <v>252</v>
      </c>
      <c r="E56" s="747">
        <v>2491488.81</v>
      </c>
      <c r="F56" s="748">
        <v>2462809.61</v>
      </c>
      <c r="G56" s="749">
        <v>2462809.61</v>
      </c>
      <c r="H56" s="50"/>
      <c r="J56" s="442"/>
      <c r="K56" s="443"/>
      <c r="L56" s="443"/>
      <c r="M56" s="443"/>
      <c r="N56" s="443"/>
      <c r="O56" s="443"/>
      <c r="P56" s="443"/>
      <c r="Q56" s="443"/>
      <c r="R56" s="443"/>
      <c r="S56" s="443"/>
      <c r="T56" s="443"/>
      <c r="U56" s="443"/>
      <c r="V56" s="443"/>
      <c r="W56" s="444"/>
    </row>
    <row r="57" spans="2:23" ht="22.9" customHeight="1">
      <c r="B57" s="48"/>
      <c r="C57" s="358" t="s">
        <v>97</v>
      </c>
      <c r="D57" s="74" t="s">
        <v>228</v>
      </c>
      <c r="E57" s="335">
        <f>E58+E59</f>
        <v>0</v>
      </c>
      <c r="F57" s="342">
        <f t="shared" ref="F57:G57" si="2">F58+F59</f>
        <v>0</v>
      </c>
      <c r="G57" s="359">
        <f t="shared" si="2"/>
        <v>0</v>
      </c>
      <c r="H57" s="50"/>
      <c r="J57" s="442"/>
      <c r="K57" s="443"/>
      <c r="L57" s="443"/>
      <c r="M57" s="443"/>
      <c r="N57" s="443"/>
      <c r="O57" s="443"/>
      <c r="P57" s="443"/>
      <c r="Q57" s="443"/>
      <c r="R57" s="443"/>
      <c r="S57" s="443"/>
      <c r="T57" s="443"/>
      <c r="U57" s="443"/>
      <c r="V57" s="443"/>
      <c r="W57" s="444"/>
    </row>
    <row r="58" spans="2:23" ht="22.9" customHeight="1">
      <c r="B58" s="48"/>
      <c r="C58" s="361" t="s">
        <v>89</v>
      </c>
      <c r="D58" s="89" t="s">
        <v>229</v>
      </c>
      <c r="E58" s="747"/>
      <c r="F58" s="748"/>
      <c r="G58" s="749"/>
      <c r="H58" s="50"/>
      <c r="J58" s="442"/>
      <c r="K58" s="443"/>
      <c r="L58" s="443"/>
      <c r="M58" s="443"/>
      <c r="N58" s="443"/>
      <c r="O58" s="443"/>
      <c r="P58" s="443"/>
      <c r="Q58" s="443"/>
      <c r="R58" s="443"/>
      <c r="S58" s="443"/>
      <c r="T58" s="443"/>
      <c r="U58" s="443"/>
      <c r="V58" s="443"/>
      <c r="W58" s="444"/>
    </row>
    <row r="59" spans="2:23" ht="22.9" customHeight="1">
      <c r="B59" s="48"/>
      <c r="C59" s="361" t="s">
        <v>91</v>
      </c>
      <c r="D59" s="89" t="s">
        <v>230</v>
      </c>
      <c r="E59" s="747"/>
      <c r="F59" s="748"/>
      <c r="G59" s="749"/>
      <c r="H59" s="50"/>
      <c r="J59" s="442"/>
      <c r="K59" s="443"/>
      <c r="L59" s="443"/>
      <c r="M59" s="443"/>
      <c r="N59" s="443"/>
      <c r="O59" s="443"/>
      <c r="P59" s="443"/>
      <c r="Q59" s="443"/>
      <c r="R59" s="443"/>
      <c r="S59" s="443"/>
      <c r="T59" s="443"/>
      <c r="U59" s="443"/>
      <c r="V59" s="443"/>
      <c r="W59" s="444"/>
    </row>
    <row r="60" spans="2:23" ht="22.9" customHeight="1">
      <c r="B60" s="48"/>
      <c r="C60" s="358" t="s">
        <v>99</v>
      </c>
      <c r="D60" s="74" t="s">
        <v>231</v>
      </c>
      <c r="E60" s="335">
        <f>E61+E62</f>
        <v>0</v>
      </c>
      <c r="F60" s="342">
        <f t="shared" ref="F60:G60" si="3">F61+F62</f>
        <v>0</v>
      </c>
      <c r="G60" s="359">
        <f t="shared" si="3"/>
        <v>0</v>
      </c>
      <c r="H60" s="50"/>
      <c r="J60" s="442"/>
      <c r="K60" s="443"/>
      <c r="L60" s="443"/>
      <c r="M60" s="443"/>
      <c r="N60" s="443"/>
      <c r="O60" s="443"/>
      <c r="P60" s="443"/>
      <c r="Q60" s="443"/>
      <c r="R60" s="443"/>
      <c r="S60" s="443"/>
      <c r="T60" s="443"/>
      <c r="U60" s="443"/>
      <c r="V60" s="443"/>
      <c r="W60" s="444"/>
    </row>
    <row r="61" spans="2:23" ht="22.9" customHeight="1">
      <c r="B61" s="48"/>
      <c r="C61" s="361" t="s">
        <v>89</v>
      </c>
      <c r="D61" s="89" t="s">
        <v>229</v>
      </c>
      <c r="E61" s="747"/>
      <c r="F61" s="748"/>
      <c r="G61" s="749"/>
      <c r="H61" s="50"/>
      <c r="J61" s="442"/>
      <c r="K61" s="443"/>
      <c r="L61" s="443"/>
      <c r="M61" s="443"/>
      <c r="N61" s="443"/>
      <c r="O61" s="443"/>
      <c r="P61" s="443"/>
      <c r="Q61" s="443"/>
      <c r="R61" s="443"/>
      <c r="S61" s="443"/>
      <c r="T61" s="443"/>
      <c r="U61" s="443"/>
      <c r="V61" s="443"/>
      <c r="W61" s="444"/>
    </row>
    <row r="62" spans="2:23" ht="22.9" customHeight="1">
      <c r="B62" s="48"/>
      <c r="C62" s="361" t="s">
        <v>91</v>
      </c>
      <c r="D62" s="89" t="s">
        <v>230</v>
      </c>
      <c r="E62" s="747"/>
      <c r="F62" s="748"/>
      <c r="G62" s="749"/>
      <c r="H62" s="50"/>
      <c r="J62" s="442"/>
      <c r="K62" s="443"/>
      <c r="L62" s="443"/>
      <c r="M62" s="443"/>
      <c r="N62" s="443"/>
      <c r="O62" s="443"/>
      <c r="P62" s="443"/>
      <c r="Q62" s="443"/>
      <c r="R62" s="443"/>
      <c r="S62" s="443"/>
      <c r="T62" s="443"/>
      <c r="U62" s="443"/>
      <c r="V62" s="443"/>
      <c r="W62" s="444"/>
    </row>
    <row r="63" spans="2:23" ht="22.9" customHeight="1">
      <c r="B63" s="48"/>
      <c r="C63" s="358" t="s">
        <v>195</v>
      </c>
      <c r="D63" s="74" t="s">
        <v>232</v>
      </c>
      <c r="E63" s="477"/>
      <c r="F63" s="478"/>
      <c r="G63" s="479"/>
      <c r="H63" s="50"/>
      <c r="J63" s="442"/>
      <c r="K63" s="443"/>
      <c r="L63" s="443"/>
      <c r="M63" s="443"/>
      <c r="N63" s="443"/>
      <c r="O63" s="443"/>
      <c r="P63" s="443"/>
      <c r="Q63" s="443"/>
      <c r="R63" s="443"/>
      <c r="S63" s="443"/>
      <c r="T63" s="443"/>
      <c r="U63" s="443"/>
      <c r="V63" s="443"/>
      <c r="W63" s="444"/>
    </row>
    <row r="64" spans="2:23" ht="22.9" customHeight="1">
      <c r="B64" s="48"/>
      <c r="C64" s="358" t="s">
        <v>109</v>
      </c>
      <c r="D64" s="74" t="s">
        <v>233</v>
      </c>
      <c r="E64" s="477">
        <v>9108.08</v>
      </c>
      <c r="F64" s="478"/>
      <c r="G64" s="479"/>
      <c r="H64" s="50"/>
      <c r="J64" s="442"/>
      <c r="K64" s="443"/>
      <c r="L64" s="443"/>
      <c r="M64" s="443"/>
      <c r="N64" s="443"/>
      <c r="O64" s="443"/>
      <c r="P64" s="443"/>
      <c r="Q64" s="443"/>
      <c r="R64" s="443"/>
      <c r="S64" s="443"/>
      <c r="T64" s="443"/>
      <c r="U64" s="443"/>
      <c r="V64" s="443"/>
      <c r="W64" s="444"/>
    </row>
    <row r="65" spans="2:23" ht="22.9" customHeight="1">
      <c r="B65" s="48"/>
      <c r="C65" s="355" t="s">
        <v>204</v>
      </c>
      <c r="D65" s="72" t="s">
        <v>234</v>
      </c>
      <c r="E65" s="334">
        <f>E66+SUM(E69:E74)</f>
        <v>3866200.9299999997</v>
      </c>
      <c r="F65" s="341">
        <f t="shared" ref="F65:G65" si="4">F66+SUM(F69:F74)</f>
        <v>3022220.58</v>
      </c>
      <c r="G65" s="356">
        <f t="shared" si="4"/>
        <v>3662746.23</v>
      </c>
      <c r="H65" s="50"/>
      <c r="J65" s="442"/>
      <c r="K65" s="443"/>
      <c r="L65" s="443"/>
      <c r="M65" s="443"/>
      <c r="N65" s="443"/>
      <c r="O65" s="443"/>
      <c r="P65" s="443"/>
      <c r="Q65" s="443"/>
      <c r="R65" s="443"/>
      <c r="S65" s="443"/>
      <c r="T65" s="443"/>
      <c r="U65" s="443"/>
      <c r="V65" s="443"/>
      <c r="W65" s="444"/>
    </row>
    <row r="66" spans="2:23" ht="22.9" customHeight="1">
      <c r="B66" s="48"/>
      <c r="C66" s="358" t="s">
        <v>88</v>
      </c>
      <c r="D66" s="74" t="s">
        <v>235</v>
      </c>
      <c r="E66" s="335">
        <f>E67+E68</f>
        <v>944349.3</v>
      </c>
      <c r="F66" s="342">
        <f t="shared" ref="F66:G66" si="5">F67+F68</f>
        <v>981792.42</v>
      </c>
      <c r="G66" s="359">
        <f t="shared" si="5"/>
        <v>981794.37</v>
      </c>
      <c r="H66" s="50"/>
      <c r="J66" s="442"/>
      <c r="K66" s="443"/>
      <c r="L66" s="443"/>
      <c r="M66" s="443"/>
      <c r="N66" s="443"/>
      <c r="O66" s="443"/>
      <c r="P66" s="443"/>
      <c r="Q66" s="443"/>
      <c r="R66" s="443"/>
      <c r="S66" s="443"/>
      <c r="T66" s="443"/>
      <c r="U66" s="443"/>
      <c r="V66" s="443"/>
      <c r="W66" s="444"/>
    </row>
    <row r="67" spans="2:23" ht="22.9" customHeight="1">
      <c r="B67" s="48"/>
      <c r="C67" s="361" t="s">
        <v>89</v>
      </c>
      <c r="D67" s="89" t="s">
        <v>236</v>
      </c>
      <c r="E67" s="747"/>
      <c r="F67" s="748"/>
      <c r="G67" s="749"/>
      <c r="H67" s="50"/>
      <c r="J67" s="442"/>
      <c r="K67" s="443"/>
      <c r="L67" s="443"/>
      <c r="M67" s="443"/>
      <c r="N67" s="443"/>
      <c r="O67" s="443"/>
      <c r="P67" s="443"/>
      <c r="Q67" s="443"/>
      <c r="R67" s="443"/>
      <c r="S67" s="443"/>
      <c r="T67" s="443"/>
      <c r="U67" s="443"/>
      <c r="V67" s="443"/>
      <c r="W67" s="444"/>
    </row>
    <row r="68" spans="2:23" ht="22.9" customHeight="1">
      <c r="B68" s="48"/>
      <c r="C68" s="361" t="s">
        <v>91</v>
      </c>
      <c r="D68" s="89" t="s">
        <v>237</v>
      </c>
      <c r="E68" s="747">
        <v>944349.3</v>
      </c>
      <c r="F68" s="748">
        <v>981792.42</v>
      </c>
      <c r="G68" s="749">
        <v>981794.37</v>
      </c>
      <c r="H68" s="50"/>
      <c r="J68" s="442"/>
      <c r="K68" s="443"/>
      <c r="L68" s="443"/>
      <c r="M68" s="443"/>
      <c r="N68" s="443"/>
      <c r="O68" s="443"/>
      <c r="P68" s="443"/>
      <c r="Q68" s="443"/>
      <c r="R68" s="443"/>
      <c r="S68" s="443"/>
      <c r="T68" s="443"/>
      <c r="U68" s="443"/>
      <c r="V68" s="443"/>
      <c r="W68" s="444"/>
    </row>
    <row r="69" spans="2:23" ht="22.9" customHeight="1">
      <c r="B69" s="48"/>
      <c r="C69" s="358" t="s">
        <v>95</v>
      </c>
      <c r="D69" s="74" t="s">
        <v>238</v>
      </c>
      <c r="E69" s="477"/>
      <c r="F69" s="478"/>
      <c r="G69" s="479"/>
      <c r="H69" s="50"/>
      <c r="J69" s="442"/>
      <c r="K69" s="443"/>
      <c r="L69" s="443"/>
      <c r="M69" s="443"/>
      <c r="N69" s="443"/>
      <c r="O69" s="443"/>
      <c r="P69" s="443"/>
      <c r="Q69" s="443"/>
      <c r="R69" s="443"/>
      <c r="S69" s="443"/>
      <c r="T69" s="443"/>
      <c r="U69" s="443"/>
      <c r="V69" s="443"/>
      <c r="W69" s="444"/>
    </row>
    <row r="70" spans="2:23" ht="22.9" customHeight="1">
      <c r="B70" s="48"/>
      <c r="C70" s="358" t="s">
        <v>97</v>
      </c>
      <c r="D70" s="74" t="s">
        <v>239</v>
      </c>
      <c r="E70" s="477">
        <v>2627255.1</v>
      </c>
      <c r="F70" s="478">
        <v>1970610.76</v>
      </c>
      <c r="G70" s="479">
        <v>2679367.61</v>
      </c>
      <c r="H70" s="50"/>
      <c r="J70" s="442"/>
      <c r="K70" s="443"/>
      <c r="L70" s="443"/>
      <c r="M70" s="443"/>
      <c r="N70" s="443"/>
      <c r="O70" s="443"/>
      <c r="P70" s="443"/>
      <c r="Q70" s="443"/>
      <c r="R70" s="443"/>
      <c r="S70" s="443"/>
      <c r="T70" s="443"/>
      <c r="U70" s="443"/>
      <c r="V70" s="443"/>
      <c r="W70" s="444"/>
    </row>
    <row r="71" spans="2:23" ht="22.9" customHeight="1">
      <c r="B71" s="48"/>
      <c r="C71" s="358" t="s">
        <v>99</v>
      </c>
      <c r="D71" s="74" t="s">
        <v>62</v>
      </c>
      <c r="E71" s="477">
        <v>12280</v>
      </c>
      <c r="F71" s="478">
        <v>6810</v>
      </c>
      <c r="G71" s="479">
        <v>0</v>
      </c>
      <c r="H71" s="50"/>
      <c r="J71" s="442"/>
      <c r="K71" s="443"/>
      <c r="L71" s="443"/>
      <c r="M71" s="443"/>
      <c r="N71" s="443"/>
      <c r="O71" s="443"/>
      <c r="P71" s="443"/>
      <c r="Q71" s="443"/>
      <c r="R71" s="443"/>
      <c r="S71" s="443"/>
      <c r="T71" s="443"/>
      <c r="U71" s="443"/>
      <c r="V71" s="443"/>
      <c r="W71" s="444"/>
    </row>
    <row r="72" spans="2:23" ht="22.9" customHeight="1">
      <c r="B72" s="48"/>
      <c r="C72" s="358" t="s">
        <v>195</v>
      </c>
      <c r="D72" s="74" t="s">
        <v>240</v>
      </c>
      <c r="E72" s="477">
        <v>247683.17</v>
      </c>
      <c r="F72" s="478">
        <f>71994.17-8986.77</f>
        <v>63007.399999999994</v>
      </c>
      <c r="G72" s="479">
        <f>382752.88-381168.63</f>
        <v>1584.25</v>
      </c>
      <c r="H72" s="50"/>
      <c r="J72" s="442"/>
      <c r="K72" s="443"/>
      <c r="L72" s="443"/>
      <c r="M72" s="443"/>
      <c r="N72" s="443"/>
      <c r="O72" s="443"/>
      <c r="P72" s="443"/>
      <c r="Q72" s="443"/>
      <c r="R72" s="443"/>
      <c r="S72" s="443"/>
      <c r="T72" s="443"/>
      <c r="U72" s="443"/>
      <c r="V72" s="443"/>
      <c r="W72" s="444"/>
    </row>
    <row r="73" spans="2:23" ht="22.9" customHeight="1">
      <c r="B73" s="48"/>
      <c r="C73" s="358" t="s">
        <v>109</v>
      </c>
      <c r="D73" s="74" t="s">
        <v>241</v>
      </c>
      <c r="E73" s="477">
        <f>386388.05-351754.69</f>
        <v>34633.359999999986</v>
      </c>
      <c r="F73" s="478">
        <v>0</v>
      </c>
      <c r="G73" s="479">
        <v>0</v>
      </c>
      <c r="H73" s="50"/>
      <c r="J73" s="442"/>
      <c r="K73" s="443"/>
      <c r="L73" s="443"/>
      <c r="M73" s="443"/>
      <c r="N73" s="443"/>
      <c r="O73" s="443"/>
      <c r="P73" s="443"/>
      <c r="Q73" s="443"/>
      <c r="R73" s="443"/>
      <c r="S73" s="443"/>
      <c r="T73" s="443"/>
      <c r="U73" s="443"/>
      <c r="V73" s="443"/>
      <c r="W73" s="444"/>
    </row>
    <row r="74" spans="2:23" ht="22.9" customHeight="1">
      <c r="B74" s="48"/>
      <c r="C74" s="358" t="s">
        <v>114</v>
      </c>
      <c r="D74" s="74" t="s">
        <v>242</v>
      </c>
      <c r="E74" s="477"/>
      <c r="F74" s="478"/>
      <c r="G74" s="479"/>
      <c r="H74" s="50"/>
      <c r="J74" s="442"/>
      <c r="K74" s="443"/>
      <c r="L74" s="443"/>
      <c r="M74" s="443"/>
      <c r="N74" s="443"/>
      <c r="O74" s="443"/>
      <c r="P74" s="443"/>
      <c r="Q74" s="443"/>
      <c r="R74" s="443"/>
      <c r="S74" s="443"/>
      <c r="T74" s="443"/>
      <c r="U74" s="443"/>
      <c r="V74" s="443"/>
      <c r="W74" s="444"/>
    </row>
    <row r="75" spans="2:23" ht="22.9" customHeight="1">
      <c r="B75" s="48"/>
      <c r="C75" s="355" t="s">
        <v>208</v>
      </c>
      <c r="D75" s="72" t="s">
        <v>243</v>
      </c>
      <c r="E75" s="334">
        <f>SUM(E76:E81)</f>
        <v>351754.69</v>
      </c>
      <c r="F75" s="341">
        <f t="shared" ref="F75:G75" si="6">SUM(F76:F81)</f>
        <v>8986.77</v>
      </c>
      <c r="G75" s="356">
        <f t="shared" si="6"/>
        <v>381168.63</v>
      </c>
      <c r="H75" s="50"/>
      <c r="J75" s="442"/>
      <c r="K75" s="443"/>
      <c r="L75" s="443"/>
      <c r="M75" s="443"/>
      <c r="N75" s="443"/>
      <c r="O75" s="443"/>
      <c r="P75" s="443"/>
      <c r="Q75" s="443"/>
      <c r="R75" s="443"/>
      <c r="S75" s="443"/>
      <c r="T75" s="443"/>
      <c r="U75" s="443"/>
      <c r="V75" s="443"/>
      <c r="W75" s="444"/>
    </row>
    <row r="76" spans="2:23" ht="22.9" customHeight="1">
      <c r="B76" s="48"/>
      <c r="C76" s="358" t="s">
        <v>88</v>
      </c>
      <c r="D76" s="74" t="s">
        <v>210</v>
      </c>
      <c r="E76" s="477"/>
      <c r="F76" s="478"/>
      <c r="G76" s="479"/>
      <c r="H76" s="50"/>
      <c r="J76" s="442"/>
      <c r="K76" s="443"/>
      <c r="L76" s="443"/>
      <c r="M76" s="443"/>
      <c r="N76" s="443"/>
      <c r="O76" s="443"/>
      <c r="P76" s="443"/>
      <c r="Q76" s="443"/>
      <c r="R76" s="443"/>
      <c r="S76" s="443"/>
      <c r="T76" s="443"/>
      <c r="U76" s="443"/>
      <c r="V76" s="443"/>
      <c r="W76" s="444"/>
    </row>
    <row r="77" spans="2:23" ht="22.9" customHeight="1">
      <c r="B77" s="48"/>
      <c r="C77" s="358" t="s">
        <v>95</v>
      </c>
      <c r="D77" s="74" t="s">
        <v>211</v>
      </c>
      <c r="E77" s="477">
        <v>351754.69</v>
      </c>
      <c r="F77" s="478">
        <v>8986.77</v>
      </c>
      <c r="G77" s="479">
        <v>381168.63</v>
      </c>
      <c r="H77" s="50"/>
      <c r="J77" s="429" t="s">
        <v>982</v>
      </c>
      <c r="K77" s="443"/>
      <c r="L77" s="443"/>
      <c r="M77" s="443"/>
      <c r="N77" s="443"/>
      <c r="O77" s="443"/>
      <c r="P77" s="443"/>
      <c r="Q77" s="443"/>
      <c r="R77" s="443"/>
      <c r="S77" s="443"/>
      <c r="T77" s="443"/>
      <c r="U77" s="443"/>
      <c r="V77" s="443"/>
      <c r="W77" s="444"/>
    </row>
    <row r="78" spans="2:23" ht="22.9" customHeight="1">
      <c r="B78" s="48"/>
      <c r="C78" s="358" t="s">
        <v>97</v>
      </c>
      <c r="D78" s="74" t="s">
        <v>212</v>
      </c>
      <c r="E78" s="477"/>
      <c r="F78" s="478"/>
      <c r="G78" s="479"/>
      <c r="H78" s="50"/>
      <c r="J78" s="442"/>
      <c r="K78" s="443"/>
      <c r="L78" s="443"/>
      <c r="M78" s="443"/>
      <c r="N78" s="443"/>
      <c r="O78" s="443"/>
      <c r="P78" s="443"/>
      <c r="Q78" s="443"/>
      <c r="R78" s="443"/>
      <c r="S78" s="443"/>
      <c r="T78" s="443"/>
      <c r="U78" s="443"/>
      <c r="V78" s="443"/>
      <c r="W78" s="444"/>
    </row>
    <row r="79" spans="2:23" ht="22.9" customHeight="1">
      <c r="B79" s="48"/>
      <c r="C79" s="358" t="s">
        <v>99</v>
      </c>
      <c r="D79" s="74" t="s">
        <v>213</v>
      </c>
      <c r="E79" s="477"/>
      <c r="F79" s="478"/>
      <c r="G79" s="479"/>
      <c r="H79" s="50"/>
      <c r="J79" s="442"/>
      <c r="K79" s="443"/>
      <c r="L79" s="443"/>
      <c r="M79" s="443"/>
      <c r="N79" s="443"/>
      <c r="O79" s="443"/>
      <c r="P79" s="443"/>
      <c r="Q79" s="443"/>
      <c r="R79" s="443"/>
      <c r="S79" s="443"/>
      <c r="T79" s="443"/>
      <c r="U79" s="443"/>
      <c r="V79" s="443"/>
      <c r="W79" s="444"/>
    </row>
    <row r="80" spans="2:23" ht="22.9" customHeight="1">
      <c r="B80" s="48"/>
      <c r="C80" s="358" t="s">
        <v>195</v>
      </c>
      <c r="D80" s="74" t="s">
        <v>214</v>
      </c>
      <c r="E80" s="477"/>
      <c r="F80" s="478"/>
      <c r="G80" s="479"/>
      <c r="H80" s="50"/>
      <c r="J80" s="442"/>
      <c r="K80" s="443"/>
      <c r="L80" s="443"/>
      <c r="M80" s="443"/>
      <c r="N80" s="443"/>
      <c r="O80" s="443"/>
      <c r="P80" s="443"/>
      <c r="Q80" s="443"/>
      <c r="R80" s="443"/>
      <c r="S80" s="443"/>
      <c r="T80" s="443"/>
      <c r="U80" s="443"/>
      <c r="V80" s="443"/>
      <c r="W80" s="444"/>
    </row>
    <row r="81" spans="2:23" ht="22.9" customHeight="1">
      <c r="B81" s="48"/>
      <c r="C81" s="358" t="s">
        <v>109</v>
      </c>
      <c r="D81" s="74" t="s">
        <v>215</v>
      </c>
      <c r="E81" s="477"/>
      <c r="F81" s="478"/>
      <c r="G81" s="479"/>
      <c r="H81" s="50"/>
      <c r="J81" s="442"/>
      <c r="K81" s="443"/>
      <c r="L81" s="443"/>
      <c r="M81" s="443"/>
      <c r="N81" s="443"/>
      <c r="O81" s="443"/>
      <c r="P81" s="443"/>
      <c r="Q81" s="443"/>
      <c r="R81" s="443"/>
      <c r="S81" s="443"/>
      <c r="T81" s="443"/>
      <c r="U81" s="443"/>
      <c r="V81" s="443"/>
      <c r="W81" s="444"/>
    </row>
    <row r="82" spans="2:23" ht="22.9" customHeight="1">
      <c r="B82" s="48"/>
      <c r="C82" s="355" t="s">
        <v>216</v>
      </c>
      <c r="D82" s="72" t="s">
        <v>244</v>
      </c>
      <c r="E82" s="334">
        <f>SUM(E83:E88)</f>
        <v>71181.98</v>
      </c>
      <c r="F82" s="341">
        <f t="shared" ref="F82:G82" si="7">SUM(F83:F88)</f>
        <v>217.63</v>
      </c>
      <c r="G82" s="356">
        <f t="shared" si="7"/>
        <v>217.63</v>
      </c>
      <c r="H82" s="50"/>
      <c r="J82" s="442"/>
      <c r="K82" s="443"/>
      <c r="L82" s="443"/>
      <c r="M82" s="443"/>
      <c r="N82" s="443"/>
      <c r="O82" s="443"/>
      <c r="P82" s="443"/>
      <c r="Q82" s="443"/>
      <c r="R82" s="443"/>
      <c r="S82" s="443"/>
      <c r="T82" s="443"/>
      <c r="U82" s="443"/>
      <c r="V82" s="443"/>
      <c r="W82" s="444"/>
    </row>
    <row r="83" spans="2:23" ht="22.9" customHeight="1">
      <c r="B83" s="48"/>
      <c r="C83" s="358" t="s">
        <v>88</v>
      </c>
      <c r="D83" s="74" t="s">
        <v>210</v>
      </c>
      <c r="E83" s="477"/>
      <c r="F83" s="478"/>
      <c r="G83" s="479"/>
      <c r="H83" s="50"/>
      <c r="J83" s="442"/>
      <c r="K83" s="443"/>
      <c r="L83" s="443"/>
      <c r="M83" s="443"/>
      <c r="N83" s="443"/>
      <c r="O83" s="443"/>
      <c r="P83" s="443"/>
      <c r="Q83" s="443"/>
      <c r="R83" s="443"/>
      <c r="S83" s="443"/>
      <c r="T83" s="443"/>
      <c r="U83" s="443"/>
      <c r="V83" s="443"/>
      <c r="W83" s="444"/>
    </row>
    <row r="84" spans="2:23" ht="22.9" customHeight="1">
      <c r="B84" s="48"/>
      <c r="C84" s="358" t="s">
        <v>95</v>
      </c>
      <c r="D84" s="74" t="s">
        <v>211</v>
      </c>
      <c r="E84" s="477"/>
      <c r="F84" s="478"/>
      <c r="G84" s="479"/>
      <c r="H84" s="50"/>
      <c r="J84" s="442"/>
      <c r="K84" s="443"/>
      <c r="L84" s="443"/>
      <c r="M84" s="443"/>
      <c r="N84" s="443"/>
      <c r="O84" s="443"/>
      <c r="P84" s="443"/>
      <c r="Q84" s="443"/>
      <c r="R84" s="443"/>
      <c r="S84" s="443"/>
      <c r="T84" s="443"/>
      <c r="U84" s="443"/>
      <c r="V84" s="443"/>
      <c r="W84" s="444"/>
    </row>
    <row r="85" spans="2:23" ht="22.9" customHeight="1">
      <c r="B85" s="48"/>
      <c r="C85" s="358" t="s">
        <v>97</v>
      </c>
      <c r="D85" s="74" t="s">
        <v>212</v>
      </c>
      <c r="E85" s="477"/>
      <c r="F85" s="478"/>
      <c r="G85" s="479"/>
      <c r="H85" s="50"/>
      <c r="J85" s="442"/>
      <c r="K85" s="443"/>
      <c r="L85" s="443"/>
      <c r="M85" s="443"/>
      <c r="N85" s="443"/>
      <c r="O85" s="443"/>
      <c r="P85" s="443"/>
      <c r="Q85" s="443"/>
      <c r="R85" s="443"/>
      <c r="S85" s="443"/>
      <c r="T85" s="443"/>
      <c r="U85" s="443"/>
      <c r="V85" s="443"/>
      <c r="W85" s="444"/>
    </row>
    <row r="86" spans="2:23" ht="22.9" customHeight="1">
      <c r="B86" s="48"/>
      <c r="C86" s="358" t="s">
        <v>99</v>
      </c>
      <c r="D86" s="74" t="s">
        <v>213</v>
      </c>
      <c r="E86" s="477"/>
      <c r="F86" s="478"/>
      <c r="G86" s="479"/>
      <c r="H86" s="50"/>
      <c r="J86" s="442"/>
      <c r="K86" s="443"/>
      <c r="L86" s="443"/>
      <c r="M86" s="443"/>
      <c r="N86" s="443"/>
      <c r="O86" s="443"/>
      <c r="P86" s="443"/>
      <c r="Q86" s="443"/>
      <c r="R86" s="443"/>
      <c r="S86" s="443"/>
      <c r="T86" s="443"/>
      <c r="U86" s="443"/>
      <c r="V86" s="443"/>
      <c r="W86" s="444"/>
    </row>
    <row r="87" spans="2:23" ht="22.9" customHeight="1">
      <c r="B87" s="48"/>
      <c r="C87" s="358" t="s">
        <v>195</v>
      </c>
      <c r="D87" s="74" t="s">
        <v>214</v>
      </c>
      <c r="E87" s="477">
        <v>71181.98</v>
      </c>
      <c r="F87" s="478">
        <v>217.63</v>
      </c>
      <c r="G87" s="479">
        <v>217.63</v>
      </c>
      <c r="H87" s="50"/>
      <c r="J87" s="442"/>
      <c r="K87" s="443"/>
      <c r="L87" s="443"/>
      <c r="M87" s="443"/>
      <c r="N87" s="443"/>
      <c r="O87" s="443"/>
      <c r="P87" s="443"/>
      <c r="Q87" s="443"/>
      <c r="R87" s="443"/>
      <c r="S87" s="443"/>
      <c r="T87" s="443"/>
      <c r="U87" s="443"/>
      <c r="V87" s="443"/>
      <c r="W87" s="444"/>
    </row>
    <row r="88" spans="2:23" ht="22.9" customHeight="1">
      <c r="B88" s="48"/>
      <c r="C88" s="358" t="s">
        <v>109</v>
      </c>
      <c r="D88" s="74" t="s">
        <v>215</v>
      </c>
      <c r="E88" s="477"/>
      <c r="F88" s="478"/>
      <c r="G88" s="479"/>
      <c r="H88" s="50"/>
      <c r="J88" s="442"/>
      <c r="K88" s="443"/>
      <c r="L88" s="443"/>
      <c r="M88" s="443"/>
      <c r="N88" s="443"/>
      <c r="O88" s="443"/>
      <c r="P88" s="443"/>
      <c r="Q88" s="443"/>
      <c r="R88" s="443"/>
      <c r="S88" s="443"/>
      <c r="T88" s="443"/>
      <c r="U88" s="443"/>
      <c r="V88" s="443"/>
      <c r="W88" s="444"/>
    </row>
    <row r="89" spans="2:23" s="77" customFormat="1" ht="22.9" customHeight="1">
      <c r="B89" s="24"/>
      <c r="C89" s="355" t="s">
        <v>219</v>
      </c>
      <c r="D89" s="72" t="s">
        <v>245</v>
      </c>
      <c r="E89" s="480">
        <v>32372.81</v>
      </c>
      <c r="F89" s="481">
        <v>22602.68</v>
      </c>
      <c r="G89" s="482">
        <v>0</v>
      </c>
      <c r="H89" s="61"/>
      <c r="J89" s="442"/>
      <c r="K89" s="443"/>
      <c r="L89" s="443"/>
      <c r="M89" s="443"/>
      <c r="N89" s="443"/>
      <c r="O89" s="443"/>
      <c r="P89" s="443"/>
      <c r="Q89" s="443"/>
      <c r="R89" s="443"/>
      <c r="S89" s="443"/>
      <c r="T89" s="443"/>
      <c r="U89" s="443"/>
      <c r="V89" s="443"/>
      <c r="W89" s="444"/>
    </row>
    <row r="90" spans="2:23" ht="22.9" customHeight="1">
      <c r="B90" s="48"/>
      <c r="C90" s="355" t="s">
        <v>221</v>
      </c>
      <c r="D90" s="72" t="s">
        <v>246</v>
      </c>
      <c r="E90" s="334">
        <f>SUM(E91:E92)</f>
        <v>5529433.3799999999</v>
      </c>
      <c r="F90" s="341">
        <f t="shared" ref="F90:G90" si="8">SUM(F91:F92)</f>
        <v>7937663.7300000004</v>
      </c>
      <c r="G90" s="356">
        <f t="shared" si="8"/>
        <v>3520296.7218299704</v>
      </c>
      <c r="H90" s="50"/>
      <c r="J90" s="442"/>
      <c r="K90" s="443"/>
      <c r="L90" s="443"/>
      <c r="M90" s="443"/>
      <c r="N90" s="443"/>
      <c r="O90" s="443"/>
      <c r="P90" s="443"/>
      <c r="Q90" s="443"/>
      <c r="R90" s="443"/>
      <c r="S90" s="443"/>
      <c r="T90" s="443"/>
      <c r="U90" s="443"/>
      <c r="V90" s="443"/>
      <c r="W90" s="444"/>
    </row>
    <row r="91" spans="2:23" ht="22.9" customHeight="1">
      <c r="B91" s="48"/>
      <c r="C91" s="358" t="s">
        <v>88</v>
      </c>
      <c r="D91" s="74" t="s">
        <v>247</v>
      </c>
      <c r="E91" s="477">
        <v>5529433.3799999999</v>
      </c>
      <c r="F91" s="478">
        <v>7937663.7300000004</v>
      </c>
      <c r="G91" s="479">
        <v>3520296.7218299704</v>
      </c>
      <c r="H91" s="50"/>
      <c r="J91" s="442"/>
      <c r="K91" s="443"/>
      <c r="L91" s="443"/>
      <c r="M91" s="443"/>
      <c r="N91" s="443"/>
      <c r="O91" s="443"/>
      <c r="P91" s="443"/>
      <c r="Q91" s="443"/>
      <c r="R91" s="443"/>
      <c r="S91" s="443"/>
      <c r="T91" s="443"/>
      <c r="U91" s="443"/>
      <c r="V91" s="443"/>
      <c r="W91" s="444"/>
    </row>
    <row r="92" spans="2:23" ht="22.9" customHeight="1">
      <c r="B92" s="48"/>
      <c r="C92" s="362" t="s">
        <v>95</v>
      </c>
      <c r="D92" s="363" t="s">
        <v>248</v>
      </c>
      <c r="E92" s="483"/>
      <c r="F92" s="484"/>
      <c r="G92" s="485"/>
      <c r="H92" s="50"/>
      <c r="J92" s="442"/>
      <c r="K92" s="1095"/>
      <c r="L92" s="1095"/>
      <c r="M92" s="443"/>
      <c r="N92" s="443"/>
      <c r="O92" s="443"/>
      <c r="P92" s="443"/>
      <c r="Q92" s="443"/>
      <c r="R92" s="443"/>
      <c r="S92" s="443"/>
      <c r="T92" s="443"/>
      <c r="U92" s="443"/>
      <c r="V92" s="443"/>
      <c r="W92" s="444"/>
    </row>
    <row r="93" spans="2:23" ht="22.9" customHeight="1">
      <c r="B93" s="48"/>
      <c r="C93" s="327"/>
      <c r="D93" s="64"/>
      <c r="E93" s="336"/>
      <c r="F93" s="343"/>
      <c r="G93" s="328"/>
      <c r="H93" s="50"/>
      <c r="J93" s="442"/>
      <c r="K93" s="443"/>
      <c r="L93" s="443"/>
      <c r="M93" s="443"/>
      <c r="N93" s="443"/>
      <c r="O93" s="443"/>
      <c r="P93" s="443"/>
      <c r="Q93" s="443"/>
      <c r="R93" s="443"/>
      <c r="S93" s="443"/>
      <c r="T93" s="443"/>
      <c r="U93" s="443"/>
      <c r="V93" s="443"/>
      <c r="W93" s="444"/>
    </row>
    <row r="94" spans="2:23" s="84" customFormat="1" ht="22.9" customHeight="1" thickBot="1">
      <c r="B94" s="82"/>
      <c r="C94" s="152" t="s">
        <v>253</v>
      </c>
      <c r="D94" s="81"/>
      <c r="E94" s="337">
        <f>E50+E16</f>
        <v>193376130.84</v>
      </c>
      <c r="F94" s="344">
        <f t="shared" ref="F94:G94" si="9">F50+F16</f>
        <v>192127243.70999998</v>
      </c>
      <c r="G94" s="329">
        <f t="shared" si="9"/>
        <v>191548697.84182999</v>
      </c>
      <c r="H94" s="83"/>
      <c r="J94" s="442"/>
      <c r="K94" s="443"/>
      <c r="L94" s="443"/>
      <c r="M94" s="443"/>
      <c r="N94" s="443"/>
      <c r="O94" s="443"/>
      <c r="P94" s="443"/>
      <c r="Q94" s="443"/>
      <c r="R94" s="443"/>
      <c r="S94" s="443"/>
      <c r="T94" s="443"/>
      <c r="U94" s="443"/>
      <c r="V94" s="443"/>
      <c r="W94" s="444"/>
    </row>
    <row r="95" spans="2:23" ht="22.9" customHeight="1" thickBot="1">
      <c r="B95" s="52"/>
      <c r="C95" s="1128"/>
      <c r="D95" s="1128"/>
      <c r="E95" s="1128"/>
      <c r="F95" s="1128"/>
      <c r="G95" s="54"/>
      <c r="H95" s="55"/>
      <c r="J95" s="445"/>
      <c r="K95" s="446"/>
      <c r="L95" s="446"/>
      <c r="M95" s="446"/>
      <c r="N95" s="446"/>
      <c r="O95" s="446"/>
      <c r="P95" s="446"/>
      <c r="Q95" s="446"/>
      <c r="R95" s="446"/>
      <c r="S95" s="446"/>
      <c r="T95" s="446"/>
      <c r="U95" s="446"/>
      <c r="V95" s="446"/>
      <c r="W95" s="447"/>
    </row>
    <row r="96" spans="2:23" ht="22.9" customHeight="1">
      <c r="C96" s="44"/>
      <c r="D96" s="44"/>
      <c r="E96" s="44"/>
      <c r="F96" s="44"/>
      <c r="G96" s="44"/>
    </row>
    <row r="97" spans="3:7" ht="12.75">
      <c r="C97" s="37" t="s">
        <v>77</v>
      </c>
      <c r="D97" s="44"/>
      <c r="E97" s="44"/>
      <c r="F97" s="44"/>
      <c r="G97" s="41" t="s">
        <v>705</v>
      </c>
    </row>
    <row r="98" spans="3:7" ht="12.75">
      <c r="C98" s="38" t="s">
        <v>78</v>
      </c>
      <c r="D98" s="44"/>
      <c r="E98" s="44"/>
      <c r="F98" s="44"/>
      <c r="G98" s="44"/>
    </row>
    <row r="99" spans="3:7" ht="12.75">
      <c r="C99" s="38" t="s">
        <v>79</v>
      </c>
      <c r="D99" s="44"/>
      <c r="E99" s="44"/>
      <c r="F99" s="44"/>
      <c r="G99" s="44"/>
    </row>
    <row r="100" spans="3:7" ht="12.75">
      <c r="C100" s="38" t="s">
        <v>80</v>
      </c>
      <c r="D100" s="44"/>
      <c r="E100" s="44"/>
      <c r="F100" s="44"/>
      <c r="G100" s="44"/>
    </row>
    <row r="101" spans="3:7" ht="12.75">
      <c r="C101" s="38" t="s">
        <v>81</v>
      </c>
      <c r="D101" s="44"/>
      <c r="E101" s="44"/>
      <c r="F101" s="44"/>
      <c r="G101" s="44"/>
    </row>
    <row r="102" spans="3:7" ht="66" customHeight="1">
      <c r="C102" s="44"/>
      <c r="D102" s="44"/>
      <c r="E102" s="758"/>
      <c r="F102" s="751"/>
      <c r="G102" s="751"/>
    </row>
    <row r="103" spans="3:7" ht="22.9" customHeight="1">
      <c r="C103" s="44"/>
      <c r="D103" s="44"/>
      <c r="E103" s="44"/>
      <c r="F103" s="44"/>
      <c r="G103" s="44"/>
    </row>
    <row r="104" spans="3:7" ht="22.9" customHeight="1">
      <c r="C104" s="44"/>
      <c r="D104" s="44"/>
      <c r="E104" s="44"/>
      <c r="F104" s="44"/>
      <c r="G104" s="44"/>
    </row>
    <row r="105" spans="3:7" ht="22.9" customHeight="1">
      <c r="C105" s="44"/>
      <c r="D105" s="44"/>
      <c r="E105" s="44"/>
      <c r="F105" s="44"/>
      <c r="G105" s="44"/>
    </row>
    <row r="106" spans="3:7" ht="22.9" customHeight="1">
      <c r="F106" s="44"/>
      <c r="G106" s="44"/>
    </row>
  </sheetData>
  <sheetProtection password="E059" sheet="1" objects="1" scenarios="1"/>
  <mergeCells count="3">
    <mergeCell ref="G6:G7"/>
    <mergeCell ref="D9:G9"/>
    <mergeCell ref="C95:F95"/>
  </mergeCells>
  <phoneticPr fontId="22" type="noConversion"/>
  <printOptions horizontalCentered="1" verticalCentered="1"/>
  <pageMargins left="0.35629921259842523" right="0.35629921259842523" top="0.60629921259842523" bottom="0.60629921259842523" header="0.5" footer="0.5"/>
  <pageSetup paperSize="9" scale="33" orientation="portrait" horizontalDpi="4294967292" verticalDpi="4294967292" r:id="rId1"/>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W98"/>
  <sheetViews>
    <sheetView zoomScale="70" zoomScaleNormal="70" zoomScalePageLayoutView="70" workbookViewId="0">
      <selection activeCell="D100" sqref="D100"/>
    </sheetView>
  </sheetViews>
  <sheetFormatPr baseColWidth="10" defaultColWidth="10.77734375" defaultRowHeight="22.9" customHeight="1"/>
  <cols>
    <col min="1" max="2" width="3.21875" style="42" customWidth="1"/>
    <col min="3" max="3" width="13.5546875" style="42" customWidth="1"/>
    <col min="4" max="4" width="76.77734375" style="42" customWidth="1"/>
    <col min="5" max="6" width="18.88671875" style="42" bestFit="1" customWidth="1"/>
    <col min="7" max="7" width="27.6640625" style="42" bestFit="1" customWidth="1"/>
    <col min="8" max="8" width="3.21875" style="42" customWidth="1"/>
    <col min="9" max="16384" width="10.77734375" style="42"/>
  </cols>
  <sheetData>
    <row r="1" spans="2:23" ht="22.9" customHeight="1">
      <c r="D1" s="44"/>
    </row>
    <row r="2" spans="2:23" ht="22.9" customHeight="1">
      <c r="D2" s="66" t="s">
        <v>31</v>
      </c>
    </row>
    <row r="3" spans="2:23" ht="22.9" customHeight="1">
      <c r="D3" s="66" t="s">
        <v>32</v>
      </c>
    </row>
    <row r="4" spans="2:23" ht="22.9" customHeight="1" thickBot="1"/>
    <row r="5" spans="2:23" ht="9" customHeight="1">
      <c r="B5" s="45"/>
      <c r="C5" s="46"/>
      <c r="D5" s="46"/>
      <c r="E5" s="46"/>
      <c r="F5" s="46"/>
      <c r="G5" s="46"/>
      <c r="H5" s="47"/>
      <c r="J5" s="426"/>
      <c r="K5" s="427"/>
      <c r="L5" s="427"/>
      <c r="M5" s="427"/>
      <c r="N5" s="427"/>
      <c r="O5" s="427"/>
      <c r="P5" s="427"/>
      <c r="Q5" s="427"/>
      <c r="R5" s="427"/>
      <c r="S5" s="427"/>
      <c r="T5" s="427"/>
      <c r="U5" s="427"/>
      <c r="V5" s="427"/>
      <c r="W5" s="428"/>
    </row>
    <row r="6" spans="2:23" ht="30" customHeight="1">
      <c r="B6" s="48"/>
      <c r="C6" s="1" t="s">
        <v>0</v>
      </c>
      <c r="D6" s="44"/>
      <c r="E6" s="44"/>
      <c r="F6" s="44"/>
      <c r="G6" s="1105">
        <f>ejercicio</f>
        <v>2018</v>
      </c>
      <c r="H6" s="50"/>
      <c r="J6" s="429"/>
      <c r="K6" s="430" t="s">
        <v>707</v>
      </c>
      <c r="L6" s="431"/>
      <c r="M6" s="431"/>
      <c r="N6" s="431"/>
      <c r="O6" s="431"/>
      <c r="P6" s="431"/>
      <c r="Q6" s="431"/>
      <c r="R6" s="431"/>
      <c r="S6" s="431"/>
      <c r="T6" s="431"/>
      <c r="U6" s="431"/>
      <c r="V6" s="431"/>
      <c r="W6" s="432"/>
    </row>
    <row r="7" spans="2:23" ht="30" customHeight="1">
      <c r="B7" s="48"/>
      <c r="C7" s="1" t="s">
        <v>1</v>
      </c>
      <c r="D7" s="44"/>
      <c r="E7" s="44"/>
      <c r="F7" s="44"/>
      <c r="G7" s="1105"/>
      <c r="H7" s="50"/>
      <c r="J7" s="429"/>
      <c r="K7" s="431"/>
      <c r="L7" s="431"/>
      <c r="M7" s="431"/>
      <c r="N7" s="431"/>
      <c r="O7" s="431"/>
      <c r="P7" s="431"/>
      <c r="Q7" s="431"/>
      <c r="R7" s="431"/>
      <c r="S7" s="431"/>
      <c r="T7" s="431"/>
      <c r="U7" s="431"/>
      <c r="V7" s="431"/>
      <c r="W7" s="432"/>
    </row>
    <row r="8" spans="2:23" ht="30" customHeight="1">
      <c r="B8" s="48"/>
      <c r="C8" s="49"/>
      <c r="D8" s="44"/>
      <c r="E8" s="44"/>
      <c r="F8" s="44"/>
      <c r="G8" s="51"/>
      <c r="H8" s="50"/>
      <c r="J8" s="429"/>
      <c r="K8" s="431"/>
      <c r="L8" s="431"/>
      <c r="M8" s="431"/>
      <c r="N8" s="431"/>
      <c r="O8" s="431"/>
      <c r="P8" s="431"/>
      <c r="Q8" s="431"/>
      <c r="R8" s="431"/>
      <c r="S8" s="431"/>
      <c r="T8" s="431"/>
      <c r="U8" s="431"/>
      <c r="V8" s="431"/>
      <c r="W8" s="432"/>
    </row>
    <row r="9" spans="2:23" s="60" customFormat="1" ht="30" customHeight="1">
      <c r="B9" s="58"/>
      <c r="C9" s="39" t="s">
        <v>2</v>
      </c>
      <c r="D9" s="1129" t="str">
        <f>Entidad</f>
        <v>METROPOLITANO DE TENERIFE, S.A.</v>
      </c>
      <c r="E9" s="1129"/>
      <c r="F9" s="1129"/>
      <c r="G9" s="1129"/>
      <c r="H9" s="59"/>
      <c r="J9" s="433"/>
      <c r="K9" s="434"/>
      <c r="L9" s="434"/>
      <c r="M9" s="434"/>
      <c r="N9" s="434"/>
      <c r="O9" s="434"/>
      <c r="P9" s="434"/>
      <c r="Q9" s="434"/>
      <c r="R9" s="434"/>
      <c r="S9" s="434"/>
      <c r="T9" s="434"/>
      <c r="U9" s="434"/>
      <c r="V9" s="434"/>
      <c r="W9" s="435"/>
    </row>
    <row r="10" spans="2:23" ht="7.15" customHeight="1">
      <c r="B10" s="48"/>
      <c r="C10" s="44"/>
      <c r="D10" s="44"/>
      <c r="E10" s="44"/>
      <c r="F10" s="44"/>
      <c r="G10" s="44"/>
      <c r="H10" s="50"/>
      <c r="J10" s="429"/>
      <c r="K10" s="431"/>
      <c r="L10" s="431"/>
      <c r="M10" s="431"/>
      <c r="N10" s="431"/>
      <c r="O10" s="431"/>
      <c r="P10" s="431"/>
      <c r="Q10" s="431"/>
      <c r="R10" s="431"/>
      <c r="S10" s="431"/>
      <c r="T10" s="431"/>
      <c r="U10" s="431"/>
      <c r="V10" s="431"/>
      <c r="W10" s="432"/>
    </row>
    <row r="11" spans="2:23" s="62" customFormat="1" ht="30" customHeight="1">
      <c r="B11" s="24"/>
      <c r="C11" s="11" t="s">
        <v>255</v>
      </c>
      <c r="D11" s="11"/>
      <c r="E11" s="11"/>
      <c r="F11" s="11"/>
      <c r="G11" s="11"/>
      <c r="H11" s="61"/>
      <c r="J11" s="436"/>
      <c r="K11" s="437"/>
      <c r="L11" s="437"/>
      <c r="M11" s="437"/>
      <c r="N11" s="437"/>
      <c r="O11" s="437"/>
      <c r="P11" s="437"/>
      <c r="Q11" s="437"/>
      <c r="R11" s="437"/>
      <c r="S11" s="437"/>
      <c r="T11" s="437"/>
      <c r="U11" s="437"/>
      <c r="V11" s="437"/>
      <c r="W11" s="438"/>
    </row>
    <row r="12" spans="2:23" s="62" customFormat="1" ht="30" customHeight="1">
      <c r="B12" s="24"/>
      <c r="C12" s="68"/>
      <c r="D12" s="68"/>
      <c r="E12" s="68"/>
      <c r="F12" s="68"/>
      <c r="G12" s="68"/>
      <c r="H12" s="61"/>
      <c r="J12" s="436"/>
      <c r="K12" s="437"/>
      <c r="L12" s="437"/>
      <c r="M12" s="437"/>
      <c r="N12" s="437"/>
      <c r="O12" s="437"/>
      <c r="P12" s="437"/>
      <c r="Q12" s="437"/>
      <c r="R12" s="437"/>
      <c r="S12" s="437"/>
      <c r="T12" s="437"/>
      <c r="U12" s="437"/>
      <c r="V12" s="437"/>
      <c r="W12" s="438"/>
    </row>
    <row r="13" spans="2:23" ht="22.9" customHeight="1">
      <c r="B13" s="48"/>
      <c r="C13" s="213"/>
      <c r="D13" s="214"/>
      <c r="E13" s="215" t="s">
        <v>183</v>
      </c>
      <c r="F13" s="215" t="s">
        <v>184</v>
      </c>
      <c r="G13" s="216" t="s">
        <v>185</v>
      </c>
      <c r="H13" s="50"/>
      <c r="J13" s="429"/>
      <c r="K13" s="431"/>
      <c r="L13" s="431"/>
      <c r="M13" s="431"/>
      <c r="N13" s="431"/>
      <c r="O13" s="431"/>
      <c r="P13" s="431"/>
      <c r="Q13" s="431"/>
      <c r="R13" s="431"/>
      <c r="S13" s="431"/>
      <c r="T13" s="431"/>
      <c r="U13" s="431"/>
      <c r="V13" s="431"/>
      <c r="W13" s="432"/>
    </row>
    <row r="14" spans="2:23" ht="22.9" customHeight="1">
      <c r="B14" s="48"/>
      <c r="C14" s="217" t="s">
        <v>394</v>
      </c>
      <c r="D14" s="70"/>
      <c r="E14" s="218">
        <f>ejercicio-2</f>
        <v>2016</v>
      </c>
      <c r="F14" s="218">
        <f>ejercicio-1</f>
        <v>2017</v>
      </c>
      <c r="G14" s="219">
        <f>ejercicio</f>
        <v>2018</v>
      </c>
      <c r="H14" s="50"/>
      <c r="J14" s="429"/>
      <c r="K14" s="431"/>
      <c r="L14" s="431"/>
      <c r="M14" s="431"/>
      <c r="N14" s="431"/>
      <c r="O14" s="431"/>
      <c r="P14" s="431"/>
      <c r="Q14" s="431"/>
      <c r="R14" s="431"/>
      <c r="S14" s="431"/>
      <c r="T14" s="431"/>
      <c r="U14" s="431"/>
      <c r="V14" s="431"/>
      <c r="W14" s="432"/>
    </row>
    <row r="15" spans="2:23" ht="22.9" customHeight="1">
      <c r="B15" s="48"/>
      <c r="C15" s="139"/>
      <c r="D15" s="88"/>
      <c r="E15" s="132"/>
      <c r="F15" s="132"/>
      <c r="G15" s="140"/>
      <c r="H15" s="50"/>
      <c r="J15" s="429"/>
      <c r="K15" s="431"/>
      <c r="L15" s="431"/>
      <c r="M15" s="431"/>
      <c r="N15" s="431"/>
      <c r="O15" s="431"/>
      <c r="P15" s="431"/>
      <c r="Q15" s="431"/>
      <c r="R15" s="431"/>
      <c r="S15" s="431"/>
      <c r="T15" s="431"/>
      <c r="U15" s="431"/>
      <c r="V15" s="431"/>
      <c r="W15" s="432"/>
    </row>
    <row r="16" spans="2:23" ht="22.9" customHeight="1">
      <c r="B16" s="48"/>
      <c r="C16" s="141" t="s">
        <v>86</v>
      </c>
      <c r="D16" s="86" t="s">
        <v>256</v>
      </c>
      <c r="E16" s="133">
        <f>E17+E35+E41</f>
        <v>32878936.990000002</v>
      </c>
      <c r="F16" s="133">
        <f>F17+F35+F41</f>
        <v>39102000.349999994</v>
      </c>
      <c r="G16" s="142">
        <f>G17+G35+G41</f>
        <v>43307252.61500001</v>
      </c>
      <c r="H16" s="50"/>
      <c r="J16" s="429"/>
      <c r="K16" s="431"/>
      <c r="L16" s="431"/>
      <c r="M16" s="431"/>
      <c r="N16" s="431"/>
      <c r="O16" s="431"/>
      <c r="P16" s="431"/>
      <c r="Q16" s="431"/>
      <c r="R16" s="431"/>
      <c r="S16" s="431"/>
      <c r="T16" s="431"/>
      <c r="U16" s="431"/>
      <c r="V16" s="431"/>
      <c r="W16" s="432"/>
    </row>
    <row r="17" spans="2:23" ht="22.9" customHeight="1">
      <c r="B17" s="48"/>
      <c r="C17" s="143" t="s">
        <v>136</v>
      </c>
      <c r="D17" s="72" t="s">
        <v>257</v>
      </c>
      <c r="E17" s="134">
        <f>+E18+E21+E22+E27+E28+E31+E32+E33+E34</f>
        <v>37015734.130000003</v>
      </c>
      <c r="F17" s="134">
        <f>+F18+F21+F22+F27+F28+F31+F32+F33+F34</f>
        <v>37710454.349999994</v>
      </c>
      <c r="G17" s="144">
        <f>+G18+G21+G22+G27+G28+G31+G32+G33+G34</f>
        <v>38595969.74000001</v>
      </c>
      <c r="H17" s="50"/>
      <c r="J17" s="429"/>
      <c r="K17" s="431"/>
      <c r="L17" s="431"/>
      <c r="M17" s="431"/>
      <c r="N17" s="431"/>
      <c r="O17" s="431"/>
      <c r="P17" s="431"/>
      <c r="Q17" s="431"/>
      <c r="R17" s="431"/>
      <c r="S17" s="431"/>
      <c r="T17" s="431"/>
      <c r="U17" s="431"/>
      <c r="V17" s="431"/>
      <c r="W17" s="432"/>
    </row>
    <row r="18" spans="2:23" ht="22.9" customHeight="1">
      <c r="B18" s="48"/>
      <c r="C18" s="143" t="s">
        <v>189</v>
      </c>
      <c r="D18" s="72" t="s">
        <v>258</v>
      </c>
      <c r="E18" s="134">
        <f>SUM(E19:E20)</f>
        <v>69200000</v>
      </c>
      <c r="F18" s="134">
        <f>SUM(F19:F20)</f>
        <v>69200000</v>
      </c>
      <c r="G18" s="144">
        <f>SUM(G19:G20)</f>
        <v>69200000</v>
      </c>
      <c r="H18" s="50"/>
      <c r="J18" s="429"/>
      <c r="K18" s="431"/>
      <c r="L18" s="431"/>
      <c r="M18" s="431"/>
      <c r="N18" s="431"/>
      <c r="O18" s="431"/>
      <c r="P18" s="431"/>
      <c r="Q18" s="431"/>
      <c r="R18" s="431"/>
      <c r="S18" s="431"/>
      <c r="T18" s="431"/>
      <c r="U18" s="431"/>
      <c r="V18" s="431"/>
      <c r="W18" s="432"/>
    </row>
    <row r="19" spans="2:23" ht="22.9" customHeight="1">
      <c r="B19" s="48"/>
      <c r="C19" s="145" t="s">
        <v>88</v>
      </c>
      <c r="D19" s="73" t="s">
        <v>259</v>
      </c>
      <c r="E19" s="470">
        <v>69200000</v>
      </c>
      <c r="F19" s="470">
        <v>69200000</v>
      </c>
      <c r="G19" s="486">
        <v>69200000</v>
      </c>
      <c r="H19" s="50"/>
      <c r="J19" s="429"/>
      <c r="K19" s="431"/>
      <c r="L19" s="431"/>
      <c r="M19" s="431"/>
      <c r="N19" s="431"/>
      <c r="O19" s="431"/>
      <c r="P19" s="431"/>
      <c r="Q19" s="431"/>
      <c r="R19" s="431"/>
      <c r="S19" s="431"/>
      <c r="T19" s="431"/>
      <c r="U19" s="431"/>
      <c r="V19" s="431"/>
      <c r="W19" s="432"/>
    </row>
    <row r="20" spans="2:23" ht="22.9" customHeight="1">
      <c r="B20" s="48"/>
      <c r="C20" s="146" t="s">
        <v>95</v>
      </c>
      <c r="D20" s="74" t="s">
        <v>260</v>
      </c>
      <c r="E20" s="471"/>
      <c r="F20" s="471"/>
      <c r="G20" s="487"/>
      <c r="H20" s="50"/>
      <c r="J20" s="429"/>
      <c r="K20" s="431"/>
      <c r="L20" s="431"/>
      <c r="M20" s="431"/>
      <c r="N20" s="431"/>
      <c r="O20" s="431"/>
      <c r="P20" s="431"/>
      <c r="Q20" s="431"/>
      <c r="R20" s="431"/>
      <c r="S20" s="431"/>
      <c r="T20" s="431"/>
      <c r="U20" s="431"/>
      <c r="V20" s="431"/>
      <c r="W20" s="432"/>
    </row>
    <row r="21" spans="2:23" ht="22.9" customHeight="1">
      <c r="B21" s="48"/>
      <c r="C21" s="143" t="s">
        <v>199</v>
      </c>
      <c r="D21" s="72" t="s">
        <v>261</v>
      </c>
      <c r="E21" s="472"/>
      <c r="F21" s="472"/>
      <c r="G21" s="488"/>
      <c r="H21" s="50"/>
      <c r="J21" s="429"/>
      <c r="K21" s="431"/>
      <c r="L21" s="431"/>
      <c r="M21" s="431"/>
      <c r="N21" s="431"/>
      <c r="O21" s="431"/>
      <c r="P21" s="431"/>
      <c r="Q21" s="431"/>
      <c r="R21" s="431"/>
      <c r="S21" s="431"/>
      <c r="T21" s="431"/>
      <c r="U21" s="431"/>
      <c r="V21" s="431"/>
      <c r="W21" s="432"/>
    </row>
    <row r="22" spans="2:23" ht="22.9" customHeight="1">
      <c r="B22" s="48"/>
      <c r="C22" s="143" t="s">
        <v>204</v>
      </c>
      <c r="D22" s="72" t="s">
        <v>262</v>
      </c>
      <c r="E22" s="134">
        <f>SUM(E23:E26)</f>
        <v>6901315.3599999994</v>
      </c>
      <c r="F22" s="134">
        <f>SUM(F23:F26)</f>
        <v>6937808.4100000001</v>
      </c>
      <c r="G22" s="144">
        <f>SUM(G23:G26)</f>
        <v>6982780.4300000006</v>
      </c>
      <c r="H22" s="50"/>
      <c r="J22" s="429"/>
      <c r="K22" s="431"/>
      <c r="L22" s="431"/>
      <c r="M22" s="431"/>
      <c r="N22" s="431"/>
      <c r="O22" s="431"/>
      <c r="P22" s="431"/>
      <c r="Q22" s="431"/>
      <c r="R22" s="431"/>
      <c r="S22" s="431"/>
      <c r="T22" s="431"/>
      <c r="U22" s="431"/>
      <c r="V22" s="431"/>
      <c r="W22" s="432"/>
    </row>
    <row r="23" spans="2:23" ht="22.9" customHeight="1">
      <c r="B23" s="48"/>
      <c r="C23" s="145" t="s">
        <v>88</v>
      </c>
      <c r="D23" s="73" t="s">
        <v>263</v>
      </c>
      <c r="E23" s="470">
        <v>3006264.63</v>
      </c>
      <c r="F23" s="470">
        <v>42757.68</v>
      </c>
      <c r="G23" s="486">
        <v>87729.7</v>
      </c>
      <c r="H23" s="50"/>
      <c r="J23" s="429"/>
      <c r="K23" s="431"/>
      <c r="L23" s="431"/>
      <c r="M23" s="431"/>
      <c r="N23" s="431"/>
      <c r="O23" s="431"/>
      <c r="P23" s="431"/>
      <c r="Q23" s="431"/>
      <c r="R23" s="431"/>
      <c r="S23" s="431"/>
      <c r="T23" s="431"/>
      <c r="U23" s="431"/>
      <c r="V23" s="431"/>
      <c r="W23" s="432"/>
    </row>
    <row r="24" spans="2:23" ht="22.9" customHeight="1">
      <c r="B24" s="48"/>
      <c r="C24" s="146" t="s">
        <v>95</v>
      </c>
      <c r="D24" s="74" t="s">
        <v>264</v>
      </c>
      <c r="E24" s="471">
        <v>3895050.73</v>
      </c>
      <c r="F24" s="471">
        <v>6895050.7300000004</v>
      </c>
      <c r="G24" s="487">
        <v>6895050.7300000004</v>
      </c>
      <c r="H24" s="50"/>
      <c r="J24" s="429"/>
      <c r="K24" s="431"/>
      <c r="L24" s="431"/>
      <c r="M24" s="431"/>
      <c r="N24" s="431"/>
      <c r="O24" s="431"/>
      <c r="P24" s="431"/>
      <c r="Q24" s="431"/>
      <c r="R24" s="431"/>
      <c r="S24" s="431"/>
      <c r="T24" s="431"/>
      <c r="U24" s="431"/>
      <c r="V24" s="431"/>
      <c r="W24" s="432"/>
    </row>
    <row r="25" spans="2:23" ht="22.9" customHeight="1">
      <c r="B25" s="48"/>
      <c r="C25" s="146" t="s">
        <v>97</v>
      </c>
      <c r="D25" s="74" t="s">
        <v>265</v>
      </c>
      <c r="E25" s="471"/>
      <c r="F25" s="471"/>
      <c r="G25" s="487"/>
      <c r="H25" s="50"/>
      <c r="J25" s="429"/>
      <c r="K25" s="431"/>
      <c r="L25" s="431"/>
      <c r="M25" s="431"/>
      <c r="N25" s="431"/>
      <c r="O25" s="431"/>
      <c r="P25" s="431"/>
      <c r="Q25" s="431"/>
      <c r="R25" s="431"/>
      <c r="S25" s="431"/>
      <c r="T25" s="431"/>
      <c r="U25" s="431"/>
      <c r="V25" s="431"/>
      <c r="W25" s="432"/>
    </row>
    <row r="26" spans="2:23" ht="22.9" customHeight="1">
      <c r="B26" s="48"/>
      <c r="C26" s="146" t="s">
        <v>99</v>
      </c>
      <c r="D26" s="74" t="s">
        <v>320</v>
      </c>
      <c r="E26" s="471"/>
      <c r="F26" s="471"/>
      <c r="G26" s="487"/>
      <c r="H26" s="50"/>
      <c r="J26" s="429"/>
      <c r="K26" s="431"/>
      <c r="L26" s="431"/>
      <c r="M26" s="431"/>
      <c r="N26" s="431"/>
      <c r="O26" s="431"/>
      <c r="P26" s="431"/>
      <c r="Q26" s="431"/>
      <c r="R26" s="431"/>
      <c r="S26" s="431"/>
      <c r="T26" s="431"/>
      <c r="U26" s="431"/>
      <c r="V26" s="431"/>
      <c r="W26" s="432"/>
    </row>
    <row r="27" spans="2:23" ht="22.9" customHeight="1">
      <c r="B27" s="48"/>
      <c r="C27" s="143" t="s">
        <v>208</v>
      </c>
      <c r="D27" s="72" t="s">
        <v>266</v>
      </c>
      <c r="E27" s="472">
        <v>-245000</v>
      </c>
      <c r="F27" s="472"/>
      <c r="G27" s="488"/>
      <c r="H27" s="50"/>
      <c r="J27" s="429"/>
      <c r="K27" s="431"/>
      <c r="L27" s="431"/>
      <c r="M27" s="431"/>
      <c r="N27" s="431"/>
      <c r="O27" s="431"/>
      <c r="P27" s="431"/>
      <c r="Q27" s="431"/>
      <c r="R27" s="431"/>
      <c r="S27" s="431"/>
      <c r="T27" s="431"/>
      <c r="U27" s="431"/>
      <c r="V27" s="431"/>
      <c r="W27" s="432"/>
    </row>
    <row r="28" spans="2:23" ht="22.9" customHeight="1">
      <c r="B28" s="48"/>
      <c r="C28" s="143" t="s">
        <v>216</v>
      </c>
      <c r="D28" s="72" t="s">
        <v>267</v>
      </c>
      <c r="E28" s="134">
        <f>SUM(E29:E30)</f>
        <v>-39205511.719999999</v>
      </c>
      <c r="F28" s="134">
        <f>SUM(F29:F30)</f>
        <v>-38877074.280000001</v>
      </c>
      <c r="G28" s="144">
        <f>SUM(G29:G30)</f>
        <v>-38472326.079999998</v>
      </c>
      <c r="H28" s="50"/>
      <c r="J28" s="429"/>
      <c r="K28" s="431"/>
      <c r="L28" s="431"/>
      <c r="M28" s="431"/>
      <c r="N28" s="431"/>
      <c r="O28" s="431"/>
      <c r="P28" s="431"/>
      <c r="Q28" s="431"/>
      <c r="R28" s="431"/>
      <c r="S28" s="431"/>
      <c r="T28" s="431"/>
      <c r="U28" s="431"/>
      <c r="V28" s="431"/>
      <c r="W28" s="432"/>
    </row>
    <row r="29" spans="2:23" ht="22.9" customHeight="1">
      <c r="B29" s="48"/>
      <c r="C29" s="145" t="s">
        <v>88</v>
      </c>
      <c r="D29" s="73" t="s">
        <v>268</v>
      </c>
      <c r="E29" s="470"/>
      <c r="F29" s="470"/>
      <c r="G29" s="486"/>
      <c r="H29" s="50"/>
      <c r="J29" s="429"/>
      <c r="K29" s="431"/>
      <c r="L29" s="431"/>
      <c r="M29" s="431"/>
      <c r="N29" s="431"/>
      <c r="O29" s="431"/>
      <c r="P29" s="431"/>
      <c r="Q29" s="431"/>
      <c r="R29" s="431"/>
      <c r="S29" s="431"/>
      <c r="T29" s="431"/>
      <c r="U29" s="431"/>
      <c r="V29" s="431"/>
      <c r="W29" s="432"/>
    </row>
    <row r="30" spans="2:23" ht="22.9" customHeight="1">
      <c r="B30" s="48"/>
      <c r="C30" s="146" t="s">
        <v>95</v>
      </c>
      <c r="D30" s="74" t="s">
        <v>269</v>
      </c>
      <c r="E30" s="471">
        <v>-39205511.719999999</v>
      </c>
      <c r="F30" s="471">
        <v>-38877074.280000001</v>
      </c>
      <c r="G30" s="487">
        <v>-38472326.079999998</v>
      </c>
      <c r="H30" s="50"/>
      <c r="J30" s="439"/>
      <c r="K30" s="440"/>
      <c r="L30" s="440"/>
      <c r="M30" s="440"/>
      <c r="N30" s="440"/>
      <c r="O30" s="440"/>
      <c r="P30" s="440"/>
      <c r="Q30" s="440"/>
      <c r="R30" s="440"/>
      <c r="S30" s="440"/>
      <c r="T30" s="440"/>
      <c r="U30" s="440"/>
      <c r="V30" s="440"/>
      <c r="W30" s="441"/>
    </row>
    <row r="31" spans="2:23" ht="22.9" customHeight="1">
      <c r="B31" s="48"/>
      <c r="C31" s="143" t="s">
        <v>219</v>
      </c>
      <c r="D31" s="72" t="s">
        <v>270</v>
      </c>
      <c r="E31" s="472"/>
      <c r="F31" s="472"/>
      <c r="G31" s="488"/>
      <c r="H31" s="50"/>
      <c r="J31" s="439"/>
      <c r="K31" s="440"/>
      <c r="L31" s="440"/>
      <c r="M31" s="440"/>
      <c r="N31" s="440"/>
      <c r="O31" s="440"/>
      <c r="P31" s="440"/>
      <c r="Q31" s="440"/>
      <c r="R31" s="440"/>
      <c r="S31" s="440"/>
      <c r="T31" s="440"/>
      <c r="U31" s="440"/>
      <c r="V31" s="440"/>
      <c r="W31" s="441"/>
    </row>
    <row r="32" spans="2:23" ht="22.9" customHeight="1">
      <c r="B32" s="48"/>
      <c r="C32" s="143" t="s">
        <v>221</v>
      </c>
      <c r="D32" s="72" t="s">
        <v>271</v>
      </c>
      <c r="E32" s="472">
        <v>364930.49</v>
      </c>
      <c r="F32" s="472">
        <v>449720.22</v>
      </c>
      <c r="G32" s="488">
        <v>885515.39</v>
      </c>
      <c r="H32" s="50"/>
      <c r="J32" s="429"/>
      <c r="K32" s="431"/>
      <c r="L32" s="431"/>
      <c r="M32" s="431"/>
      <c r="N32" s="431"/>
      <c r="O32" s="431"/>
      <c r="P32" s="431"/>
      <c r="Q32" s="431"/>
      <c r="R32" s="431"/>
      <c r="S32" s="431"/>
      <c r="T32" s="431"/>
      <c r="U32" s="431"/>
      <c r="V32" s="431"/>
      <c r="W32" s="432"/>
    </row>
    <row r="33" spans="2:23" ht="22.9" customHeight="1">
      <c r="B33" s="48"/>
      <c r="C33" s="143" t="s">
        <v>272</v>
      </c>
      <c r="D33" s="72" t="s">
        <v>273</v>
      </c>
      <c r="E33" s="472"/>
      <c r="F33" s="472"/>
      <c r="G33" s="488"/>
      <c r="H33" s="50"/>
      <c r="J33" s="429"/>
      <c r="K33" s="431"/>
      <c r="L33" s="431"/>
      <c r="M33" s="431"/>
      <c r="N33" s="431"/>
      <c r="O33" s="431"/>
      <c r="P33" s="431"/>
      <c r="Q33" s="431"/>
      <c r="R33" s="431"/>
      <c r="S33" s="431"/>
      <c r="T33" s="431"/>
      <c r="U33" s="431"/>
      <c r="V33" s="431"/>
      <c r="W33" s="432"/>
    </row>
    <row r="34" spans="2:23" ht="22.9" customHeight="1">
      <c r="B34" s="48"/>
      <c r="C34" s="143" t="s">
        <v>274</v>
      </c>
      <c r="D34" s="72" t="s">
        <v>275</v>
      </c>
      <c r="E34" s="472"/>
      <c r="F34" s="472"/>
      <c r="G34" s="488"/>
      <c r="H34" s="50"/>
      <c r="J34" s="429"/>
      <c r="K34" s="431"/>
      <c r="L34" s="431"/>
      <c r="M34" s="431"/>
      <c r="N34" s="431"/>
      <c r="O34" s="431"/>
      <c r="P34" s="431"/>
      <c r="Q34" s="431"/>
      <c r="R34" s="431"/>
      <c r="S34" s="431"/>
      <c r="T34" s="431"/>
      <c r="U34" s="431"/>
      <c r="V34" s="431"/>
      <c r="W34" s="432"/>
    </row>
    <row r="35" spans="2:23" ht="22.9" customHeight="1">
      <c r="B35" s="48"/>
      <c r="C35" s="143" t="s">
        <v>170</v>
      </c>
      <c r="D35" s="72" t="s">
        <v>276</v>
      </c>
      <c r="E35" s="134">
        <f>SUM(E36:E40)</f>
        <v>-28390194.940000001</v>
      </c>
      <c r="F35" s="134">
        <f>SUM(F36:F40)</f>
        <v>-24800454.23</v>
      </c>
      <c r="G35" s="144">
        <f>SUM(G36:G40)</f>
        <v>-21274319.829999998</v>
      </c>
      <c r="H35" s="50"/>
      <c r="J35" s="429"/>
      <c r="K35" s="431"/>
      <c r="L35" s="431"/>
      <c r="M35" s="431"/>
      <c r="N35" s="431"/>
      <c r="O35" s="431"/>
      <c r="P35" s="431"/>
      <c r="Q35" s="431"/>
      <c r="R35" s="431"/>
      <c r="S35" s="431"/>
      <c r="T35" s="431"/>
      <c r="U35" s="431"/>
      <c r="V35" s="431"/>
      <c r="W35" s="432"/>
    </row>
    <row r="36" spans="2:23" ht="22.9" customHeight="1">
      <c r="B36" s="48"/>
      <c r="C36" s="143" t="s">
        <v>189</v>
      </c>
      <c r="D36" s="72" t="s">
        <v>277</v>
      </c>
      <c r="E36" s="472"/>
      <c r="F36" s="472"/>
      <c r="G36" s="488"/>
      <c r="H36" s="50"/>
      <c r="J36" s="442"/>
      <c r="K36" s="443"/>
      <c r="L36" s="443"/>
      <c r="M36" s="443"/>
      <c r="N36" s="443"/>
      <c r="O36" s="443"/>
      <c r="P36" s="443"/>
      <c r="Q36" s="443"/>
      <c r="R36" s="443"/>
      <c r="S36" s="443"/>
      <c r="T36" s="443"/>
      <c r="U36" s="443"/>
      <c r="V36" s="443"/>
      <c r="W36" s="444"/>
    </row>
    <row r="37" spans="2:23" ht="22.9" customHeight="1">
      <c r="B37" s="48"/>
      <c r="C37" s="143" t="s">
        <v>199</v>
      </c>
      <c r="D37" s="72" t="s">
        <v>278</v>
      </c>
      <c r="E37" s="472">
        <v>-28390194.940000001</v>
      </c>
      <c r="F37" s="472">
        <v>-24800454.23</v>
      </c>
      <c r="G37" s="488">
        <v>-21274319.829999998</v>
      </c>
      <c r="H37" s="50"/>
      <c r="J37" s="442"/>
      <c r="K37" s="443"/>
      <c r="L37" s="443"/>
      <c r="M37" s="443"/>
      <c r="N37" s="443"/>
      <c r="O37" s="443"/>
      <c r="P37" s="443"/>
      <c r="Q37" s="443"/>
      <c r="R37" s="443"/>
      <c r="S37" s="443"/>
      <c r="T37" s="443"/>
      <c r="U37" s="443"/>
      <c r="V37" s="443"/>
      <c r="W37" s="444"/>
    </row>
    <row r="38" spans="2:23" ht="22.9" customHeight="1">
      <c r="B38" s="48"/>
      <c r="C38" s="143" t="s">
        <v>204</v>
      </c>
      <c r="D38" s="72" t="s">
        <v>279</v>
      </c>
      <c r="E38" s="472"/>
      <c r="F38" s="472"/>
      <c r="G38" s="488"/>
      <c r="H38" s="50"/>
      <c r="J38" s="442"/>
      <c r="K38" s="443"/>
      <c r="L38" s="443"/>
      <c r="M38" s="443"/>
      <c r="N38" s="443"/>
      <c r="O38" s="443"/>
      <c r="P38" s="443"/>
      <c r="Q38" s="443"/>
      <c r="R38" s="443"/>
      <c r="S38" s="443"/>
      <c r="T38" s="443"/>
      <c r="U38" s="443"/>
      <c r="V38" s="443"/>
      <c r="W38" s="444"/>
    </row>
    <row r="39" spans="2:23" ht="22.9" customHeight="1">
      <c r="B39" s="48"/>
      <c r="C39" s="143" t="s">
        <v>208</v>
      </c>
      <c r="D39" s="72" t="s">
        <v>280</v>
      </c>
      <c r="E39" s="472"/>
      <c r="F39" s="472"/>
      <c r="G39" s="488"/>
      <c r="H39" s="50"/>
      <c r="J39" s="442"/>
      <c r="K39" s="443"/>
      <c r="L39" s="443"/>
      <c r="M39" s="443"/>
      <c r="N39" s="443"/>
      <c r="O39" s="443"/>
      <c r="P39" s="443"/>
      <c r="Q39" s="443"/>
      <c r="R39" s="443"/>
      <c r="S39" s="443"/>
      <c r="T39" s="443"/>
      <c r="U39" s="443"/>
      <c r="V39" s="443"/>
      <c r="W39" s="444"/>
    </row>
    <row r="40" spans="2:23" ht="22.9" customHeight="1">
      <c r="B40" s="48"/>
      <c r="C40" s="143" t="s">
        <v>216</v>
      </c>
      <c r="D40" s="72" t="s">
        <v>281</v>
      </c>
      <c r="E40" s="472"/>
      <c r="F40" s="472"/>
      <c r="G40" s="488"/>
      <c r="H40" s="50"/>
      <c r="J40" s="442"/>
      <c r="K40" s="443"/>
      <c r="L40" s="443"/>
      <c r="M40" s="443"/>
      <c r="N40" s="443"/>
      <c r="O40" s="443"/>
      <c r="P40" s="443"/>
      <c r="Q40" s="443"/>
      <c r="R40" s="443"/>
      <c r="S40" s="443"/>
      <c r="T40" s="443"/>
      <c r="U40" s="443"/>
      <c r="V40" s="443"/>
      <c r="W40" s="444"/>
    </row>
    <row r="41" spans="2:23" ht="22.9" customHeight="1">
      <c r="B41" s="48"/>
      <c r="C41" s="143" t="s">
        <v>172</v>
      </c>
      <c r="D41" s="72" t="s">
        <v>282</v>
      </c>
      <c r="E41" s="472">
        <v>24253397.800000001</v>
      </c>
      <c r="F41" s="472">
        <v>26192000.23</v>
      </c>
      <c r="G41" s="488">
        <v>25985602.704999998</v>
      </c>
      <c r="H41" s="50"/>
      <c r="J41" s="442"/>
      <c r="K41" s="443"/>
      <c r="L41" s="443"/>
      <c r="M41" s="443"/>
      <c r="N41" s="443"/>
      <c r="O41" s="443"/>
      <c r="P41" s="443"/>
      <c r="Q41" s="443"/>
      <c r="R41" s="443"/>
      <c r="S41" s="443"/>
      <c r="T41" s="443"/>
      <c r="U41" s="443"/>
      <c r="V41" s="443"/>
      <c r="W41" s="444"/>
    </row>
    <row r="42" spans="2:23" ht="22.9" customHeight="1">
      <c r="B42" s="48"/>
      <c r="C42" s="148"/>
      <c r="D42" s="64"/>
      <c r="E42" s="137"/>
      <c r="F42" s="137"/>
      <c r="G42" s="149"/>
      <c r="H42" s="50"/>
      <c r="J42" s="442"/>
      <c r="K42" s="443"/>
      <c r="L42" s="443"/>
      <c r="M42" s="443"/>
      <c r="N42" s="443"/>
      <c r="O42" s="443"/>
      <c r="P42" s="443"/>
      <c r="Q42" s="443"/>
      <c r="R42" s="443"/>
      <c r="S42" s="443"/>
      <c r="T42" s="443"/>
      <c r="U42" s="443"/>
      <c r="V42" s="443"/>
      <c r="W42" s="444"/>
    </row>
    <row r="43" spans="2:23" ht="22.9" customHeight="1">
      <c r="B43" s="48"/>
      <c r="C43" s="141" t="s">
        <v>283</v>
      </c>
      <c r="D43" s="86" t="s">
        <v>284</v>
      </c>
      <c r="E43" s="133">
        <f>E44+E49+SUM(E55:E59)</f>
        <v>155177835.45999998</v>
      </c>
      <c r="F43" s="133">
        <f>F44+F49+SUM(F55:F59)</f>
        <v>147947638.25</v>
      </c>
      <c r="G43" s="142">
        <f>G44+G49+SUM(G55:G59)</f>
        <v>142547208.905</v>
      </c>
      <c r="H43" s="50"/>
      <c r="J43" s="442"/>
      <c r="K43" s="443"/>
      <c r="L43" s="443"/>
      <c r="M43" s="443"/>
      <c r="N43" s="443"/>
      <c r="O43" s="443"/>
      <c r="P43" s="443"/>
      <c r="Q43" s="443"/>
      <c r="R43" s="443"/>
      <c r="S43" s="443"/>
      <c r="T43" s="443"/>
      <c r="U43" s="443"/>
      <c r="V43" s="443"/>
      <c r="W43" s="444"/>
    </row>
    <row r="44" spans="2:23" ht="22.9" customHeight="1">
      <c r="B44" s="48"/>
      <c r="C44" s="143" t="s">
        <v>189</v>
      </c>
      <c r="D44" s="72" t="s">
        <v>285</v>
      </c>
      <c r="E44" s="134">
        <f>SUM(E45:E48)</f>
        <v>0</v>
      </c>
      <c r="F44" s="134">
        <f>SUM(F45:F48)</f>
        <v>0</v>
      </c>
      <c r="G44" s="144">
        <f>SUM(G45:G48)</f>
        <v>0</v>
      </c>
      <c r="H44" s="50"/>
      <c r="J44" s="442"/>
      <c r="K44" s="443"/>
      <c r="L44" s="443"/>
      <c r="M44" s="443"/>
      <c r="N44" s="443"/>
      <c r="O44" s="443"/>
      <c r="P44" s="443"/>
      <c r="Q44" s="443"/>
      <c r="R44" s="443"/>
      <c r="S44" s="443"/>
      <c r="T44" s="443"/>
      <c r="U44" s="443"/>
      <c r="V44" s="443"/>
      <c r="W44" s="444"/>
    </row>
    <row r="45" spans="2:23" ht="22.9" customHeight="1">
      <c r="B45" s="48"/>
      <c r="C45" s="145" t="s">
        <v>88</v>
      </c>
      <c r="D45" s="73" t="s">
        <v>286</v>
      </c>
      <c r="E45" s="470"/>
      <c r="F45" s="470"/>
      <c r="G45" s="486"/>
      <c r="H45" s="50"/>
      <c r="J45" s="442"/>
      <c r="K45" s="443"/>
      <c r="L45" s="443"/>
      <c r="M45" s="443"/>
      <c r="N45" s="443"/>
      <c r="O45" s="443"/>
      <c r="P45" s="443"/>
      <c r="Q45" s="443"/>
      <c r="R45" s="443"/>
      <c r="S45" s="443"/>
      <c r="T45" s="443"/>
      <c r="U45" s="443"/>
      <c r="V45" s="443"/>
      <c r="W45" s="444"/>
    </row>
    <row r="46" spans="2:23" ht="22.9" customHeight="1">
      <c r="B46" s="48"/>
      <c r="C46" s="146" t="s">
        <v>95</v>
      </c>
      <c r="D46" s="74" t="s">
        <v>287</v>
      </c>
      <c r="E46" s="471"/>
      <c r="F46" s="471"/>
      <c r="G46" s="487"/>
      <c r="H46" s="50"/>
      <c r="J46" s="442"/>
      <c r="K46" s="443"/>
      <c r="L46" s="443"/>
      <c r="M46" s="443"/>
      <c r="N46" s="443"/>
      <c r="O46" s="443"/>
      <c r="P46" s="443"/>
      <c r="Q46" s="443"/>
      <c r="R46" s="443"/>
      <c r="S46" s="443"/>
      <c r="T46" s="443"/>
      <c r="U46" s="443"/>
      <c r="V46" s="443"/>
      <c r="W46" s="444"/>
    </row>
    <row r="47" spans="2:23" ht="22.9" customHeight="1">
      <c r="B47" s="48"/>
      <c r="C47" s="146" t="s">
        <v>97</v>
      </c>
      <c r="D47" s="74" t="s">
        <v>288</v>
      </c>
      <c r="E47" s="471"/>
      <c r="F47" s="471"/>
      <c r="G47" s="487"/>
      <c r="H47" s="50"/>
      <c r="J47" s="442"/>
      <c r="K47" s="443"/>
      <c r="L47" s="443"/>
      <c r="M47" s="443"/>
      <c r="N47" s="443"/>
      <c r="O47" s="443"/>
      <c r="P47" s="443"/>
      <c r="Q47" s="443"/>
      <c r="R47" s="443"/>
      <c r="S47" s="443"/>
      <c r="T47" s="443"/>
      <c r="U47" s="443"/>
      <c r="V47" s="443"/>
      <c r="W47" s="444"/>
    </row>
    <row r="48" spans="2:23" ht="22.9" customHeight="1">
      <c r="B48" s="48"/>
      <c r="C48" s="146" t="s">
        <v>99</v>
      </c>
      <c r="D48" s="74" t="s">
        <v>289</v>
      </c>
      <c r="E48" s="471"/>
      <c r="F48" s="471"/>
      <c r="G48" s="487"/>
      <c r="H48" s="50"/>
      <c r="J48" s="442"/>
      <c r="K48" s="443"/>
      <c r="L48" s="443"/>
      <c r="M48" s="443"/>
      <c r="N48" s="443"/>
      <c r="O48" s="443"/>
      <c r="P48" s="443"/>
      <c r="Q48" s="443"/>
      <c r="R48" s="443"/>
      <c r="S48" s="443"/>
      <c r="T48" s="443"/>
      <c r="U48" s="443"/>
      <c r="V48" s="443"/>
      <c r="W48" s="444"/>
    </row>
    <row r="49" spans="2:23" ht="22.9" customHeight="1">
      <c r="B49" s="48"/>
      <c r="C49" s="143" t="s">
        <v>199</v>
      </c>
      <c r="D49" s="72" t="s">
        <v>290</v>
      </c>
      <c r="E49" s="134">
        <f>SUM(E50:E54)</f>
        <v>146230560.19999999</v>
      </c>
      <c r="F49" s="134">
        <f>SUM(F50:F54)</f>
        <v>138400304.84999999</v>
      </c>
      <c r="G49" s="144">
        <f>SUM(G50:G54)</f>
        <v>133114817.41</v>
      </c>
      <c r="H49" s="50"/>
      <c r="J49" s="442"/>
      <c r="K49" s="443"/>
      <c r="L49" s="443"/>
      <c r="M49" s="443"/>
      <c r="N49" s="443"/>
      <c r="O49" s="443"/>
      <c r="P49" s="443"/>
      <c r="Q49" s="443"/>
      <c r="R49" s="443"/>
      <c r="S49" s="443"/>
      <c r="T49" s="443"/>
      <c r="U49" s="443"/>
      <c r="V49" s="443"/>
      <c r="W49" s="444"/>
    </row>
    <row r="50" spans="2:23" ht="22.9" customHeight="1">
      <c r="B50" s="48"/>
      <c r="C50" s="145" t="s">
        <v>88</v>
      </c>
      <c r="D50" s="73" t="s">
        <v>291</v>
      </c>
      <c r="E50" s="470"/>
      <c r="F50" s="470"/>
      <c r="G50" s="486"/>
      <c r="H50" s="50"/>
      <c r="J50" s="442"/>
      <c r="K50" s="443"/>
      <c r="L50" s="443"/>
      <c r="M50" s="443"/>
      <c r="N50" s="443"/>
      <c r="O50" s="443"/>
      <c r="P50" s="443"/>
      <c r="Q50" s="443"/>
      <c r="R50" s="443"/>
      <c r="S50" s="443"/>
      <c r="T50" s="443"/>
      <c r="U50" s="443"/>
      <c r="V50" s="443"/>
      <c r="W50" s="444"/>
    </row>
    <row r="51" spans="2:23" s="77" customFormat="1" ht="22.9" customHeight="1">
      <c r="B51" s="24"/>
      <c r="C51" s="146" t="s">
        <v>95</v>
      </c>
      <c r="D51" s="74" t="s">
        <v>292</v>
      </c>
      <c r="E51" s="471">
        <v>106270906.09999999</v>
      </c>
      <c r="F51" s="471">
        <v>103620353.09999999</v>
      </c>
      <c r="G51" s="487">
        <v>100975908.09999999</v>
      </c>
      <c r="H51" s="61"/>
      <c r="J51" s="442"/>
      <c r="K51" s="443"/>
      <c r="L51" s="443"/>
      <c r="M51" s="443"/>
      <c r="N51" s="443"/>
      <c r="O51" s="443"/>
      <c r="P51" s="443"/>
      <c r="Q51" s="443"/>
      <c r="R51" s="443"/>
      <c r="S51" s="443"/>
      <c r="T51" s="443"/>
      <c r="U51" s="443"/>
      <c r="V51" s="443"/>
      <c r="W51" s="444"/>
    </row>
    <row r="52" spans="2:23" ht="22.9" customHeight="1">
      <c r="B52" s="48"/>
      <c r="C52" s="146" t="s">
        <v>97</v>
      </c>
      <c r="D52" s="74" t="s">
        <v>293</v>
      </c>
      <c r="E52" s="471">
        <v>2106060.87</v>
      </c>
      <c r="F52" s="471">
        <v>1712679.47</v>
      </c>
      <c r="G52" s="487">
        <v>3773149.56</v>
      </c>
      <c r="H52" s="50"/>
      <c r="J52" s="442"/>
      <c r="K52" s="443"/>
      <c r="L52" s="443"/>
      <c r="M52" s="443"/>
      <c r="N52" s="443"/>
      <c r="O52" s="443"/>
      <c r="P52" s="443"/>
      <c r="Q52" s="443"/>
      <c r="R52" s="443"/>
      <c r="S52" s="443"/>
      <c r="T52" s="443"/>
      <c r="U52" s="443"/>
      <c r="V52" s="443"/>
      <c r="W52" s="444"/>
    </row>
    <row r="53" spans="2:23" ht="22.9" customHeight="1">
      <c r="B53" s="48"/>
      <c r="C53" s="146" t="s">
        <v>99</v>
      </c>
      <c r="D53" s="74" t="s">
        <v>213</v>
      </c>
      <c r="E53" s="471">
        <v>37853593.229999997</v>
      </c>
      <c r="F53" s="471">
        <v>33067272.280000001</v>
      </c>
      <c r="G53" s="487">
        <v>28365759.75</v>
      </c>
      <c r="H53" s="50"/>
      <c r="J53" s="442"/>
      <c r="K53" s="443"/>
      <c r="L53" s="443"/>
      <c r="M53" s="443"/>
      <c r="N53" s="443"/>
      <c r="O53" s="443"/>
      <c r="P53" s="443"/>
      <c r="Q53" s="443"/>
      <c r="R53" s="443"/>
      <c r="S53" s="443"/>
      <c r="T53" s="443"/>
      <c r="U53" s="443"/>
      <c r="V53" s="443"/>
      <c r="W53" s="444"/>
    </row>
    <row r="54" spans="2:23" ht="22.9" customHeight="1">
      <c r="B54" s="48"/>
      <c r="C54" s="146" t="s">
        <v>195</v>
      </c>
      <c r="D54" s="74" t="s">
        <v>294</v>
      </c>
      <c r="E54" s="471"/>
      <c r="F54" s="471"/>
      <c r="G54" s="487"/>
      <c r="H54" s="50"/>
      <c r="J54" s="442"/>
      <c r="K54" s="443"/>
      <c r="L54" s="443"/>
      <c r="M54" s="443"/>
      <c r="N54" s="443"/>
      <c r="O54" s="443"/>
      <c r="P54" s="443"/>
      <c r="Q54" s="443"/>
      <c r="R54" s="443"/>
      <c r="S54" s="443"/>
      <c r="T54" s="443"/>
      <c r="U54" s="443"/>
      <c r="V54" s="443"/>
      <c r="W54" s="444"/>
    </row>
    <row r="55" spans="2:23" ht="22.9" customHeight="1">
      <c r="B55" s="48"/>
      <c r="C55" s="143" t="s">
        <v>204</v>
      </c>
      <c r="D55" s="72" t="s">
        <v>295</v>
      </c>
      <c r="E55" s="472"/>
      <c r="F55" s="472"/>
      <c r="G55" s="488"/>
      <c r="H55" s="50"/>
      <c r="J55" s="442"/>
      <c r="K55" s="443"/>
      <c r="L55" s="443"/>
      <c r="M55" s="443"/>
      <c r="N55" s="443"/>
      <c r="O55" s="443"/>
      <c r="P55" s="443"/>
      <c r="Q55" s="443"/>
      <c r="R55" s="443"/>
      <c r="S55" s="443"/>
      <c r="T55" s="443"/>
      <c r="U55" s="443"/>
      <c r="V55" s="443"/>
      <c r="W55" s="444"/>
    </row>
    <row r="56" spans="2:23" ht="22.9" customHeight="1">
      <c r="B56" s="48"/>
      <c r="C56" s="143" t="s">
        <v>208</v>
      </c>
      <c r="D56" s="72" t="s">
        <v>296</v>
      </c>
      <c r="E56" s="472">
        <v>8084466.0800000001</v>
      </c>
      <c r="F56" s="472">
        <v>8730666.9499999993</v>
      </c>
      <c r="G56" s="488">
        <v>8661867.7749999985</v>
      </c>
      <c r="H56" s="50"/>
      <c r="J56" s="442"/>
      <c r="K56" s="443"/>
      <c r="L56" s="443"/>
      <c r="M56" s="443"/>
      <c r="N56" s="443"/>
      <c r="O56" s="443"/>
      <c r="P56" s="443"/>
      <c r="Q56" s="443"/>
      <c r="R56" s="443"/>
      <c r="S56" s="443"/>
      <c r="T56" s="443"/>
      <c r="U56" s="443"/>
      <c r="V56" s="443"/>
      <c r="W56" s="444"/>
    </row>
    <row r="57" spans="2:23" ht="22.9" customHeight="1">
      <c r="B57" s="48"/>
      <c r="C57" s="143" t="s">
        <v>216</v>
      </c>
      <c r="D57" s="72" t="s">
        <v>297</v>
      </c>
      <c r="E57" s="472">
        <v>862809.18</v>
      </c>
      <c r="F57" s="472">
        <v>816666.45</v>
      </c>
      <c r="G57" s="488">
        <v>770523.72</v>
      </c>
      <c r="H57" s="50"/>
      <c r="J57" s="442"/>
      <c r="K57" s="443"/>
      <c r="L57" s="443"/>
      <c r="M57" s="443"/>
      <c r="N57" s="443"/>
      <c r="O57" s="443"/>
      <c r="P57" s="443"/>
      <c r="Q57" s="443"/>
      <c r="R57" s="443"/>
      <c r="S57" s="443"/>
      <c r="T57" s="443"/>
      <c r="U57" s="443"/>
      <c r="V57" s="443"/>
      <c r="W57" s="444"/>
    </row>
    <row r="58" spans="2:23" ht="22.9" customHeight="1">
      <c r="B58" s="48"/>
      <c r="C58" s="143" t="s">
        <v>219</v>
      </c>
      <c r="D58" s="72" t="s">
        <v>298</v>
      </c>
      <c r="E58" s="472"/>
      <c r="F58" s="472"/>
      <c r="G58" s="488"/>
      <c r="H58" s="50"/>
      <c r="J58" s="442"/>
      <c r="K58" s="443"/>
      <c r="L58" s="443"/>
      <c r="M58" s="443"/>
      <c r="N58" s="443"/>
      <c r="O58" s="443"/>
      <c r="P58" s="443"/>
      <c r="Q58" s="443"/>
      <c r="R58" s="443"/>
      <c r="S58" s="443"/>
      <c r="T58" s="443"/>
      <c r="U58" s="443"/>
      <c r="V58" s="443"/>
      <c r="W58" s="444"/>
    </row>
    <row r="59" spans="2:23" ht="22.9" customHeight="1">
      <c r="B59" s="48"/>
      <c r="C59" s="143" t="s">
        <v>221</v>
      </c>
      <c r="D59" s="72" t="s">
        <v>299</v>
      </c>
      <c r="E59" s="472"/>
      <c r="F59" s="472"/>
      <c r="G59" s="488"/>
      <c r="H59" s="50"/>
      <c r="J59" s="442"/>
      <c r="K59" s="443"/>
      <c r="L59" s="443"/>
      <c r="M59" s="443"/>
      <c r="N59" s="443"/>
      <c r="O59" s="443"/>
      <c r="P59" s="443"/>
      <c r="Q59" s="443"/>
      <c r="R59" s="443"/>
      <c r="S59" s="443"/>
      <c r="T59" s="443"/>
      <c r="U59" s="443"/>
      <c r="V59" s="443"/>
      <c r="W59" s="444"/>
    </row>
    <row r="60" spans="2:23" ht="22.9" customHeight="1">
      <c r="B60" s="48"/>
      <c r="C60" s="150"/>
      <c r="D60" s="1"/>
      <c r="E60" s="137"/>
      <c r="F60" s="137"/>
      <c r="G60" s="149"/>
      <c r="H60" s="50"/>
      <c r="J60" s="442"/>
      <c r="K60" s="443"/>
      <c r="L60" s="443"/>
      <c r="M60" s="443"/>
      <c r="N60" s="443"/>
      <c r="O60" s="443"/>
      <c r="P60" s="443"/>
      <c r="Q60" s="443"/>
      <c r="R60" s="443"/>
      <c r="S60" s="443"/>
      <c r="T60" s="443"/>
      <c r="U60" s="443"/>
      <c r="V60" s="443"/>
      <c r="W60" s="444"/>
    </row>
    <row r="61" spans="2:23" ht="22.9" customHeight="1">
      <c r="B61" s="48"/>
      <c r="C61" s="141" t="s">
        <v>300</v>
      </c>
      <c r="D61" s="86" t="s">
        <v>301</v>
      </c>
      <c r="E61" s="133">
        <f>E62+E63+E66+E72+E73+E83+E84</f>
        <v>5319358.3900000006</v>
      </c>
      <c r="F61" s="133">
        <f>F62+F63+F66+F72+F73+F83+F84</f>
        <v>5077605.1128108883</v>
      </c>
      <c r="G61" s="142">
        <f>G62+G63+G66+G72+G73+G83+G84</f>
        <v>5694236.3199999994</v>
      </c>
      <c r="H61" s="50"/>
      <c r="J61" s="442"/>
      <c r="K61" s="443"/>
      <c r="L61" s="443"/>
      <c r="M61" s="443"/>
      <c r="N61" s="443"/>
      <c r="O61" s="443"/>
      <c r="P61" s="443"/>
      <c r="Q61" s="443"/>
      <c r="R61" s="443"/>
      <c r="S61" s="443"/>
      <c r="T61" s="443"/>
      <c r="U61" s="443"/>
      <c r="V61" s="443"/>
      <c r="W61" s="444"/>
    </row>
    <row r="62" spans="2:23" ht="22.9" customHeight="1">
      <c r="B62" s="48"/>
      <c r="C62" s="143" t="s">
        <v>189</v>
      </c>
      <c r="D62" s="72" t="s">
        <v>302</v>
      </c>
      <c r="E62" s="472"/>
      <c r="F62" s="472"/>
      <c r="G62" s="488"/>
      <c r="H62" s="50"/>
      <c r="J62" s="442"/>
      <c r="K62" s="443"/>
      <c r="L62" s="443"/>
      <c r="M62" s="443"/>
      <c r="N62" s="443"/>
      <c r="O62" s="443"/>
      <c r="P62" s="443"/>
      <c r="Q62" s="443"/>
      <c r="R62" s="443"/>
      <c r="S62" s="443"/>
      <c r="T62" s="443"/>
      <c r="U62" s="443"/>
      <c r="V62" s="443"/>
      <c r="W62" s="444"/>
    </row>
    <row r="63" spans="2:23" ht="22.9" customHeight="1">
      <c r="B63" s="48"/>
      <c r="C63" s="143" t="s">
        <v>199</v>
      </c>
      <c r="D63" s="72" t="s">
        <v>303</v>
      </c>
      <c r="E63" s="134">
        <f>SUM(E64:E65)</f>
        <v>0</v>
      </c>
      <c r="F63" s="134">
        <f>SUM(F64:F65)</f>
        <v>0</v>
      </c>
      <c r="G63" s="144">
        <f>SUM(G64:G65)</f>
        <v>0</v>
      </c>
      <c r="H63" s="50"/>
      <c r="J63" s="442"/>
      <c r="K63" s="443"/>
      <c r="L63" s="443"/>
      <c r="M63" s="443"/>
      <c r="N63" s="443"/>
      <c r="O63" s="443"/>
      <c r="P63" s="443"/>
      <c r="Q63" s="443"/>
      <c r="R63" s="443"/>
      <c r="S63" s="443"/>
      <c r="T63" s="443"/>
      <c r="U63" s="443"/>
      <c r="V63" s="443"/>
      <c r="W63" s="444"/>
    </row>
    <row r="64" spans="2:23" ht="22.9" customHeight="1">
      <c r="B64" s="48"/>
      <c r="C64" s="145" t="s">
        <v>88</v>
      </c>
      <c r="D64" s="73" t="s">
        <v>304</v>
      </c>
      <c r="E64" s="470"/>
      <c r="F64" s="470"/>
      <c r="G64" s="486"/>
      <c r="H64" s="50"/>
      <c r="J64" s="442"/>
      <c r="K64" s="443"/>
      <c r="L64" s="443"/>
      <c r="M64" s="443"/>
      <c r="N64" s="443"/>
      <c r="O64" s="443"/>
      <c r="P64" s="443"/>
      <c r="Q64" s="443"/>
      <c r="R64" s="443"/>
      <c r="S64" s="443"/>
      <c r="T64" s="443"/>
      <c r="U64" s="443"/>
      <c r="V64" s="443"/>
      <c r="W64" s="444"/>
    </row>
    <row r="65" spans="2:23" ht="22.9" customHeight="1">
      <c r="B65" s="48"/>
      <c r="C65" s="146" t="s">
        <v>95</v>
      </c>
      <c r="D65" s="74" t="s">
        <v>289</v>
      </c>
      <c r="E65" s="471"/>
      <c r="F65" s="471"/>
      <c r="G65" s="487"/>
      <c r="H65" s="50"/>
      <c r="J65" s="442"/>
      <c r="K65" s="443"/>
      <c r="L65" s="443"/>
      <c r="M65" s="443"/>
      <c r="N65" s="443"/>
      <c r="O65" s="443"/>
      <c r="P65" s="443"/>
      <c r="Q65" s="443"/>
      <c r="R65" s="443"/>
      <c r="S65" s="443"/>
      <c r="T65" s="443"/>
      <c r="U65" s="443"/>
      <c r="V65" s="443"/>
      <c r="W65" s="444"/>
    </row>
    <row r="66" spans="2:23" ht="22.9" customHeight="1">
      <c r="B66" s="48"/>
      <c r="C66" s="143" t="s">
        <v>204</v>
      </c>
      <c r="D66" s="72" t="s">
        <v>305</v>
      </c>
      <c r="E66" s="134">
        <f>SUM(E67:E71)</f>
        <v>3021558.29</v>
      </c>
      <c r="F66" s="134">
        <f>SUM(F67:F71)</f>
        <v>3624187.3428108878</v>
      </c>
      <c r="G66" s="144">
        <f>SUM(G67:G71)</f>
        <v>4187878.5699999989</v>
      </c>
      <c r="H66" s="50"/>
      <c r="J66" s="442"/>
      <c r="K66" s="443"/>
      <c r="L66" s="443"/>
      <c r="M66" s="443"/>
      <c r="N66" s="443"/>
      <c r="O66" s="443"/>
      <c r="P66" s="443"/>
      <c r="Q66" s="443"/>
      <c r="R66" s="443"/>
      <c r="S66" s="443"/>
      <c r="T66" s="443"/>
      <c r="U66" s="443"/>
      <c r="V66" s="443"/>
      <c r="W66" s="444"/>
    </row>
    <row r="67" spans="2:23" ht="22.9" customHeight="1">
      <c r="B67" s="48"/>
      <c r="C67" s="145" t="s">
        <v>88</v>
      </c>
      <c r="D67" s="73" t="s">
        <v>306</v>
      </c>
      <c r="E67" s="470"/>
      <c r="F67" s="470"/>
      <c r="G67" s="486"/>
      <c r="H67" s="50"/>
      <c r="J67" s="442"/>
      <c r="K67" s="443"/>
      <c r="L67" s="443"/>
      <c r="M67" s="443"/>
      <c r="N67" s="443"/>
      <c r="O67" s="443"/>
      <c r="P67" s="443"/>
      <c r="Q67" s="443"/>
      <c r="R67" s="443"/>
      <c r="S67" s="443"/>
      <c r="T67" s="443"/>
      <c r="U67" s="443"/>
      <c r="V67" s="443"/>
      <c r="W67" s="444"/>
    </row>
    <row r="68" spans="2:23" ht="22.9" customHeight="1">
      <c r="B68" s="48"/>
      <c r="C68" s="146" t="s">
        <v>95</v>
      </c>
      <c r="D68" s="74" t="s">
        <v>292</v>
      </c>
      <c r="E68" s="471">
        <v>2169161.92</v>
      </c>
      <c r="F68" s="471">
        <v>2657743.5828108881</v>
      </c>
      <c r="G68" s="487">
        <v>2662597.9999999991</v>
      </c>
      <c r="H68" s="50"/>
      <c r="J68" s="442"/>
      <c r="K68" s="443"/>
      <c r="L68" s="443"/>
      <c r="M68" s="443"/>
      <c r="N68" s="443"/>
      <c r="O68" s="443"/>
      <c r="P68" s="443"/>
      <c r="Q68" s="443"/>
      <c r="R68" s="443"/>
      <c r="S68" s="443"/>
      <c r="T68" s="443"/>
      <c r="U68" s="443"/>
      <c r="V68" s="443"/>
      <c r="W68" s="444"/>
    </row>
    <row r="69" spans="2:23" ht="22.9" customHeight="1">
      <c r="B69" s="48"/>
      <c r="C69" s="146" t="s">
        <v>97</v>
      </c>
      <c r="D69" s="74" t="s">
        <v>293</v>
      </c>
      <c r="E69" s="471">
        <v>385912.67</v>
      </c>
      <c r="F69" s="471">
        <v>393381.39999999991</v>
      </c>
      <c r="G69" s="487">
        <v>884905.41999999993</v>
      </c>
      <c r="H69" s="50"/>
      <c r="J69" s="442"/>
      <c r="K69" s="443"/>
      <c r="L69" s="443"/>
      <c r="M69" s="443"/>
      <c r="N69" s="443"/>
      <c r="O69" s="443"/>
      <c r="P69" s="443"/>
      <c r="Q69" s="443"/>
      <c r="R69" s="443"/>
      <c r="S69" s="443"/>
      <c r="T69" s="443"/>
      <c r="U69" s="443"/>
      <c r="V69" s="443"/>
      <c r="W69" s="444"/>
    </row>
    <row r="70" spans="2:23" ht="22.9" customHeight="1">
      <c r="B70" s="48"/>
      <c r="C70" s="146" t="s">
        <v>99</v>
      </c>
      <c r="D70" s="74" t="s">
        <v>213</v>
      </c>
      <c r="E70" s="471"/>
      <c r="F70" s="471"/>
      <c r="G70" s="487"/>
      <c r="H70" s="50"/>
      <c r="J70" s="442"/>
      <c r="K70" s="443"/>
      <c r="L70" s="443"/>
      <c r="M70" s="443"/>
      <c r="N70" s="443"/>
      <c r="O70" s="443"/>
      <c r="P70" s="443"/>
      <c r="Q70" s="443"/>
      <c r="R70" s="443"/>
      <c r="S70" s="443"/>
      <c r="T70" s="443"/>
      <c r="U70" s="443"/>
      <c r="V70" s="443"/>
      <c r="W70" s="444"/>
    </row>
    <row r="71" spans="2:23" ht="22.9" customHeight="1">
      <c r="B71" s="48"/>
      <c r="C71" s="146" t="s">
        <v>195</v>
      </c>
      <c r="D71" s="74" t="s">
        <v>294</v>
      </c>
      <c r="E71" s="471">
        <v>466483.7</v>
      </c>
      <c r="F71" s="471">
        <v>573062.36</v>
      </c>
      <c r="G71" s="487">
        <v>640375.15</v>
      </c>
      <c r="H71" s="50"/>
      <c r="J71" s="442"/>
      <c r="K71" s="443"/>
      <c r="L71" s="443"/>
      <c r="M71" s="443"/>
      <c r="N71" s="443"/>
      <c r="O71" s="443"/>
      <c r="P71" s="443"/>
      <c r="Q71" s="443"/>
      <c r="R71" s="443"/>
      <c r="S71" s="443"/>
      <c r="T71" s="443"/>
      <c r="U71" s="443"/>
      <c r="V71" s="443"/>
      <c r="W71" s="444"/>
    </row>
    <row r="72" spans="2:23" ht="22.9" customHeight="1">
      <c r="B72" s="48"/>
      <c r="C72" s="143" t="s">
        <v>208</v>
      </c>
      <c r="D72" s="72" t="s">
        <v>307</v>
      </c>
      <c r="E72" s="472"/>
      <c r="F72" s="472"/>
      <c r="G72" s="488"/>
      <c r="H72" s="50"/>
      <c r="J72" s="442"/>
      <c r="K72" s="443"/>
      <c r="L72" s="443"/>
      <c r="M72" s="443"/>
      <c r="N72" s="443"/>
      <c r="O72" s="443"/>
      <c r="P72" s="443"/>
      <c r="Q72" s="443"/>
      <c r="R72" s="443"/>
      <c r="S72" s="443"/>
      <c r="T72" s="443"/>
      <c r="U72" s="443"/>
      <c r="V72" s="443"/>
      <c r="W72" s="444"/>
    </row>
    <row r="73" spans="2:23" ht="22.9" customHeight="1">
      <c r="B73" s="48"/>
      <c r="C73" s="143" t="s">
        <v>216</v>
      </c>
      <c r="D73" s="72" t="s">
        <v>308</v>
      </c>
      <c r="E73" s="134">
        <f>E74+SUM(E77:E82)</f>
        <v>2251657.37</v>
      </c>
      <c r="F73" s="134">
        <f>F74+SUM(F77:F82)</f>
        <v>1407275.04</v>
      </c>
      <c r="G73" s="144">
        <f>G74+SUM(G77:G82)</f>
        <v>1460215.01</v>
      </c>
      <c r="H73" s="50"/>
      <c r="J73" s="442"/>
      <c r="K73" s="443"/>
      <c r="L73" s="443"/>
      <c r="M73" s="443"/>
      <c r="N73" s="443"/>
      <c r="O73" s="443"/>
      <c r="P73" s="443"/>
      <c r="Q73" s="443"/>
      <c r="R73" s="443"/>
      <c r="S73" s="443"/>
      <c r="T73" s="443"/>
      <c r="U73" s="443"/>
      <c r="V73" s="443"/>
      <c r="W73" s="444"/>
    </row>
    <row r="74" spans="2:23" ht="22.9" customHeight="1">
      <c r="B74" s="48"/>
      <c r="C74" s="146" t="s">
        <v>88</v>
      </c>
      <c r="D74" s="74" t="s">
        <v>309</v>
      </c>
      <c r="E74" s="136">
        <f>SUM(E75:E76)</f>
        <v>230093.45</v>
      </c>
      <c r="F74" s="136">
        <f>SUM(F75:F76)</f>
        <v>176118.79</v>
      </c>
      <c r="G74" s="147">
        <f>SUM(G75:G76)</f>
        <v>131794.48000000001</v>
      </c>
      <c r="H74" s="50"/>
      <c r="J74" s="442"/>
      <c r="K74" s="443"/>
      <c r="L74" s="443"/>
      <c r="M74" s="443"/>
      <c r="N74" s="443"/>
      <c r="O74" s="443"/>
      <c r="P74" s="443"/>
      <c r="Q74" s="443"/>
      <c r="R74" s="443"/>
      <c r="S74" s="443"/>
      <c r="T74" s="443"/>
      <c r="U74" s="443"/>
      <c r="V74" s="443"/>
      <c r="W74" s="444"/>
    </row>
    <row r="75" spans="2:23" ht="22.9" customHeight="1">
      <c r="B75" s="48"/>
      <c r="C75" s="151" t="s">
        <v>89</v>
      </c>
      <c r="D75" s="89" t="s">
        <v>310</v>
      </c>
      <c r="E75" s="489"/>
      <c r="F75" s="489"/>
      <c r="G75" s="490"/>
      <c r="H75" s="50"/>
      <c r="J75" s="442"/>
      <c r="K75" s="443"/>
      <c r="L75" s="443"/>
      <c r="M75" s="443"/>
      <c r="N75" s="443"/>
      <c r="O75" s="443"/>
      <c r="P75" s="443"/>
      <c r="Q75" s="443"/>
      <c r="R75" s="443"/>
      <c r="S75" s="443"/>
      <c r="T75" s="443"/>
      <c r="U75" s="443"/>
      <c r="V75" s="443"/>
      <c r="W75" s="444"/>
    </row>
    <row r="76" spans="2:23" ht="22.9" customHeight="1">
      <c r="B76" s="48"/>
      <c r="C76" s="151" t="s">
        <v>91</v>
      </c>
      <c r="D76" s="89" t="s">
        <v>311</v>
      </c>
      <c r="E76" s="489">
        <v>230093.45</v>
      </c>
      <c r="F76" s="489">
        <v>176118.79</v>
      </c>
      <c r="G76" s="490">
        <v>131794.48000000001</v>
      </c>
      <c r="H76" s="50"/>
      <c r="J76" s="442"/>
      <c r="K76" s="443"/>
      <c r="L76" s="443"/>
      <c r="M76" s="443"/>
      <c r="N76" s="443"/>
      <c r="O76" s="443"/>
      <c r="P76" s="443"/>
      <c r="Q76" s="443"/>
      <c r="R76" s="443"/>
      <c r="S76" s="443"/>
      <c r="T76" s="443"/>
      <c r="U76" s="443"/>
      <c r="V76" s="443"/>
      <c r="W76" s="444"/>
    </row>
    <row r="77" spans="2:23" ht="22.9" customHeight="1">
      <c r="B77" s="48"/>
      <c r="C77" s="146" t="s">
        <v>95</v>
      </c>
      <c r="D77" s="74" t="s">
        <v>312</v>
      </c>
      <c r="E77" s="471"/>
      <c r="F77" s="471"/>
      <c r="G77" s="487"/>
      <c r="H77" s="50"/>
      <c r="J77" s="442"/>
      <c r="K77" s="443"/>
      <c r="L77" s="443"/>
      <c r="M77" s="443"/>
      <c r="N77" s="443"/>
      <c r="O77" s="443"/>
      <c r="P77" s="443"/>
      <c r="Q77" s="443"/>
      <c r="R77" s="443"/>
      <c r="S77" s="443"/>
      <c r="T77" s="443"/>
      <c r="U77" s="443"/>
      <c r="V77" s="443"/>
      <c r="W77" s="444"/>
    </row>
    <row r="78" spans="2:23" ht="22.9" customHeight="1">
      <c r="B78" s="48"/>
      <c r="C78" s="146" t="s">
        <v>97</v>
      </c>
      <c r="D78" s="74" t="s">
        <v>313</v>
      </c>
      <c r="E78" s="471">
        <v>1517587</v>
      </c>
      <c r="F78" s="471">
        <v>590982.12</v>
      </c>
      <c r="G78" s="487">
        <v>618484.15</v>
      </c>
      <c r="H78" s="50"/>
      <c r="J78" s="442"/>
      <c r="K78" s="443"/>
      <c r="L78" s="443"/>
      <c r="M78" s="443"/>
      <c r="N78" s="443"/>
      <c r="O78" s="443"/>
      <c r="P78" s="443"/>
      <c r="Q78" s="443"/>
      <c r="R78" s="443"/>
      <c r="S78" s="443"/>
      <c r="T78" s="443"/>
      <c r="U78" s="443"/>
      <c r="V78" s="443"/>
      <c r="W78" s="444"/>
    </row>
    <row r="79" spans="2:23" ht="22.9" customHeight="1">
      <c r="B79" s="48"/>
      <c r="C79" s="146" t="s">
        <v>99</v>
      </c>
      <c r="D79" s="74" t="s">
        <v>314</v>
      </c>
      <c r="E79" s="471">
        <v>230214.8</v>
      </c>
      <c r="F79" s="471">
        <v>230024.8</v>
      </c>
      <c r="G79" s="487">
        <v>235015.5</v>
      </c>
      <c r="H79" s="50"/>
      <c r="J79" s="442"/>
      <c r="K79" s="443"/>
      <c r="L79" s="443"/>
      <c r="M79" s="443"/>
      <c r="N79" s="443"/>
      <c r="O79" s="443"/>
      <c r="P79" s="443"/>
      <c r="Q79" s="443"/>
      <c r="R79" s="443"/>
      <c r="S79" s="443"/>
      <c r="T79" s="443"/>
      <c r="U79" s="443"/>
      <c r="V79" s="443"/>
      <c r="W79" s="444"/>
    </row>
    <row r="80" spans="2:23" ht="22.9" customHeight="1">
      <c r="B80" s="48"/>
      <c r="C80" s="146" t="s">
        <v>195</v>
      </c>
      <c r="D80" s="74" t="s">
        <v>315</v>
      </c>
      <c r="E80" s="471"/>
      <c r="F80" s="471"/>
      <c r="G80" s="487"/>
      <c r="H80" s="50"/>
      <c r="J80" s="442"/>
      <c r="K80" s="443"/>
      <c r="L80" s="443"/>
      <c r="M80" s="443"/>
      <c r="N80" s="443"/>
      <c r="O80" s="443"/>
      <c r="P80" s="443"/>
      <c r="Q80" s="443"/>
      <c r="R80" s="443"/>
      <c r="S80" s="443"/>
      <c r="T80" s="443"/>
      <c r="U80" s="443"/>
      <c r="V80" s="443"/>
      <c r="W80" s="444"/>
    </row>
    <row r="81" spans="2:23" ht="22.9" customHeight="1">
      <c r="B81" s="48"/>
      <c r="C81" s="146" t="s">
        <v>109</v>
      </c>
      <c r="D81" s="74" t="s">
        <v>316</v>
      </c>
      <c r="E81" s="471">
        <v>273762.12</v>
      </c>
      <c r="F81" s="471">
        <v>397900.73</v>
      </c>
      <c r="G81" s="487">
        <v>474920.88</v>
      </c>
      <c r="H81" s="50"/>
      <c r="J81" s="442"/>
      <c r="K81" s="443"/>
      <c r="L81" s="443"/>
      <c r="M81" s="443"/>
      <c r="N81" s="443"/>
      <c r="O81" s="443"/>
      <c r="P81" s="443"/>
      <c r="Q81" s="443"/>
      <c r="R81" s="443"/>
      <c r="S81" s="443"/>
      <c r="T81" s="443"/>
      <c r="U81" s="443"/>
      <c r="V81" s="443"/>
      <c r="W81" s="444"/>
    </row>
    <row r="82" spans="2:23" ht="22.9" customHeight="1">
      <c r="B82" s="48"/>
      <c r="C82" s="146" t="s">
        <v>114</v>
      </c>
      <c r="D82" s="74" t="s">
        <v>317</v>
      </c>
      <c r="E82" s="471"/>
      <c r="F82" s="471">
        <v>12248.6</v>
      </c>
      <c r="G82" s="487">
        <v>0</v>
      </c>
      <c r="H82" s="50"/>
      <c r="J82" s="442"/>
      <c r="K82" s="443"/>
      <c r="L82" s="443"/>
      <c r="M82" s="443"/>
      <c r="N82" s="443"/>
      <c r="O82" s="443"/>
      <c r="P82" s="443"/>
      <c r="Q82" s="443"/>
      <c r="R82" s="443"/>
      <c r="S82" s="443"/>
      <c r="T82" s="443"/>
      <c r="U82" s="443"/>
      <c r="V82" s="443"/>
      <c r="W82" s="444"/>
    </row>
    <row r="83" spans="2:23" ht="22.9" customHeight="1">
      <c r="B83" s="48"/>
      <c r="C83" s="143" t="s">
        <v>219</v>
      </c>
      <c r="D83" s="72" t="s">
        <v>245</v>
      </c>
      <c r="E83" s="472">
        <v>46142.73</v>
      </c>
      <c r="F83" s="472">
        <v>46142.73</v>
      </c>
      <c r="G83" s="488">
        <v>46142.74</v>
      </c>
      <c r="H83" s="50"/>
      <c r="J83" s="442"/>
      <c r="K83" s="443"/>
      <c r="L83" s="443"/>
      <c r="M83" s="443"/>
      <c r="N83" s="443"/>
      <c r="O83" s="443"/>
      <c r="P83" s="443"/>
      <c r="Q83" s="443"/>
      <c r="R83" s="443"/>
      <c r="S83" s="443"/>
      <c r="T83" s="443"/>
      <c r="U83" s="443"/>
      <c r="V83" s="443"/>
      <c r="W83" s="444"/>
    </row>
    <row r="84" spans="2:23" ht="22.9" customHeight="1">
      <c r="B84" s="48"/>
      <c r="C84" s="143" t="s">
        <v>221</v>
      </c>
      <c r="D84" s="72" t="s">
        <v>318</v>
      </c>
      <c r="E84" s="472"/>
      <c r="F84" s="472"/>
      <c r="G84" s="488"/>
      <c r="H84" s="50"/>
      <c r="J84" s="442"/>
      <c r="K84" s="443"/>
      <c r="L84" s="443"/>
      <c r="M84" s="443"/>
      <c r="N84" s="443"/>
      <c r="O84" s="443"/>
      <c r="P84" s="443"/>
      <c r="Q84" s="443"/>
      <c r="R84" s="443"/>
      <c r="S84" s="443"/>
      <c r="T84" s="443"/>
      <c r="U84" s="443"/>
      <c r="V84" s="443"/>
      <c r="W84" s="444"/>
    </row>
    <row r="85" spans="2:23" ht="22.9" customHeight="1">
      <c r="B85" s="48"/>
      <c r="C85" s="139"/>
      <c r="D85" s="88"/>
      <c r="E85" s="137"/>
      <c r="F85" s="137"/>
      <c r="G85" s="149"/>
      <c r="H85" s="50"/>
      <c r="J85" s="442"/>
      <c r="K85" s="443"/>
      <c r="L85" s="443"/>
      <c r="M85" s="443"/>
      <c r="N85" s="443"/>
      <c r="O85" s="443"/>
      <c r="P85" s="443"/>
      <c r="Q85" s="443"/>
      <c r="R85" s="443"/>
      <c r="S85" s="443"/>
      <c r="T85" s="443"/>
      <c r="U85" s="443"/>
      <c r="V85" s="443"/>
      <c r="W85" s="444"/>
    </row>
    <row r="86" spans="2:23" ht="22.9" customHeight="1" thickBot="1">
      <c r="B86" s="48"/>
      <c r="C86" s="152" t="s">
        <v>319</v>
      </c>
      <c r="D86" s="81"/>
      <c r="E86" s="138">
        <f>E16+E43+E61</f>
        <v>193376130.83999997</v>
      </c>
      <c r="F86" s="138">
        <f>F16+F43+F61</f>
        <v>192127243.71281087</v>
      </c>
      <c r="G86" s="153">
        <f>G16+G43+G61</f>
        <v>191548697.84</v>
      </c>
      <c r="H86" s="50"/>
      <c r="J86" s="442"/>
      <c r="K86" s="443"/>
      <c r="L86" s="443"/>
      <c r="M86" s="443"/>
      <c r="N86" s="443"/>
      <c r="O86" s="443"/>
      <c r="P86" s="443"/>
      <c r="Q86" s="443"/>
      <c r="R86" s="443"/>
      <c r="S86" s="443"/>
      <c r="T86" s="443"/>
      <c r="U86" s="443"/>
      <c r="V86" s="443"/>
      <c r="W86" s="444"/>
    </row>
    <row r="87" spans="2:23" ht="22.9" customHeight="1" thickBot="1">
      <c r="B87" s="52"/>
      <c r="C87" s="1128"/>
      <c r="D87" s="1128"/>
      <c r="E87" s="1128"/>
      <c r="F87" s="1128"/>
      <c r="G87" s="54"/>
      <c r="H87" s="55"/>
      <c r="J87" s="445"/>
      <c r="K87" s="446"/>
      <c r="L87" s="446"/>
      <c r="M87" s="446"/>
      <c r="N87" s="446"/>
      <c r="O87" s="446"/>
      <c r="P87" s="446"/>
      <c r="Q87" s="446"/>
      <c r="R87" s="446"/>
      <c r="S87" s="446"/>
      <c r="T87" s="446"/>
      <c r="U87" s="446"/>
      <c r="V87" s="446"/>
      <c r="W87" s="447"/>
    </row>
    <row r="88" spans="2:23" ht="22.9" customHeight="1">
      <c r="C88" s="44"/>
      <c r="D88" s="44"/>
      <c r="E88" s="44"/>
      <c r="F88" s="44"/>
      <c r="G88" s="44"/>
    </row>
    <row r="89" spans="2:23" ht="12.75">
      <c r="C89" s="37" t="s">
        <v>77</v>
      </c>
      <c r="D89" s="44"/>
      <c r="E89" s="44"/>
      <c r="F89" s="44"/>
      <c r="G89" s="41" t="s">
        <v>706</v>
      </c>
    </row>
    <row r="90" spans="2:23" ht="12.75">
      <c r="C90" s="38" t="s">
        <v>78</v>
      </c>
      <c r="D90" s="44"/>
      <c r="E90" s="44"/>
      <c r="F90" s="44"/>
      <c r="G90" s="44"/>
    </row>
    <row r="91" spans="2:23" ht="12.75">
      <c r="C91" s="38" t="s">
        <v>79</v>
      </c>
      <c r="D91" s="44"/>
      <c r="E91" s="44"/>
      <c r="F91" s="44"/>
      <c r="G91" s="44"/>
    </row>
    <row r="92" spans="2:23" ht="12.75">
      <c r="C92" s="38" t="s">
        <v>80</v>
      </c>
      <c r="D92" s="44"/>
      <c r="E92" s="44"/>
      <c r="F92" s="44"/>
      <c r="G92" s="44"/>
    </row>
    <row r="93" spans="2:23" ht="12.75">
      <c r="C93" s="38" t="s">
        <v>81</v>
      </c>
      <c r="D93" s="44"/>
      <c r="E93" s="44"/>
      <c r="F93" s="44"/>
      <c r="G93" s="44"/>
    </row>
    <row r="94" spans="2:23" ht="22.9" customHeight="1">
      <c r="C94" s="44"/>
      <c r="D94" s="44"/>
      <c r="E94" s="751" t="str">
        <f>IF(CHECK_LIST!J15&gt;0,"Revisa","")</f>
        <v/>
      </c>
      <c r="F94" s="751" t="str">
        <f>IF(CHECK_LIST!K15&gt;0,"Revisa","")</f>
        <v/>
      </c>
      <c r="G94" s="751" t="str">
        <f>IF(CHECK_LIST!L15&gt;0,"Revisa","")</f>
        <v/>
      </c>
    </row>
    <row r="95" spans="2:23" ht="22.9" customHeight="1">
      <c r="C95" s="44"/>
      <c r="D95" s="44"/>
      <c r="E95" s="44"/>
      <c r="F95" s="44"/>
      <c r="G95" s="44"/>
    </row>
    <row r="96" spans="2:23" ht="22.9" customHeight="1">
      <c r="C96" s="44"/>
      <c r="D96" s="44"/>
      <c r="E96" s="44"/>
      <c r="F96" s="44"/>
      <c r="G96" s="44"/>
    </row>
    <row r="97" spans="3:7" ht="22.9" customHeight="1">
      <c r="C97" s="44"/>
      <c r="D97" s="44"/>
      <c r="E97" s="44"/>
      <c r="F97" s="44"/>
      <c r="G97" s="44"/>
    </row>
    <row r="98" spans="3:7" ht="22.9" customHeight="1">
      <c r="F98" s="44"/>
      <c r="G98" s="44"/>
    </row>
  </sheetData>
  <sheetProtection password="E059" sheet="1" objects="1" scenarios="1"/>
  <mergeCells count="3">
    <mergeCell ref="G6:G7"/>
    <mergeCell ref="D9:G9"/>
    <mergeCell ref="C87:F87"/>
  </mergeCells>
  <phoneticPr fontId="22" type="noConversion"/>
  <printOptions horizontalCentered="1" verticalCentered="1"/>
  <pageMargins left="0.35629921259842523" right="0.35629921259842523" top="0.60629921259842523" bottom="0.60629921259842523" header="0.5" footer="0.5"/>
  <pageSetup paperSize="9" scale="36" orientation="portrait" horizontalDpi="4294967292" verticalDpi="4294967292"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28</vt:i4>
      </vt:variant>
    </vt:vector>
  </HeadingPairs>
  <TitlesOfParts>
    <vt:vector size="53" baseType="lpstr">
      <vt:lpstr>GENERAL</vt:lpstr>
      <vt:lpstr>CHECK_LIST</vt:lpstr>
      <vt:lpstr>FC-1_ORGANOS_GOBIERNO</vt:lpstr>
      <vt:lpstr>FC-2_ACCIONISTAS</vt:lpstr>
      <vt:lpstr>FC-2_1</vt:lpstr>
      <vt:lpstr>FC-3_CPyG</vt:lpstr>
      <vt:lpstr>FC-3_1_INF_ADIC_CPyG</vt:lpstr>
      <vt:lpstr>FC-4_ACTIVO</vt:lpstr>
      <vt:lpstr>FC-4_PASIVO</vt:lpstr>
      <vt:lpstr>FC-5_EFE</vt:lpstr>
      <vt:lpstr>FC-6_Inversiones</vt:lpstr>
      <vt:lpstr>FC-7_INF</vt:lpstr>
      <vt:lpstr>FC-8_INV_FINANCIERAS</vt:lpstr>
      <vt:lpstr>FC-9_TRANS_SUBV</vt:lpstr>
      <vt:lpstr>FC-10_DEUDAS</vt:lpstr>
      <vt:lpstr>FC-12_PERFIL_VTO_DEUDA</vt:lpstr>
      <vt:lpstr>FC-11_DEUDA_VIVA</vt:lpstr>
      <vt:lpstr>FC-13_PERSONAL</vt:lpstr>
      <vt:lpstr>FC-14_OPER_INTERNAS</vt:lpstr>
      <vt:lpstr>FC-15_ENCOMIENDAS</vt:lpstr>
      <vt:lpstr>FC-16_ESTAB_PRESUP</vt:lpstr>
      <vt:lpstr>FC-17_FINANCIACIÓN</vt:lpstr>
      <vt:lpstr>FC-90_COMPROBACIÓN</vt:lpstr>
      <vt:lpstr>FC-91_PRESUPUESTO</vt:lpstr>
      <vt:lpstr>FC-92_PRESUPUESTO_PYG</vt:lpstr>
      <vt:lpstr>CHECK_LIST!Área_de_impresión</vt:lpstr>
      <vt:lpstr>'FC-1_ORGANOS_GOBIERNO'!Área_de_impresión</vt:lpstr>
      <vt:lpstr>'FC-10_DEUDAS'!Área_de_impresión</vt:lpstr>
      <vt:lpstr>'FC-11_DEUDA_VIVA'!Área_de_impresión</vt:lpstr>
      <vt:lpstr>'FC-12_PERFIL_VTO_DEUDA'!Área_de_impresión</vt:lpstr>
      <vt:lpstr>'FC-13_PERSONAL'!Área_de_impresión</vt:lpstr>
      <vt:lpstr>'FC-14_OPER_INTERNAS'!Área_de_impresión</vt:lpstr>
      <vt:lpstr>'FC-15_ENCOMIENDAS'!Área_de_impresión</vt:lpstr>
      <vt:lpstr>'FC-16_ESTAB_PRESUP'!Área_de_impresión</vt:lpstr>
      <vt:lpstr>'FC-17_FINANCIACIÓN'!Área_de_impresión</vt:lpstr>
      <vt:lpstr>'FC-2_1'!Área_de_impresión</vt:lpstr>
      <vt:lpstr>'FC-2_ACCIONISTAS'!Área_de_impresión</vt:lpstr>
      <vt:lpstr>'FC-3_1_INF_ADIC_CPyG'!Área_de_impresión</vt:lpstr>
      <vt:lpstr>'FC-3_CPyG'!Área_de_impresión</vt:lpstr>
      <vt:lpstr>'FC-4_ACTIVO'!Área_de_impresión</vt:lpstr>
      <vt:lpstr>'FC-4_PASIVO'!Área_de_impresión</vt:lpstr>
      <vt:lpstr>'FC-5_EFE'!Área_de_impresión</vt:lpstr>
      <vt:lpstr>'FC-6_Inversiones'!Área_de_impresión</vt:lpstr>
      <vt:lpstr>'FC-7_INF'!Área_de_impresión</vt:lpstr>
      <vt:lpstr>'FC-8_INV_FINANCIERAS'!Área_de_impresión</vt:lpstr>
      <vt:lpstr>'FC-9_TRANS_SUBV'!Área_de_impresión</vt:lpstr>
      <vt:lpstr>'FC-90_COMPROBACIÓN'!Área_de_impresión</vt:lpstr>
      <vt:lpstr>'FC-91_PRESUPUESTO'!Área_de_impresión</vt:lpstr>
      <vt:lpstr>'FC-92_PRESUPUESTO_PYG'!Área_de_impresión</vt:lpstr>
      <vt:lpstr>GENERAL!Área_de_impresión</vt:lpstr>
      <vt:lpstr>DEPENDENCIA</vt:lpstr>
      <vt:lpstr>ejercicio</vt:lpstr>
      <vt:lpstr>Entidad</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Abreu</dc:creator>
  <cp:lastModifiedBy>Tomas Vargas Diaz</cp:lastModifiedBy>
  <cp:lastPrinted>2018-01-26T13:25:51Z</cp:lastPrinted>
  <dcterms:created xsi:type="dcterms:W3CDTF">2017-09-18T15:25:23Z</dcterms:created>
  <dcterms:modified xsi:type="dcterms:W3CDTF">2018-01-26T13:25:57Z</dcterms:modified>
</cp:coreProperties>
</file>