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autoCompressPictures="0"/>
  <workbookProtection workbookPassword="CF7A" lockStructure="1"/>
  <bookViews>
    <workbookView xWindow="996" yWindow="0" windowWidth="23136" windowHeight="13056" tabRatio="905" firstSheet="2" activeTab="2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5_EFE" sheetId="12" r:id="rId10"/>
    <sheet name="FC-6_Inversiones" sheetId="13" r:id="rId11"/>
    <sheet name="FC-7_INF" sheetId="15" r:id="rId12"/>
    <sheet name="FC-8_INV_FINANCIERAS" sheetId="17" r:id="rId13"/>
    <sheet name="FC-9_TRANS_SUBV" sheetId="18" r:id="rId14"/>
    <sheet name="FC-10_DEUDAS" sheetId="23" r:id="rId15"/>
    <sheet name="FC-11_DEUDA_VIVA" sheetId="20" r:id="rId16"/>
    <sheet name="FC-12_PERFIL_VTO_DEUDA" sheetId="21" r:id="rId17"/>
    <sheet name="FC-13_PERSONAL" sheetId="25" r:id="rId18"/>
    <sheet name="FC-14_OPER_INTERNAS" sheetId="27" r:id="rId19"/>
    <sheet name="FC-15_ENCOMIENDAS" sheetId="28" r:id="rId20"/>
    <sheet name="FC-16_ESTAB_PRESUP" sheetId="29" state="hidden" r:id="rId21"/>
    <sheet name="FC-17_FINANCIACIÓN" sheetId="31" r:id="rId22"/>
    <sheet name="FC-90_COMPROBACIÓN" sheetId="32" r:id="rId23"/>
    <sheet name="FC-91_PRESUPUESTO" sheetId="34" state="hidden" r:id="rId24"/>
    <sheet name="FC-92_PRESUPUESTO_PYG" sheetId="33" state="hidden" r:id="rId25"/>
  </sheets>
  <externalReferences>
    <externalReference r:id="rId26"/>
  </externalReferences>
  <definedNames>
    <definedName name="_xlnm.Print_Area" localSheetId="1">CHECK_LIST!$B$5:$H$42</definedName>
    <definedName name="_xlnm.Print_Area" localSheetId="2">'FC-1_ORGANOS_GOBIERNO'!$B$1:$I$48</definedName>
    <definedName name="_xlnm.Print_Area" localSheetId="14">'FC-10_DEUDAS'!$B$1:$T$91</definedName>
    <definedName name="_xlnm.Print_Area" localSheetId="15">'FC-11_DEUDA_VIVA'!$B$1:$J$42</definedName>
    <definedName name="_xlnm.Print_Area" localSheetId="16">'FC-12_PERFIL_VTO_DEUDA'!$B$1:$O$30</definedName>
    <definedName name="_xlnm.Print_Area" localSheetId="17">'FC-13_PERSONAL'!$B$1:$K$71</definedName>
    <definedName name="_xlnm.Print_Area" localSheetId="18">'FC-14_OPER_INTERNAS'!$B$1:$I$81</definedName>
    <definedName name="_xlnm.Print_Area" localSheetId="19">'FC-15_ENCOMIENDAS'!$B$1:$H$41</definedName>
    <definedName name="_xlnm.Print_Area" localSheetId="20">'FC-16_ESTAB_PRESUP'!$B$5:$H$49</definedName>
    <definedName name="_xlnm.Print_Area" localSheetId="21">'FC-17_FINANCIACIÓN'!$B$1:$G$46</definedName>
    <definedName name="_xlnm.Print_Area" localSheetId="4">'FC-2_1'!$B$1:$O$66</definedName>
    <definedName name="_xlnm.Print_Area" localSheetId="3">'FC-2_ACCIONISTAS'!$B$1:$Q$61</definedName>
    <definedName name="_xlnm.Print_Area" localSheetId="6">'FC-3_1_INF_ADIC_CPyG'!$B$1:$N$104</definedName>
    <definedName name="_xlnm.Print_Area" localSheetId="5">'FC-3_CPyG'!$B$1:$H$92</definedName>
    <definedName name="_xlnm.Print_Area" localSheetId="7">'FC-4_ACTIVO'!$B$1:$H$101</definedName>
    <definedName name="_xlnm.Print_Area" localSheetId="8">'FC-4_PASIVO'!$B$1:$H$93</definedName>
    <definedName name="_xlnm.Print_Area" localSheetId="9">'FC-5_EFE'!$B$1:$I$106</definedName>
    <definedName name="_xlnm.Print_Area" localSheetId="10">'FC-6_Inversiones'!$B$1:$S$63</definedName>
    <definedName name="_xlnm.Print_Area" localSheetId="11">'FC-7_INF'!$B$1:$O$53</definedName>
    <definedName name="_xlnm.Print_Area" localSheetId="12">'FC-8_INV_FINANCIERAS'!$B$1:$N$77</definedName>
    <definedName name="_xlnm.Print_Area" localSheetId="13">'FC-9_TRANS_SUBV'!$B$1:$M$136</definedName>
    <definedName name="_xlnm.Print_Area" localSheetId="22">'FC-90_COMPROBACIÓN'!$B$1:$F$81</definedName>
    <definedName name="_xlnm.Print_Area" localSheetId="23">'FC-91_PRESUPUESTO'!$B$5:$F$52</definedName>
    <definedName name="_xlnm.Print_Area" localSheetId="24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3" i="36" l="1"/>
  <c r="G35" i="7"/>
  <c r="E70" i="32" l="1"/>
  <c r="E68" i="32"/>
  <c r="N50" i="23"/>
  <c r="N49" i="23"/>
  <c r="N74" i="23" s="1"/>
  <c r="Q49" i="23"/>
  <c r="S49" i="23" s="1"/>
  <c r="L49" i="23"/>
  <c r="M51" i="23"/>
  <c r="L50" i="23"/>
  <c r="Q50" i="23" s="1"/>
  <c r="S50" i="23" s="1"/>
  <c r="K51" i="23"/>
  <c r="E42" i="27"/>
  <c r="E56" i="27"/>
  <c r="K46" i="36"/>
  <c r="K44" i="36" s="1"/>
  <c r="E21" i="31" s="1"/>
  <c r="K29" i="36"/>
  <c r="L29" i="36" s="1"/>
  <c r="L25" i="36" s="1"/>
  <c r="L19" i="36" s="1"/>
  <c r="G32" i="7"/>
  <c r="G30" i="7" s="1"/>
  <c r="E39" i="33" s="1"/>
  <c r="F35" i="7"/>
  <c r="F32" i="7"/>
  <c r="I26" i="13"/>
  <c r="I47" i="13" s="1"/>
  <c r="G26" i="13"/>
  <c r="G47" i="13" s="1"/>
  <c r="G17" i="13"/>
  <c r="H18" i="13"/>
  <c r="H17" i="13"/>
  <c r="H47" i="13" s="1"/>
  <c r="I16" i="13"/>
  <c r="F17" i="15"/>
  <c r="G23" i="18"/>
  <c r="G30" i="18" s="1"/>
  <c r="E24" i="34" s="1"/>
  <c r="G84" i="36"/>
  <c r="G80" i="36"/>
  <c r="G79" i="36" s="1"/>
  <c r="L46" i="36"/>
  <c r="I18" i="36"/>
  <c r="F18" i="36"/>
  <c r="F16" i="36" s="1"/>
  <c r="L18" i="36"/>
  <c r="L45" i="36"/>
  <c r="L44" i="36" s="1"/>
  <c r="L42" i="36"/>
  <c r="L41" i="36"/>
  <c r="L27" i="36"/>
  <c r="L28" i="36"/>
  <c r="L30" i="36"/>
  <c r="L31" i="36"/>
  <c r="L32" i="36"/>
  <c r="L26" i="36"/>
  <c r="E84" i="36"/>
  <c r="E79" i="36" s="1"/>
  <c r="E21" i="37" s="1"/>
  <c r="J21" i="37" s="1"/>
  <c r="F83" i="36"/>
  <c r="F79" i="36" s="1"/>
  <c r="F21" i="37" s="1"/>
  <c r="K21" i="37" s="1"/>
  <c r="F84" i="36"/>
  <c r="F80" i="36"/>
  <c r="L22" i="15"/>
  <c r="M22" i="15"/>
  <c r="E33" i="15" s="1"/>
  <c r="M33" i="15" s="1"/>
  <c r="G24" i="14"/>
  <c r="G22" i="14" s="1"/>
  <c r="I17" i="20"/>
  <c r="H17" i="20"/>
  <c r="G17" i="20"/>
  <c r="F46" i="36"/>
  <c r="F44" i="36" s="1"/>
  <c r="F45" i="36"/>
  <c r="E17" i="15"/>
  <c r="M17" i="15"/>
  <c r="J53" i="38"/>
  <c r="J52" i="38"/>
  <c r="J51" i="38"/>
  <c r="J50" i="38"/>
  <c r="J49" i="38"/>
  <c r="J48" i="38"/>
  <c r="J47" i="38"/>
  <c r="J46" i="38"/>
  <c r="J45" i="38"/>
  <c r="J44" i="38"/>
  <c r="J43" i="38"/>
  <c r="J42" i="38"/>
  <c r="J41" i="38"/>
  <c r="J40" i="38"/>
  <c r="J39" i="38"/>
  <c r="J38" i="38"/>
  <c r="J37" i="38"/>
  <c r="J36" i="38"/>
  <c r="J35" i="38"/>
  <c r="J34" i="38"/>
  <c r="J33" i="38"/>
  <c r="J32" i="38"/>
  <c r="J31" i="38"/>
  <c r="J30" i="38"/>
  <c r="J29" i="38"/>
  <c r="J28" i="38"/>
  <c r="J27" i="38"/>
  <c r="J26" i="38"/>
  <c r="J25" i="38"/>
  <c r="J24" i="38"/>
  <c r="J23" i="38"/>
  <c r="J22" i="38"/>
  <c r="J21" i="38"/>
  <c r="J20" i="38"/>
  <c r="J19" i="38"/>
  <c r="J18" i="38"/>
  <c r="J17" i="38"/>
  <c r="J16" i="38"/>
  <c r="J15" i="38"/>
  <c r="J14" i="38"/>
  <c r="G34" i="37"/>
  <c r="F34" i="37"/>
  <c r="J115" i="18"/>
  <c r="F115" i="18"/>
  <c r="G89" i="18"/>
  <c r="F89" i="18"/>
  <c r="H86" i="18"/>
  <c r="I86" i="18"/>
  <c r="I75" i="18"/>
  <c r="H75" i="18"/>
  <c r="G75" i="18"/>
  <c r="F75" i="18"/>
  <c r="H71" i="18"/>
  <c r="I71" i="18"/>
  <c r="I39" i="18"/>
  <c r="H39" i="18"/>
  <c r="G39" i="18"/>
  <c r="F39" i="18"/>
  <c r="I30" i="18"/>
  <c r="H30" i="18"/>
  <c r="I16" i="18"/>
  <c r="H16" i="18"/>
  <c r="E54" i="9"/>
  <c r="E57" i="9"/>
  <c r="E60" i="9"/>
  <c r="E66" i="9"/>
  <c r="E65" i="9" s="1"/>
  <c r="E75" i="9"/>
  <c r="E82" i="9"/>
  <c r="E90" i="9"/>
  <c r="F95" i="12" s="1"/>
  <c r="G94" i="12" s="1"/>
  <c r="E63" i="14"/>
  <c r="E66" i="14"/>
  <c r="E74" i="14"/>
  <c r="E73" i="14" s="1"/>
  <c r="G71" i="18"/>
  <c r="G86" i="18"/>
  <c r="J39" i="25"/>
  <c r="J41" i="25"/>
  <c r="J42" i="25"/>
  <c r="J43" i="25"/>
  <c r="F53" i="25"/>
  <c r="J40" i="25"/>
  <c r="J44" i="25"/>
  <c r="J51" i="17"/>
  <c r="J52" i="17"/>
  <c r="J53" i="17"/>
  <c r="J54" i="17"/>
  <c r="J55" i="17"/>
  <c r="J56" i="17"/>
  <c r="J57" i="17"/>
  <c r="J27" i="17"/>
  <c r="J28" i="17"/>
  <c r="J29" i="17"/>
  <c r="J30" i="17"/>
  <c r="J31" i="17"/>
  <c r="J32" i="17"/>
  <c r="J33" i="17"/>
  <c r="J42" i="17"/>
  <c r="J43" i="17"/>
  <c r="J44" i="17"/>
  <c r="J45" i="17"/>
  <c r="J46" i="17"/>
  <c r="J47" i="17"/>
  <c r="J48" i="17"/>
  <c r="J18" i="17"/>
  <c r="J19" i="17"/>
  <c r="J20" i="17"/>
  <c r="J21" i="17"/>
  <c r="J22" i="17"/>
  <c r="J23" i="17"/>
  <c r="J24" i="17"/>
  <c r="G30" i="9"/>
  <c r="M18" i="15"/>
  <c r="E29" i="15"/>
  <c r="M29" i="15"/>
  <c r="M19" i="15"/>
  <c r="E30" i="15" s="1"/>
  <c r="M30" i="15" s="1"/>
  <c r="G75" i="9"/>
  <c r="G82" i="9"/>
  <c r="G54" i="9"/>
  <c r="G57" i="9"/>
  <c r="G60" i="9"/>
  <c r="G52" i="9" s="1"/>
  <c r="G66" i="9"/>
  <c r="G65" i="9" s="1"/>
  <c r="G50" i="9" s="1"/>
  <c r="E69" i="32" s="1"/>
  <c r="G90" i="9"/>
  <c r="F54" i="9"/>
  <c r="F52" i="9" s="1"/>
  <c r="F50" i="9" s="1"/>
  <c r="F57" i="9"/>
  <c r="F60" i="9"/>
  <c r="F66" i="9"/>
  <c r="F65" i="9" s="1"/>
  <c r="F75" i="9"/>
  <c r="F82" i="9"/>
  <c r="F90" i="9"/>
  <c r="G95" i="12" s="1"/>
  <c r="H94" i="12" s="1"/>
  <c r="O31" i="3"/>
  <c r="R74" i="23"/>
  <c r="Q51" i="23"/>
  <c r="S51" i="23" s="1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17" i="23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L42" i="23"/>
  <c r="F37" i="37" s="1"/>
  <c r="K37" i="37" s="1"/>
  <c r="L74" i="23"/>
  <c r="P42" i="23"/>
  <c r="P74" i="23"/>
  <c r="O74" i="23"/>
  <c r="M74" i="23"/>
  <c r="K74" i="23"/>
  <c r="Q48" i="23"/>
  <c r="P48" i="23"/>
  <c r="O48" i="23"/>
  <c r="N48" i="23"/>
  <c r="M48" i="23"/>
  <c r="L48" i="23"/>
  <c r="F31" i="15"/>
  <c r="G54" i="13"/>
  <c r="G52" i="13"/>
  <c r="F50" i="13"/>
  <c r="G22" i="7"/>
  <c r="G59" i="36"/>
  <c r="G89" i="36"/>
  <c r="E42" i="33"/>
  <c r="E39" i="34" s="1"/>
  <c r="E42" i="32" s="1"/>
  <c r="G88" i="36"/>
  <c r="J58" i="38"/>
  <c r="D54" i="38"/>
  <c r="L54" i="38" s="1"/>
  <c r="D9" i="38"/>
  <c r="N6" i="38"/>
  <c r="I31" i="3"/>
  <c r="I15" i="3"/>
  <c r="O15" i="3"/>
  <c r="I15" i="20"/>
  <c r="P16" i="23"/>
  <c r="K47" i="13"/>
  <c r="J47" i="13"/>
  <c r="L47" i="13"/>
  <c r="M47" i="13"/>
  <c r="G33" i="9"/>
  <c r="G40" i="9"/>
  <c r="G17" i="9"/>
  <c r="G26" i="9"/>
  <c r="G18" i="14"/>
  <c r="G28" i="14"/>
  <c r="G35" i="14"/>
  <c r="G44" i="14"/>
  <c r="G49" i="14"/>
  <c r="G43" i="14" s="1"/>
  <c r="G63" i="14"/>
  <c r="G66" i="14"/>
  <c r="G74" i="14"/>
  <c r="G73" i="14" s="1"/>
  <c r="E17" i="9"/>
  <c r="E26" i="9"/>
  <c r="E30" i="9"/>
  <c r="E33" i="9"/>
  <c r="E40" i="9"/>
  <c r="E18" i="14"/>
  <c r="E22" i="14"/>
  <c r="E17" i="14" s="1"/>
  <c r="E16" i="14" s="1"/>
  <c r="E28" i="14"/>
  <c r="E35" i="14"/>
  <c r="E44" i="14"/>
  <c r="E49" i="14"/>
  <c r="F17" i="9"/>
  <c r="F26" i="9"/>
  <c r="F30" i="9"/>
  <c r="F25" i="37" s="1"/>
  <c r="K25" i="37" s="1"/>
  <c r="F33" i="9"/>
  <c r="F40" i="9"/>
  <c r="F18" i="14"/>
  <c r="F22" i="14"/>
  <c r="F28" i="14"/>
  <c r="F35" i="14"/>
  <c r="F44" i="14"/>
  <c r="F49" i="14"/>
  <c r="F63" i="14"/>
  <c r="F66" i="14"/>
  <c r="F74" i="14"/>
  <c r="F73" i="14" s="1"/>
  <c r="E59" i="36"/>
  <c r="E51" i="36"/>
  <c r="K36" i="36"/>
  <c r="K40" i="36"/>
  <c r="G16" i="7"/>
  <c r="E21" i="29" s="1"/>
  <c r="G34" i="7"/>
  <c r="E34" i="29" s="1"/>
  <c r="G43" i="7"/>
  <c r="G59" i="7"/>
  <c r="E35" i="29" s="1"/>
  <c r="G52" i="7"/>
  <c r="G55" i="7"/>
  <c r="G70" i="7"/>
  <c r="E25" i="29" s="1"/>
  <c r="G63" i="7"/>
  <c r="E33" i="33" s="1"/>
  <c r="E33" i="32" s="1"/>
  <c r="G67" i="7"/>
  <c r="E55" i="33" s="1"/>
  <c r="E55" i="32" s="1"/>
  <c r="E25" i="33"/>
  <c r="E29" i="33"/>
  <c r="E47" i="33"/>
  <c r="E51" i="33"/>
  <c r="F19" i="20"/>
  <c r="M42" i="23"/>
  <c r="F86" i="18"/>
  <c r="F36" i="37"/>
  <c r="K36" i="37" s="1"/>
  <c r="F71" i="18"/>
  <c r="F35" i="37" s="1"/>
  <c r="K35" i="37" s="1"/>
  <c r="F30" i="18"/>
  <c r="F35" i="18"/>
  <c r="F33" i="37" s="1"/>
  <c r="K33" i="37" s="1"/>
  <c r="I31" i="15"/>
  <c r="G27" i="37" s="1"/>
  <c r="L27" i="37" s="1"/>
  <c r="I20" i="15"/>
  <c r="F27" i="37" s="1"/>
  <c r="K27" i="37" s="1"/>
  <c r="M16" i="15"/>
  <c r="E27" i="15" s="1"/>
  <c r="M27" i="15" s="1"/>
  <c r="M15" i="15"/>
  <c r="F23" i="37" s="1"/>
  <c r="K23" i="37" s="1"/>
  <c r="G75" i="36"/>
  <c r="G20" i="37" s="1"/>
  <c r="L20" i="37" s="1"/>
  <c r="E75" i="36"/>
  <c r="E20" i="37" s="1"/>
  <c r="J20" i="37" s="1"/>
  <c r="F75" i="36"/>
  <c r="F20" i="37"/>
  <c r="K20" i="37" s="1"/>
  <c r="G51" i="36"/>
  <c r="G19" i="37" s="1"/>
  <c r="L19" i="37" s="1"/>
  <c r="F51" i="36"/>
  <c r="F59" i="36"/>
  <c r="K16" i="36"/>
  <c r="K20" i="36"/>
  <c r="K25" i="36"/>
  <c r="E16" i="7"/>
  <c r="E16" i="36"/>
  <c r="E20" i="36"/>
  <c r="E25" i="36"/>
  <c r="E36" i="36"/>
  <c r="E40" i="36"/>
  <c r="E44" i="36"/>
  <c r="F16" i="7"/>
  <c r="H25" i="36"/>
  <c r="H20" i="36"/>
  <c r="H16" i="36"/>
  <c r="H36" i="36"/>
  <c r="H40" i="36"/>
  <c r="H44" i="36"/>
  <c r="E52" i="7"/>
  <c r="E55" i="7"/>
  <c r="E59" i="7"/>
  <c r="E63" i="7"/>
  <c r="E67" i="7"/>
  <c r="E70" i="7"/>
  <c r="E22" i="7"/>
  <c r="E27" i="7"/>
  <c r="E30" i="7"/>
  <c r="E34" i="7"/>
  <c r="E43" i="7"/>
  <c r="F17" i="12"/>
  <c r="F29" i="12"/>
  <c r="F36" i="12"/>
  <c r="F45" i="12"/>
  <c r="F63" i="12" s="1"/>
  <c r="F54" i="12"/>
  <c r="F66" i="12"/>
  <c r="F73" i="12"/>
  <c r="F72" i="12" s="1"/>
  <c r="F79" i="12"/>
  <c r="F85" i="12"/>
  <c r="F27" i="7"/>
  <c r="F22" i="7"/>
  <c r="F30" i="7"/>
  <c r="F34" i="7"/>
  <c r="F43" i="7"/>
  <c r="F52" i="7"/>
  <c r="F51" i="7" s="1"/>
  <c r="F55" i="7"/>
  <c r="F59" i="7"/>
  <c r="F63" i="7"/>
  <c r="F67" i="7"/>
  <c r="F70" i="7"/>
  <c r="G17" i="12"/>
  <c r="G29" i="12"/>
  <c r="G36" i="12"/>
  <c r="G45" i="12"/>
  <c r="G54" i="12"/>
  <c r="G66" i="12"/>
  <c r="G73" i="12"/>
  <c r="G79" i="12"/>
  <c r="G85" i="12"/>
  <c r="H95" i="12"/>
  <c r="H17" i="12"/>
  <c r="H29" i="12"/>
  <c r="H36" i="12"/>
  <c r="H45" i="12"/>
  <c r="H54" i="12"/>
  <c r="H66" i="12"/>
  <c r="H73" i="12"/>
  <c r="H72" i="12" s="1"/>
  <c r="H79" i="12"/>
  <c r="H85" i="12"/>
  <c r="L16" i="36"/>
  <c r="L20" i="36"/>
  <c r="L36" i="36"/>
  <c r="I16" i="36"/>
  <c r="I20" i="36"/>
  <c r="I25" i="36"/>
  <c r="I36" i="36"/>
  <c r="I40" i="36"/>
  <c r="I35" i="36" s="1"/>
  <c r="I34" i="36" s="1"/>
  <c r="I44" i="36"/>
  <c r="F20" i="36"/>
  <c r="F25" i="36"/>
  <c r="F36" i="36"/>
  <c r="F40" i="36"/>
  <c r="E40" i="29"/>
  <c r="H31" i="15"/>
  <c r="K31" i="15"/>
  <c r="E23" i="34" s="1"/>
  <c r="E36" i="29"/>
  <c r="E37" i="29"/>
  <c r="E38" i="29"/>
  <c r="E22" i="29"/>
  <c r="E23" i="29"/>
  <c r="E26" i="29"/>
  <c r="E27" i="29"/>
  <c r="G100" i="18"/>
  <c r="E28" i="31"/>
  <c r="N42" i="23"/>
  <c r="E47" i="34" s="1"/>
  <c r="G31" i="15"/>
  <c r="E63" i="32" s="1"/>
  <c r="E64" i="32"/>
  <c r="J31" i="15"/>
  <c r="E65" i="32"/>
  <c r="L31" i="15"/>
  <c r="E66" i="32" s="1"/>
  <c r="I25" i="17"/>
  <c r="I34" i="17"/>
  <c r="I49" i="17"/>
  <c r="I58" i="17"/>
  <c r="E16" i="32"/>
  <c r="E17" i="32"/>
  <c r="E24" i="32"/>
  <c r="H25" i="17"/>
  <c r="H34" i="17"/>
  <c r="E27" i="34" s="1"/>
  <c r="E27" i="32" s="1"/>
  <c r="H49" i="17"/>
  <c r="H58" i="17"/>
  <c r="E46" i="32"/>
  <c r="G25" i="17"/>
  <c r="G34" i="17"/>
  <c r="E46" i="34" s="1"/>
  <c r="G49" i="17"/>
  <c r="G58" i="17"/>
  <c r="O42" i="23"/>
  <c r="G74" i="36"/>
  <c r="F74" i="36"/>
  <c r="E74" i="36"/>
  <c r="M16" i="23"/>
  <c r="K42" i="23"/>
  <c r="Q16" i="23"/>
  <c r="O16" i="23"/>
  <c r="N16" i="23"/>
  <c r="L16" i="23"/>
  <c r="F47" i="13"/>
  <c r="E47" i="13"/>
  <c r="E14" i="37"/>
  <c r="F14" i="37"/>
  <c r="G14" i="37"/>
  <c r="D9" i="37"/>
  <c r="G6" i="37"/>
  <c r="G69" i="36"/>
  <c r="F69" i="36"/>
  <c r="E69" i="36"/>
  <c r="G50" i="36"/>
  <c r="F50" i="36"/>
  <c r="E50" i="36"/>
  <c r="M14" i="36"/>
  <c r="J14" i="36"/>
  <c r="G14" i="36"/>
  <c r="D9" i="36"/>
  <c r="M6" i="36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 s="1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100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L20" i="15"/>
  <c r="K20" i="15"/>
  <c r="J20" i="15"/>
  <c r="H20" i="15"/>
  <c r="G20" i="15"/>
  <c r="F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7" i="13"/>
  <c r="Q47" i="13"/>
  <c r="P47" i="13"/>
  <c r="O47" i="13"/>
  <c r="N47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H14" i="12"/>
  <c r="G14" i="12"/>
  <c r="F14" i="12"/>
  <c r="D9" i="12"/>
  <c r="H6" i="12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 s="1"/>
  <c r="F19" i="36"/>
  <c r="E20" i="33"/>
  <c r="E20" i="34"/>
  <c r="E20" i="32" s="1"/>
  <c r="E26" i="31"/>
  <c r="E19" i="36"/>
  <c r="G25" i="37"/>
  <c r="L25" i="37" s="1"/>
  <c r="J58" i="17"/>
  <c r="G32" i="37" s="1"/>
  <c r="K35" i="36"/>
  <c r="E18" i="31" s="1"/>
  <c r="F17" i="14"/>
  <c r="F16" i="14" s="1"/>
  <c r="J49" i="17"/>
  <c r="G31" i="37" s="1"/>
  <c r="E52" i="9"/>
  <c r="L40" i="36"/>
  <c r="L35" i="36" s="1"/>
  <c r="L34" i="36" s="1"/>
  <c r="E51" i="7"/>
  <c r="E74" i="7" s="1"/>
  <c r="Q42" i="23"/>
  <c r="J25" i="17"/>
  <c r="G29" i="37" s="1"/>
  <c r="M20" i="15"/>
  <c r="E28" i="15"/>
  <c r="M28" i="15" s="1"/>
  <c r="G22" i="37"/>
  <c r="L22" i="37" s="1"/>
  <c r="M22" i="37" s="1"/>
  <c r="S74" i="23"/>
  <c r="E33" i="29"/>
  <c r="G51" i="7"/>
  <c r="E18" i="33"/>
  <c r="E18" i="34" s="1"/>
  <c r="E18" i="32" s="1"/>
  <c r="E25" i="31"/>
  <c r="E20" i="15"/>
  <c r="E23" i="32" l="1"/>
  <c r="E25" i="32" s="1"/>
  <c r="E25" i="34"/>
  <c r="M27" i="37"/>
  <c r="J34" i="17"/>
  <c r="G30" i="37" s="1"/>
  <c r="J45" i="25"/>
  <c r="F31" i="25" s="1"/>
  <c r="G39" i="37" s="1"/>
  <c r="L39" i="37" s="1"/>
  <c r="M39" i="37" s="1"/>
  <c r="G29" i="7"/>
  <c r="E50" i="32"/>
  <c r="E67" i="32"/>
  <c r="I19" i="36"/>
  <c r="I47" i="36" s="1"/>
  <c r="H88" i="12"/>
  <c r="G63" i="12"/>
  <c r="K19" i="36"/>
  <c r="F19" i="37"/>
  <c r="K19" i="37" s="1"/>
  <c r="F43" i="14"/>
  <c r="G16" i="9"/>
  <c r="G94" i="9" s="1"/>
  <c r="G15" i="37" s="1"/>
  <c r="L15" i="37" s="1"/>
  <c r="G94" i="14" s="1"/>
  <c r="M25" i="37"/>
  <c r="E16" i="9"/>
  <c r="G61" i="14"/>
  <c r="E50" i="9"/>
  <c r="E94" i="9" s="1"/>
  <c r="H63" i="12"/>
  <c r="H19" i="36"/>
  <c r="E19" i="37"/>
  <c r="J19" i="37" s="1"/>
  <c r="M19" i="37" s="1"/>
  <c r="E40" i="33"/>
  <c r="E37" i="34" s="1"/>
  <c r="E40" i="32" s="1"/>
  <c r="G26" i="37"/>
  <c r="L26" i="37" s="1"/>
  <c r="G28" i="37"/>
  <c r="E24" i="31"/>
  <c r="E23" i="31" s="1"/>
  <c r="E17" i="31"/>
  <c r="E29" i="34"/>
  <c r="E49" i="32"/>
  <c r="E51" i="32" s="1"/>
  <c r="E48" i="34"/>
  <c r="J54" i="38"/>
  <c r="F35" i="36"/>
  <c r="F34" i="36" s="1"/>
  <c r="F47" i="36" s="1"/>
  <c r="E49" i="7"/>
  <c r="E76" i="7" s="1"/>
  <c r="E29" i="29"/>
  <c r="G72" i="12"/>
  <c r="G88" i="12" s="1"/>
  <c r="F88" i="12"/>
  <c r="H35" i="36"/>
  <c r="H34" i="36" s="1"/>
  <c r="H47" i="36" s="1"/>
  <c r="F18" i="37" s="1"/>
  <c r="K18" i="37" s="1"/>
  <c r="F49" i="7"/>
  <c r="E43" i="14"/>
  <c r="F61" i="14"/>
  <c r="F86" i="14" s="1"/>
  <c r="E42" i="34"/>
  <c r="E39" i="29"/>
  <c r="E62" i="32"/>
  <c r="E41" i="33"/>
  <c r="E38" i="34" s="1"/>
  <c r="E41" i="32" s="1"/>
  <c r="G24" i="37"/>
  <c r="L24" i="37" s="1"/>
  <c r="E32" i="29"/>
  <c r="E31" i="29" s="1"/>
  <c r="K34" i="36"/>
  <c r="K47" i="36" s="1"/>
  <c r="G18" i="37" s="1"/>
  <c r="L18" i="37" s="1"/>
  <c r="E26" i="15"/>
  <c r="G35" i="18"/>
  <c r="G33" i="37" s="1"/>
  <c r="L33" i="37" s="1"/>
  <c r="M33" i="37" s="1"/>
  <c r="G74" i="7"/>
  <c r="F24" i="37"/>
  <c r="K24" i="37" s="1"/>
  <c r="F16" i="9"/>
  <c r="F94" i="9" s="1"/>
  <c r="E61" i="14"/>
  <c r="G17" i="14"/>
  <c r="G16" i="14" s="1"/>
  <c r="G86" i="14" s="1"/>
  <c r="E36" i="34"/>
  <c r="L47" i="36"/>
  <c r="M20" i="37"/>
  <c r="F74" i="7"/>
  <c r="E35" i="36"/>
  <c r="E34" i="36" s="1"/>
  <c r="E47" i="36" s="1"/>
  <c r="E18" i="37" s="1"/>
  <c r="J18" i="37" s="1"/>
  <c r="E28" i="34"/>
  <c r="E28" i="32" s="1"/>
  <c r="E29" i="32" s="1"/>
  <c r="E71" i="32"/>
  <c r="Q74" i="23"/>
  <c r="G38" i="37" s="1"/>
  <c r="L38" i="37" s="1"/>
  <c r="M38" i="37" s="1"/>
  <c r="E28" i="29"/>
  <c r="F26" i="37"/>
  <c r="K26" i="37" s="1"/>
  <c r="M26" i="37" s="1"/>
  <c r="G36" i="37"/>
  <c r="L36" i="37" s="1"/>
  <c r="M36" i="37" s="1"/>
  <c r="E24" i="29" l="1"/>
  <c r="G27" i="7"/>
  <c r="G49" i="7" s="1"/>
  <c r="E19" i="33"/>
  <c r="G21" i="37"/>
  <c r="L21" i="37" s="1"/>
  <c r="M21" i="37" s="1"/>
  <c r="F15" i="37"/>
  <c r="K15" i="37" s="1"/>
  <c r="F94" i="14" s="1"/>
  <c r="E86" i="14"/>
  <c r="E15" i="37" s="1"/>
  <c r="J15" i="37" s="1"/>
  <c r="G35" i="37"/>
  <c r="L35" i="37" s="1"/>
  <c r="M35" i="37" s="1"/>
  <c r="G76" i="7"/>
  <c r="H16" i="12" s="1"/>
  <c r="H42" i="12" s="1"/>
  <c r="H92" i="12" s="1"/>
  <c r="G17" i="37" s="1"/>
  <c r="L17" i="37" s="1"/>
  <c r="M18" i="37"/>
  <c r="E20" i="29"/>
  <c r="E45" i="29" s="1"/>
  <c r="M15" i="37"/>
  <c r="E94" i="14"/>
  <c r="E79" i="7"/>
  <c r="E84" i="7" s="1"/>
  <c r="E16" i="37" s="1"/>
  <c r="J16" i="37" s="1"/>
  <c r="F16" i="12"/>
  <c r="F42" i="12" s="1"/>
  <c r="F92" i="12" s="1"/>
  <c r="E17" i="37" s="1"/>
  <c r="J17" i="37" s="1"/>
  <c r="E31" i="15"/>
  <c r="M26" i="15"/>
  <c r="E44" i="34"/>
  <c r="E45" i="32"/>
  <c r="E47" i="32" s="1"/>
  <c r="E40" i="34"/>
  <c r="E39" i="32"/>
  <c r="E43" i="32" s="1"/>
  <c r="F76" i="7"/>
  <c r="E43" i="33"/>
  <c r="E53" i="33" s="1"/>
  <c r="E57" i="33" s="1"/>
  <c r="M24" i="37"/>
  <c r="E61" i="32"/>
  <c r="G37" i="37"/>
  <c r="L37" i="37" s="1"/>
  <c r="M37" i="37" s="1"/>
  <c r="E16" i="31"/>
  <c r="G79" i="7"/>
  <c r="G84" i="7" s="1"/>
  <c r="E21" i="33" l="1"/>
  <c r="E31" i="33" s="1"/>
  <c r="E35" i="33" s="1"/>
  <c r="E19" i="34"/>
  <c r="E59" i="33"/>
  <c r="E53" i="32"/>
  <c r="E57" i="32" s="1"/>
  <c r="G41" i="37"/>
  <c r="L41" i="37" s="1"/>
  <c r="M41" i="37" s="1"/>
  <c r="G16" i="37"/>
  <c r="L16" i="37" s="1"/>
  <c r="E33" i="31"/>
  <c r="F16" i="31" s="1"/>
  <c r="G16" i="12"/>
  <c r="G42" i="12" s="1"/>
  <c r="G92" i="12" s="1"/>
  <c r="F17" i="37" s="1"/>
  <c r="K17" i="37" s="1"/>
  <c r="M17" i="37" s="1"/>
  <c r="F79" i="7"/>
  <c r="F84" i="7" s="1"/>
  <c r="F16" i="37" s="1"/>
  <c r="K16" i="37" s="1"/>
  <c r="E50" i="34"/>
  <c r="G23" i="37"/>
  <c r="L23" i="37" s="1"/>
  <c r="M23" i="37" s="1"/>
  <c r="M31" i="15"/>
  <c r="E21" i="34" l="1"/>
  <c r="E31" i="34" s="1"/>
  <c r="E19" i="32"/>
  <c r="E21" i="32" s="1"/>
  <c r="E31" i="32" s="1"/>
  <c r="E35" i="32" s="1"/>
  <c r="E59" i="32" s="1"/>
  <c r="E73" i="32" s="1"/>
  <c r="M16" i="37"/>
  <c r="F19" i="31"/>
  <c r="F33" i="31"/>
  <c r="F26" i="31"/>
  <c r="F25" i="31"/>
  <c r="F30" i="31"/>
  <c r="F21" i="31"/>
  <c r="F31" i="31"/>
  <c r="F29" i="31"/>
  <c r="F18" i="31"/>
  <c r="F28" i="31"/>
  <c r="F24" i="31"/>
  <c r="F23" i="31"/>
  <c r="F17" i="31"/>
</calcChain>
</file>

<file path=xl/sharedStrings.xml><?xml version="1.0" encoding="utf-8"?>
<sst xmlns="http://schemas.openxmlformats.org/spreadsheetml/2006/main" count="1922" uniqueCount="1029">
  <si>
    <r>
      <t xml:space="preserve">(4) Cuota de amortización del principal de la deuda, y/o amortización anticipada prevista. (Capital a amortizar). </t>
    </r>
    <r>
      <rPr>
        <b/>
        <sz val="10"/>
        <color indexed="8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</si>
  <si>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</si>
  <si>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</si>
  <si>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</si>
  <si>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</si>
  <si>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</si>
  <si>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</si>
  <si>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</si>
  <si>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</si>
  <si>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Efectivo o equivalentes al comienzo del ejercicio  (1)</t>
  </si>
  <si>
    <r>
      <rPr>
        <sz val="10"/>
        <color indexed="8"/>
        <rFont val="Arial"/>
        <family val="2"/>
      </rPr>
      <t xml:space="preserve">(1) Los datos están referenciados al Activo del Balance de Situación, excepto el dato inicial del periodo n-2 que </t>
    </r>
    <r>
      <rPr>
        <b/>
        <u/>
        <sz val="10"/>
        <color indexed="8"/>
        <rFont val="Arial"/>
        <family val="2"/>
      </rPr>
      <t>debe indicarse manualmente en la celda F94</t>
    </r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</si>
  <si>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</si>
  <si>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</si>
  <si>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</si>
  <si>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</si>
  <si>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indexed="8"/>
        <rFont val="Arial"/>
        <family val="2"/>
      </rPr>
      <t xml:space="preserve"> (Aumento de capital + aportaciones de socios)</t>
    </r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</si>
  <si>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</si>
  <si>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</si>
  <si>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</si>
  <si>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</si>
  <si>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</si>
  <si>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</si>
  <si>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</si>
  <si>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</si>
  <si>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</si>
  <si>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</si>
  <si>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</si>
  <si>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</si>
  <si>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</si>
  <si>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</si>
  <si>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</si>
  <si>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</si>
  <si>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</si>
  <si>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</si>
  <si>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</si>
  <si>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</si>
  <si>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</si>
  <si>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</si>
  <si>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</si>
  <si>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</si>
  <si>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</si>
  <si>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</si>
  <si>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</si>
  <si>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</si>
  <si>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</si>
  <si>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</si>
  <si>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</si>
  <si>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</si>
  <si>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</si>
  <si>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indexed="8"/>
        <rFont val="Arial"/>
        <family val="2"/>
      </rPr>
      <t>positivo</t>
    </r>
  </si>
  <si>
    <t>Oblig Caixabannk</t>
  </si>
  <si>
    <t>Cta Corriente emp vic, fianzas y depósitos</t>
  </si>
  <si>
    <t xml:space="preserve">Ptmo e int devengados </t>
  </si>
  <si>
    <r>
      <t xml:space="preserve">DETALLE DE GASTOS (Cta 678) (3).     Cifras en </t>
    </r>
    <r>
      <rPr>
        <b/>
        <u/>
        <sz val="12"/>
        <color indexed="8"/>
        <rFont val="Arial"/>
        <family val="2"/>
      </rPr>
      <t>negativo</t>
    </r>
  </si>
  <si>
    <t>Imputación de subvenciones capital en PyG (FC-3) = detalle de imputación en FC-9</t>
  </si>
  <si>
    <t>Carlos Enrique Alonso Rodríguez</t>
  </si>
  <si>
    <t xml:space="preserve">Antonio Miguel García Marichal </t>
  </si>
  <si>
    <t>Jesús Bernardos Correa</t>
  </si>
  <si>
    <t>Manuel Fernández Vega</t>
  </si>
  <si>
    <t>Aurelio Abreu Expósito</t>
  </si>
  <si>
    <t>Miguel Ángel Pérez Hernández</t>
  </si>
  <si>
    <t>Miguel Becerra Domínguez</t>
  </si>
  <si>
    <t>José Luis Rivero Plasencia</t>
  </si>
  <si>
    <t>Felix Fariña Rodríguez</t>
  </si>
  <si>
    <t>Gabriel Megias Martinez</t>
  </si>
  <si>
    <t>Manuel Cendagorta-Galarza López</t>
  </si>
  <si>
    <t>Jose Antonio Duque Diaz</t>
  </si>
  <si>
    <t>A</t>
  </si>
  <si>
    <t>B</t>
  </si>
  <si>
    <t>A35313170</t>
  </si>
  <si>
    <t>AUTOCARTERA</t>
  </si>
  <si>
    <t>-</t>
  </si>
  <si>
    <t>Eólicas de Tenerife</t>
  </si>
  <si>
    <t>V38402574</t>
  </si>
  <si>
    <t>Energía Verde de la Macaronesia SL</t>
  </si>
  <si>
    <t>B38927976</t>
  </si>
  <si>
    <t>EVM2 Energías Renovables SL</t>
  </si>
  <si>
    <t>B38927463</t>
  </si>
  <si>
    <t>Solten II Granadilla SA</t>
  </si>
  <si>
    <t>A38928610</t>
  </si>
  <si>
    <t>A=60 / B=9664</t>
  </si>
  <si>
    <t>Parque Eólico Punta de Teno</t>
  </si>
  <si>
    <t>A38555454</t>
  </si>
  <si>
    <t>Parques Eólicos de Granadilla AIE</t>
  </si>
  <si>
    <t>G38799748</t>
  </si>
  <si>
    <t>Instituto Volcanológico de Canarias SAU</t>
  </si>
  <si>
    <t>A-76519925</t>
  </si>
  <si>
    <t>Tech Development Europe SA</t>
  </si>
  <si>
    <t>A38592354</t>
  </si>
  <si>
    <t>Instituto Tecnológico y de Telecomunicaciones de Tenerife SL</t>
  </si>
  <si>
    <t>B-38982310</t>
  </si>
  <si>
    <t>ANCERO AUDITORES, S.L.</t>
  </si>
  <si>
    <t xml:space="preserve">C </t>
  </si>
  <si>
    <t>C</t>
  </si>
  <si>
    <t>P</t>
  </si>
  <si>
    <t>P3800001D</t>
  </si>
  <si>
    <t>Instituto Tecnológico de Canarias</t>
  </si>
  <si>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</si>
  <si>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</si>
  <si>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</si>
  <si>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</si>
  <si>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</si>
  <si>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</si>
  <si>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</si>
  <si>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</si>
  <si>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</si>
  <si>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</si>
  <si>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</si>
  <si>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</si>
  <si>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</si>
  <si>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</si>
  <si>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</si>
  <si>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</si>
  <si>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</si>
  <si>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</si>
  <si>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</si>
  <si>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</si>
  <si>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</si>
  <si>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</si>
  <si>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</si>
  <si>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</si>
  <si>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</si>
  <si>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</si>
  <si>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</si>
  <si>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</si>
  <si>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</si>
  <si>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</si>
  <si>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</si>
  <si>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</si>
  <si>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</si>
  <si>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</si>
  <si>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</si>
  <si>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</si>
  <si>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</si>
  <si>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</si>
  <si>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</si>
  <si>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</si>
  <si>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</si>
  <si>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</si>
  <si>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</si>
  <si>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</si>
  <si>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</si>
  <si>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</si>
  <si>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</si>
  <si>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</si>
  <si>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</si>
  <si>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</si>
  <si>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</si>
  <si>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</si>
  <si>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</si>
  <si>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</si>
  <si>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</si>
  <si>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</si>
  <si>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</si>
  <si>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</si>
  <si>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</si>
  <si>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</si>
  <si>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</si>
  <si>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</si>
  <si>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</si>
  <si>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</si>
  <si>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</si>
  <si>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</si>
  <si>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</si>
  <si>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</si>
  <si>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</si>
  <si>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</si>
  <si>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</si>
  <si>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</si>
  <si>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</si>
  <si>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</si>
  <si>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FC-93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</si>
  <si>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</si>
  <si>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</si>
  <si>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</si>
  <si>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</si>
  <si>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</si>
  <si>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</si>
  <si>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</si>
  <si>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</si>
  <si>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</si>
  <si>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</si>
  <si>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</si>
  <si>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</si>
  <si>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</si>
  <si>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</si>
  <si>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</si>
  <si>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</si>
  <si>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</si>
  <si>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</si>
  <si>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</si>
  <si>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</si>
  <si>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</si>
  <si>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</si>
  <si>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</si>
  <si>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</si>
  <si>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</si>
  <si>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</si>
  <si>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</si>
  <si>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</si>
  <si>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</si>
  <si>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</si>
  <si>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</si>
  <si>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</si>
  <si>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</si>
  <si>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</si>
  <si>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</si>
  <si>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</si>
  <si>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</si>
  <si>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</si>
  <si>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</si>
  <si>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</si>
  <si>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</si>
  <si>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</si>
  <si>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</si>
  <si>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</si>
  <si>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</si>
  <si>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</si>
  <si>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</si>
  <si>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</si>
  <si>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</si>
  <si>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</si>
  <si>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</si>
  <si>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</si>
  <si>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</si>
  <si>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</si>
  <si>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</si>
  <si>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</si>
  <si>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</si>
  <si>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</si>
  <si>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</si>
  <si>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</si>
  <si>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</si>
  <si>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</si>
  <si>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</si>
  <si>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</si>
  <si>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</si>
  <si>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</si>
  <si>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</si>
  <si>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</si>
  <si>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</si>
  <si>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</si>
  <si>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</si>
  <si>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</si>
  <si>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</si>
  <si>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</si>
  <si>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</si>
  <si>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</si>
  <si>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</si>
  <si>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</si>
  <si>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</si>
  <si>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</si>
  <si>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</si>
  <si>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</si>
  <si>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</si>
  <si>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</si>
  <si>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</si>
  <si>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</si>
  <si>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</si>
  <si>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</si>
  <si>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</si>
  <si>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</si>
  <si>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</si>
  <si>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</si>
  <si>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</si>
  <si>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</si>
  <si>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</si>
  <si>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</si>
  <si>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</si>
  <si>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</si>
  <si>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</si>
  <si>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</si>
  <si>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</si>
  <si>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</si>
  <si>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</si>
  <si>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</si>
  <si>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</si>
  <si>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</si>
  <si>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</si>
  <si>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</si>
  <si>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</si>
  <si>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</si>
  <si>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</si>
  <si>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</si>
  <si>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</si>
  <si>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</si>
  <si>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</si>
  <si>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</si>
  <si>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</si>
  <si>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</si>
  <si>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</si>
  <si>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</si>
  <si>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</si>
  <si>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</si>
  <si>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</si>
  <si>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</si>
  <si>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</si>
  <si>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</si>
  <si>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</si>
  <si>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</si>
  <si>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</si>
  <si>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</si>
  <si>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</si>
  <si>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</si>
  <si>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</si>
  <si>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</si>
  <si>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</si>
  <si>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</si>
  <si>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</si>
  <si>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</si>
  <si>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</si>
  <si>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</si>
  <si>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</si>
  <si>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</si>
  <si>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</si>
  <si>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</si>
  <si>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</si>
  <si>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</si>
  <si>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</si>
  <si>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</si>
  <si>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</si>
  <si>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</si>
  <si>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</si>
  <si>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</si>
  <si>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</si>
  <si>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</si>
  <si>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</si>
  <si>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</si>
  <si>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</si>
  <si>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</si>
  <si>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</si>
  <si>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</si>
  <si>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</si>
  <si>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</si>
  <si>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</si>
  <si>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</si>
  <si>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</si>
  <si>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</si>
  <si>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</si>
  <si>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</si>
  <si>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</si>
  <si>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</si>
  <si>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</si>
  <si>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</si>
  <si>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</si>
  <si>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</si>
  <si>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</si>
  <si>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</si>
  <si>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</si>
  <si>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</si>
  <si>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</si>
  <si>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</si>
  <si>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</si>
  <si>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</si>
  <si>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</si>
  <si>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</si>
  <si>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</si>
  <si>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</si>
  <si>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</si>
  <si>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</si>
  <si>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</si>
  <si>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</si>
  <si>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</si>
  <si>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</si>
  <si>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</si>
  <si>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</si>
  <si>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</si>
  <si>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</si>
  <si>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</si>
  <si>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</si>
  <si>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</si>
  <si>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</si>
  <si>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</si>
  <si>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</si>
  <si>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</si>
  <si>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</si>
  <si>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</si>
  <si>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</si>
  <si>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</si>
  <si>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</si>
  <si>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</si>
  <si>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</si>
  <si>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</si>
  <si>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</si>
  <si>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</si>
  <si>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</si>
  <si>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</si>
  <si>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</si>
  <si>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</si>
  <si>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</si>
  <si>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</si>
  <si>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</si>
  <si>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</si>
  <si>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</si>
  <si>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</si>
  <si>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</si>
  <si>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</si>
  <si>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</si>
  <si>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</si>
  <si>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</si>
  <si>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</si>
  <si>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</si>
  <si>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</si>
  <si>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</si>
  <si>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</si>
  <si>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</si>
  <si>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</si>
  <si>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</si>
  <si>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</si>
  <si>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</si>
  <si>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</si>
  <si>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</si>
  <si>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</si>
  <si>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</si>
  <si>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</si>
  <si>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</si>
  <si>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</si>
  <si>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</si>
  <si>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>ESTADO DE FLUJOS DE EFECTIVO</t>
  </si>
  <si>
    <t>A) FLUJOS DE EFECTIVO DE LAS ACTIVIDADES DE EXPLOTACIÓN</t>
  </si>
  <si>
    <t>1. Resultado del ejercicio antes de impuestos</t>
  </si>
  <si>
    <t>2. Ajustes del resultado</t>
  </si>
  <si>
    <t>a) Amortización del inmovilizado (+)</t>
  </si>
  <si>
    <t>b) Correcciones valorativas por deterioro (+/-)</t>
  </si>
  <si>
    <t>c) Variaciones de provisiones (+/-)</t>
  </si>
  <si>
    <t>d) Imputación de subvenciones (-)</t>
  </si>
  <si>
    <t>e) Resultados por bajas y enajenaciones del inmovilizado (+/-)</t>
  </si>
  <si>
    <t>f) Resultados por bajas y enajenaciones de instrumentos financieros (+/-)</t>
  </si>
  <si>
    <t>g) Ingresos financieros (-)</t>
  </si>
  <si>
    <t>h) Gastos financieros (+)</t>
  </si>
  <si>
    <t>i) Diferencias de cambio (+/-)</t>
  </si>
  <si>
    <t>j) Variación de valor razonable en instrumentos financieros (+/-)</t>
  </si>
  <si>
    <t>k) Otros ingresos y gastos (-/+)</t>
  </si>
  <si>
    <t>3. Cambios en el capital corriente</t>
  </si>
  <si>
    <t>a) Existencias (+/-)</t>
  </si>
  <si>
    <t>b) Deudores y otras cuentas a cobrar (+/-)</t>
  </si>
  <si>
    <t>c) Otros activos corrientes (+/-)</t>
  </si>
  <si>
    <t>d) Acreedores y otras cuentas a pagar (+/-)</t>
  </si>
  <si>
    <t>e) Otros pasivos corrientes (+/-)</t>
  </si>
  <si>
    <t>f) Otros activos y pasivos no corrientes (+/-)</t>
  </si>
  <si>
    <t>4. Otros flujos de efectivo de las actividades de explotación</t>
  </si>
  <si>
    <t>a) Pagos de intereses (-)</t>
  </si>
  <si>
    <t>b) Cobro de dividendos (+)</t>
  </si>
  <si>
    <t>c) Cobro de intereses (+)</t>
  </si>
  <si>
    <t>d) Cobros (pagos) por impuesto sobre beneficios (+/-)</t>
  </si>
  <si>
    <t>e) Otros pagos (cobros) (-/+)</t>
  </si>
  <si>
    <t>5. Flujos de efectivo de las actividades de explotación ( 1 + 2 + 3 + 4 )</t>
  </si>
  <si>
    <t>B) FLUJOS DE EFECTIVO DE LAS ACTIVIDADES DE INVERSIÓN</t>
  </si>
  <si>
    <t>6. Pagos por inversiones (-)</t>
  </si>
  <si>
    <t>a) Empresas del grupo y asociadas</t>
  </si>
  <si>
    <t>b) Inmovilizado intangible</t>
  </si>
  <si>
    <t>c) Inmovilizado material</t>
  </si>
  <si>
    <t>d) Inversiones inmobiliarias</t>
  </si>
  <si>
    <t>e) Otros activos financieros</t>
  </si>
  <si>
    <t>f) Activos no corrientes mantenidos para la venta</t>
  </si>
  <si>
    <t>Financ Pq Eólicos</t>
  </si>
  <si>
    <t>7. Cobros por desinversiones (+)</t>
  </si>
  <si>
    <t>8. Flujos de efectivo de las actividades de inversión ( 6 +7 )</t>
  </si>
  <si>
    <t>C) FLUJOS DE EFECTIVO DE LAS ACTIVIDADES DE FINANCIACIÓN</t>
  </si>
  <si>
    <t>9. Cobros y pagos por instrumentos financieros</t>
  </si>
  <si>
    <t>a) Emisión de instrumentos de patrimonio (+)</t>
  </si>
  <si>
    <t>b) Amortización de instrumentos de patrimonio (-)</t>
  </si>
  <si>
    <t>d) Enajenación de instrumentos de patrimonio propio (+)</t>
  </si>
  <si>
    <t>e) Subvenciones, donaciones y legados recibidos (+)</t>
  </si>
  <si>
    <t>10. Cobros y pagos por instrumentos de pasivo financiero</t>
  </si>
  <si>
    <t>a) Emisión</t>
  </si>
  <si>
    <t>1. Obligaciones y otros valores negociables (+)</t>
  </si>
  <si>
    <t>2. Deudas con entidades de crédito (+)</t>
  </si>
  <si>
    <t>3. Deudas con empresas del grupo y asociadas (+)</t>
  </si>
  <si>
    <t>4. Deudas con características especiales (+)</t>
  </si>
  <si>
    <t>5. Otras deudas (+)</t>
  </si>
  <si>
    <t>b) Devolución y amortización de</t>
  </si>
  <si>
    <t>11. Pagos por dividendos y remuneraciones de otros instrumentos de patrimonio</t>
  </si>
  <si>
    <t>a) Dividendos (-)</t>
  </si>
  <si>
    <t>b) Remuneración de otros instrumentos de patrimonio (-)</t>
  </si>
  <si>
    <t>D) EFECTO DE LAS VARIACIONES DE LOS TIPOS DE CAMBIO</t>
  </si>
  <si>
    <t>Efectivo o equivalentes al final del ejercicio</t>
  </si>
  <si>
    <t xml:space="preserve">    Área de Presidencia</t>
  </si>
  <si>
    <t xml:space="preserve">    Dirección Insular de Hacienda</t>
  </si>
  <si>
    <t>12. Flujos de efectivo de las actividades de financiación ( 9 + 10 + 11)</t>
  </si>
  <si>
    <t>E) AUMENTO / DISMINUCIÓN NETA DEL EFECTIVO O EQUIVALENTES  ( 5+8+12+D )</t>
  </si>
  <si>
    <t>g) Unidades de negocio</t>
  </si>
  <si>
    <t>h) Otros activos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</si>
  <si>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</si>
  <si>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</si>
  <si>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</si>
  <si>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</si>
  <si>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</si>
  <si>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</si>
  <si>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</si>
  <si>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</si>
  <si>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</si>
  <si>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</si>
  <si>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</si>
  <si>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</si>
  <si>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</si>
  <si>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</si>
  <si>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</si>
  <si>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</si>
  <si>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</si>
  <si>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</si>
  <si>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</si>
  <si>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</si>
  <si>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</si>
  <si>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</si>
  <si>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</si>
  <si>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</si>
  <si>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</si>
  <si>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</si>
  <si>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</si>
  <si>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</si>
  <si>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</si>
  <si>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</si>
  <si>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</si>
  <si>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</si>
  <si>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indexed="8"/>
        <rFont val="Arial"/>
        <family val="2"/>
      </rPr>
      <t>(1)</t>
    </r>
  </si>
  <si>
    <r>
      <t xml:space="preserve">Saldo final </t>
    </r>
    <r>
      <rPr>
        <b/>
        <sz val="9"/>
        <color indexed="8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</si>
  <si>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</si>
  <si>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</si>
  <si>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</si>
  <si>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</si>
  <si>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</si>
  <si>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</si>
  <si>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</si>
  <si>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</si>
  <si>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</si>
  <si>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</si>
  <si>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</si>
  <si>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</si>
  <si>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</si>
  <si>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</si>
  <si>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</si>
  <si>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</si>
  <si>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</si>
  <si>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</si>
  <si>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</si>
  <si>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</si>
  <si>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</si>
  <si>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</si>
  <si>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</si>
  <si>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</si>
  <si>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</si>
  <si>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</si>
  <si>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</si>
  <si>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</si>
  <si>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</si>
  <si>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</si>
  <si>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</si>
  <si>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</si>
  <si>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</si>
  <si>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</si>
  <si>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</si>
  <si>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</si>
  <si>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</si>
  <si>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</si>
  <si>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</si>
  <si>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</si>
  <si>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</si>
  <si>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</si>
  <si>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</si>
  <si>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</si>
  <si>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</si>
  <si>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</si>
  <si>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</si>
  <si>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</si>
  <si>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</si>
  <si>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</si>
  <si>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</si>
  <si>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</si>
  <si>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indexed="8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</si>
  <si>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</si>
  <si>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</si>
  <si>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</si>
  <si>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</si>
  <si>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indexed="8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</si>
  <si>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</si>
  <si>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</si>
  <si>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</si>
  <si>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</si>
  <si>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</si>
  <si>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</si>
  <si>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</si>
  <si>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</si>
  <si>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</si>
  <si>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</si>
  <si>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</si>
  <si>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</si>
  <si>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</si>
  <si>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</si>
  <si>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</si>
  <si>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</si>
  <si>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</si>
  <si>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</si>
  <si>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</si>
  <si>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</si>
  <si>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</si>
  <si>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</si>
  <si>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</si>
  <si>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</si>
  <si>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</si>
  <si>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</si>
  <si>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</si>
  <si>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</si>
  <si>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</si>
  <si>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</si>
  <si>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</si>
  <si>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</si>
  <si>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</si>
  <si>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</si>
  <si>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</si>
  <si>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</si>
  <si>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</si>
  <si>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</si>
  <si>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</si>
  <si>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</si>
  <si>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</si>
  <si>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</si>
  <si>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</si>
  <si>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</si>
  <si>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</si>
  <si>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</si>
  <si>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</si>
  <si>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</si>
  <si>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</si>
  <si>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</si>
  <si>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</si>
  <si>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</si>
  <si>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</si>
  <si>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t>Equipos Proy Sosturmac</t>
  </si>
  <si>
    <t>Equipos Genómica</t>
  </si>
  <si>
    <t>UE - Subv Proy invest gases</t>
  </si>
  <si>
    <t>MEC - Ay Doctorado Industrial</t>
  </si>
  <si>
    <t>MEC - Reintegro parcial subv proy AISOVOL 2016</t>
  </si>
  <si>
    <r>
      <rPr>
        <b/>
        <sz val="12"/>
        <color indexed="8"/>
        <rFont val="Arial"/>
        <family val="2"/>
      </rPr>
      <t>Todas los datos económicos deben expresarse en EUROS</t>
    </r>
    <r>
      <rPr>
        <sz val="12"/>
        <color indexed="8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</si>
  <si>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</si>
  <si>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</si>
  <si>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</si>
  <si>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</si>
  <si>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</si>
  <si>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</si>
  <si>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</si>
  <si>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</si>
  <si>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</si>
  <si>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</si>
  <si>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</si>
  <si>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</si>
  <si>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</si>
  <si>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</si>
  <si>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</si>
  <si>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</si>
  <si>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</si>
  <si>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</si>
  <si>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</si>
  <si>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</si>
  <si>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</si>
  <si>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</si>
  <si>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</si>
  <si>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</si>
  <si>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</si>
  <si>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</si>
  <si>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</si>
  <si>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</si>
  <si>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</si>
  <si>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</si>
  <si>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</si>
  <si>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</si>
  <si>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</si>
  <si>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</si>
  <si>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</si>
  <si>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</si>
  <si>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</si>
  <si>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</si>
  <si>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</si>
  <si>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</si>
  <si>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</si>
  <si>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</si>
  <si>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</si>
  <si>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</si>
  <si>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</si>
  <si>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</si>
  <si>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</si>
  <si>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</si>
  <si>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</si>
  <si>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</si>
  <si>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</si>
  <si>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</si>
  <si>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</si>
  <si>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</si>
  <si>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</si>
  <si>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</si>
  <si>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</si>
  <si>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</si>
  <si>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</si>
  <si>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</si>
  <si>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</si>
  <si>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</si>
  <si>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</si>
  <si>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</si>
  <si>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</si>
  <si>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</si>
  <si>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</si>
  <si>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</si>
  <si>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</si>
  <si>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</si>
  <si>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</si>
  <si>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</si>
  <si>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</si>
  <si>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</si>
  <si>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</si>
  <si>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</si>
  <si>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</si>
  <si>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</si>
  <si>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</si>
  <si>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</si>
  <si>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</si>
  <si>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</si>
  <si>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</si>
  <si>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</si>
  <si>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</si>
  <si>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</si>
  <si>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</si>
  <si>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</si>
  <si>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</si>
  <si>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</si>
  <si>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</si>
  <si>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</si>
  <si>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</si>
  <si>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</si>
  <si>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</si>
  <si>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</si>
  <si>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</si>
  <si>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</si>
  <si>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</si>
  <si>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</si>
  <si>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</si>
  <si>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</si>
  <si>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</si>
  <si>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</si>
  <si>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</si>
  <si>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</si>
  <si>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</si>
  <si>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</si>
  <si>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</si>
  <si>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</si>
  <si>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</si>
  <si>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</si>
  <si>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</si>
  <si>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</si>
  <si>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</si>
  <si>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</si>
  <si>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</si>
  <si>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</si>
  <si>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</si>
  <si>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</si>
  <si>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</si>
  <si>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</si>
  <si>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</si>
  <si>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</si>
  <si>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</si>
  <si>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</si>
  <si>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</si>
  <si>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</si>
  <si>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</si>
  <si>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</si>
  <si>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</si>
  <si>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</si>
  <si>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</si>
  <si>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</si>
  <si>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</si>
  <si>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</si>
  <si>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</si>
  <si>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</si>
  <si>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</si>
  <si>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</si>
  <si>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</si>
  <si>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</si>
  <si>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</si>
  <si>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</si>
  <si>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</si>
  <si>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</si>
  <si>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</si>
  <si>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Aumento/disminución neta efectivo = variación efectivo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</si>
  <si>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</si>
  <si>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</si>
  <si>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</si>
  <si>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</si>
  <si>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</si>
  <si>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</si>
  <si>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</si>
  <si>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</si>
  <si>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</si>
  <si>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</si>
  <si>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</si>
  <si>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</si>
  <si>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</si>
  <si>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</si>
  <si>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</si>
  <si>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</si>
  <si>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</si>
  <si>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</si>
  <si>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</si>
  <si>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</si>
  <si>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</si>
  <si>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indexed="8"/>
        <rFont val="Arial"/>
        <family val="2"/>
      </rPr>
      <t>14</t>
    </r>
  </si>
  <si>
    <r>
      <t>FC-</t>
    </r>
    <r>
      <rPr>
        <sz val="12"/>
        <color indexed="8"/>
        <rFont val="Arial"/>
        <family val="2"/>
      </rPr>
      <t>15</t>
    </r>
  </si>
  <si>
    <r>
      <t>FC-</t>
    </r>
    <r>
      <rPr>
        <sz val="12"/>
        <color indexed="8"/>
        <rFont val="Arial"/>
        <family val="2"/>
      </rPr>
      <t>16</t>
    </r>
  </si>
  <si>
    <r>
      <t>FC-</t>
    </r>
    <r>
      <rPr>
        <sz val="12"/>
        <color indexed="8"/>
        <rFont val="Arial"/>
        <family val="2"/>
      </rPr>
      <t>17</t>
    </r>
  </si>
  <si>
    <r>
      <t>Deuda a</t>
    </r>
    <r>
      <rPr>
        <sz val="12"/>
        <color indexed="8"/>
        <rFont val="Arial"/>
        <family val="2"/>
      </rPr>
      <t xml:space="preserve"> corto y</t>
    </r>
    <r>
      <rPr>
        <sz val="12"/>
        <color indexed="8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</si>
  <si>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</si>
  <si>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</si>
  <si>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</si>
  <si>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</si>
  <si>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</si>
  <si>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</si>
  <si>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</si>
  <si>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</si>
  <si>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</si>
  <si>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</si>
  <si>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</si>
  <si>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</si>
  <si>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</si>
  <si>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</si>
  <si>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</si>
  <si>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1. Obligaciones y otros valores negociables (-)</t>
  </si>
  <si>
    <t>2. Deudas con entidades de crédito (-)</t>
  </si>
  <si>
    <t>3. Deudas con empresas del grupo y asociadas (-)</t>
  </si>
  <si>
    <t>4. Deudas con características especiales (-)</t>
  </si>
  <si>
    <t>5. Otras deudas (-)</t>
  </si>
  <si>
    <r>
      <t>c) Adquisición de instrumentos de patrimonio propio (</t>
    </r>
    <r>
      <rPr>
        <sz val="12"/>
        <color indexed="8"/>
        <rFont val="Arial"/>
        <family val="2"/>
      </rPr>
      <t>-</t>
    </r>
    <r>
      <rPr>
        <sz val="12"/>
        <color indexed="8"/>
        <rFont val="Arial"/>
        <family val="2"/>
      </rPr>
      <t>)</t>
    </r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</si>
  <si>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</si>
  <si>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</si>
  <si>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</si>
  <si>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</si>
  <si>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</si>
  <si>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</si>
  <si>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</si>
  <si>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</si>
  <si>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</si>
  <si>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</si>
  <si>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</si>
  <si>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</si>
  <si>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</si>
  <si>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</si>
  <si>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</si>
  <si>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ACTIVO FIJO FINANCIERO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</si>
  <si>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</si>
  <si>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</si>
  <si>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indexed="8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</si>
  <si>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</si>
  <si>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</si>
  <si>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</si>
  <si>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</si>
  <si>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</si>
  <si>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</si>
  <si>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</si>
  <si>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</si>
  <si>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</si>
  <si>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</si>
  <si>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</si>
  <si>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</si>
  <si>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</si>
  <si>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</si>
  <si>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</si>
  <si>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</si>
  <si>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</si>
  <si>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</si>
  <si>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</si>
  <si>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</si>
  <si>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</si>
  <si>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</si>
  <si>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</si>
  <si>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</si>
  <si>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</si>
  <si>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</si>
  <si>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</si>
  <si>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</si>
  <si>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</si>
  <si>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</si>
  <si>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</si>
  <si>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</si>
  <si>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</si>
  <si>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</si>
  <si>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</si>
  <si>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indexed="8"/>
        <rFont val="Arial"/>
        <family val="2"/>
      </rPr>
      <t>"SUBVENCIONES"</t>
    </r>
    <r>
      <rPr>
        <b/>
        <sz val="14"/>
        <color indexed="8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</si>
  <si>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</si>
  <si>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indexed="8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</si>
  <si>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</si>
  <si>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indexed="8"/>
        <rFont val="Arial"/>
        <family val="2"/>
      </rPr>
      <t>.</t>
    </r>
    <r>
      <rPr>
        <sz val="12"/>
        <color indexed="8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</si>
  <si>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</si>
  <si>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</si>
  <si>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</si>
  <si>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indexed="8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</si>
  <si>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</si>
  <si>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</si>
  <si>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</si>
  <si>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</si>
  <si>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</si>
  <si>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</si>
  <si>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</si>
  <si>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</si>
  <si>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Pago dupl mod 111 jun15 solten II-comp en ITER</t>
  </si>
  <si>
    <t>Donativo Cruz Roja 2016</t>
  </si>
  <si>
    <t>Mod 993 Gob Can</t>
  </si>
  <si>
    <t>Liq Prov Apremio mod 220</t>
  </si>
  <si>
    <t>Int cuota EUC Pol Gran</t>
  </si>
  <si>
    <t>Infraestruturas</t>
  </si>
  <si>
    <t>Sistemas de acumulación y gestión de carga</t>
  </si>
  <si>
    <t>Sistema de climatización del CPD D-ALIX</t>
  </si>
  <si>
    <t>Parques Eólicos Granadilla y Arico</t>
  </si>
  <si>
    <t>FV Arico 5+5</t>
  </si>
  <si>
    <t>Inversiones generales</t>
  </si>
  <si>
    <t>Equipos Proy Seafuel</t>
  </si>
  <si>
    <t>Actualización superordenador + Genómica</t>
  </si>
  <si>
    <t xml:space="preserve">Equipos y Software Proy TDT 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</si>
  <si>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</si>
  <si>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</si>
  <si>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</si>
  <si>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</si>
  <si>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indexed="8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</si>
  <si>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</si>
  <si>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</si>
  <si>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</si>
  <si>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</si>
  <si>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</si>
  <si>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</si>
  <si>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</si>
  <si>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</si>
  <si>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</si>
  <si>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</si>
  <si>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</si>
  <si>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</si>
  <si>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INSTITUTO TECNOLOGICO Y DE TELECOMUNICACIONES DE TENERIFE, SL</t>
  </si>
  <si>
    <t>INSTITUTO VOLCANOLOGICO DE CANARIAS SA</t>
  </si>
  <si>
    <t>EÓLICAS DE TENERIFE</t>
  </si>
  <si>
    <t>ENERGIA VERDE DE LA MACARONESIA, SL</t>
  </si>
  <si>
    <t>EVM2 ENERGIAS RENOVABLES, SL</t>
  </si>
  <si>
    <t>SOLTEN II GRANADILLA, SA</t>
  </si>
  <si>
    <t>PARQUES EOLICOS DE GRANADILLA AIE</t>
  </si>
  <si>
    <t>Desemb pdte *180,000</t>
  </si>
  <si>
    <t>CDAD DE AGUAS UNION NORTE</t>
  </si>
  <si>
    <t>PARQUE EOLICOS PUNTA DE TENO</t>
  </si>
  <si>
    <t>CAIXA BANK</t>
  </si>
  <si>
    <t>Creditos L/P: CB REGAI y Personal</t>
  </si>
  <si>
    <t>Fianzas y Depósitos</t>
  </si>
  <si>
    <t>Créditos a empresas: Créditos fical emp Grupo Consolidado</t>
  </si>
  <si>
    <t>C/C con empresas grupo y asociadas</t>
  </si>
  <si>
    <t>Baltén</t>
  </si>
  <si>
    <t>Canarias Submarine Link</t>
  </si>
  <si>
    <t>Metropolitano de Tenerife</t>
  </si>
  <si>
    <t>IT3</t>
  </si>
  <si>
    <t>IVC</t>
  </si>
  <si>
    <t>Agencia Insular Energia</t>
  </si>
  <si>
    <t>Pol. Ind. Granadilla</t>
  </si>
  <si>
    <t>Eolicas de Tenerife</t>
  </si>
  <si>
    <t>Ayto. Granadilla</t>
  </si>
  <si>
    <t>Ayto. Adeje</t>
  </si>
  <si>
    <t xml:space="preserve">ECIT - Aport Esp Prog Tfe-Innova-Proy Tfe vinos 2017 </t>
  </si>
  <si>
    <t xml:space="preserve">ECIT - Aport Esp Prog Tfe-Innova-Proy Tfe Salinizacion Acuiferos </t>
  </si>
  <si>
    <t>UE - Subv Proy Volriskmac</t>
  </si>
  <si>
    <t>UE - Subv Proy Sosturmac</t>
  </si>
  <si>
    <t>ECIT - Genómica Cabidlo</t>
  </si>
  <si>
    <t>ECIT - Equipamiento para la prestación del servicio de la TDT</t>
  </si>
  <si>
    <t>ECIT</t>
  </si>
  <si>
    <t>UE</t>
  </si>
  <si>
    <t xml:space="preserve">MEC -Ag Invest. - Torres Qyevedo 2017-2019 </t>
  </si>
  <si>
    <t>MEC</t>
  </si>
  <si>
    <t>MEC - Ay Contratación Personal Tecnico  Apoyo 2017</t>
  </si>
  <si>
    <t>MECD-Ay Fromacion profesorado 2017</t>
  </si>
  <si>
    <t>MECD</t>
  </si>
  <si>
    <t>MEC - RETOS Proy Heliodron 2017</t>
  </si>
  <si>
    <t>MEC - RETOS Proy Vertegas 2017</t>
  </si>
  <si>
    <t>MEC - RETOS Proy Spiterm 2016</t>
  </si>
  <si>
    <t>MEC - RETOS Proy Simmula 2016</t>
  </si>
  <si>
    <t>MEC - Aydas Proy AISOVOL (2017)</t>
  </si>
  <si>
    <t>MEC - CDTI Feder Interconect-Proy Smartlodgin4guest 2016</t>
  </si>
  <si>
    <t>AECID Proy Filipinas 2017</t>
  </si>
  <si>
    <t>MAEC</t>
  </si>
  <si>
    <t>UE - Subv Proy Geoatlantic</t>
  </si>
  <si>
    <t>UE - Subv Proy Seafuel</t>
  </si>
  <si>
    <t>ECIT - Subv Proy Electrif rural Senegal (2017)</t>
  </si>
  <si>
    <t>ECIT - Aport Esp Prog Tfe-Innova Proy Tenair</t>
  </si>
  <si>
    <t>ECIT - Aport Esp Prog Tfe-Innova Proy Aires Tfe</t>
  </si>
  <si>
    <t>ECIT - Proy CEDEI 2014-17 ene 17-may 17</t>
  </si>
  <si>
    <t>ECIT - Subv Cabildo Proy serv Electr Ayuntamientos</t>
  </si>
  <si>
    <t>ECIT -Subv Cabildo Gob Abierto</t>
  </si>
  <si>
    <t>ECIT -Subv Cabildo Canal TV</t>
  </si>
  <si>
    <t>ECIT - Producción de contenidos audiovisuales – TDT</t>
  </si>
  <si>
    <t>ECIT - Aportación corriente para la prestación del Servicio de la TDT</t>
  </si>
  <si>
    <t>Ampliación Capital</t>
  </si>
  <si>
    <t>Banesto</t>
  </si>
  <si>
    <t>Caixabank S.A. (NAP)</t>
  </si>
  <si>
    <t>Préstamo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</si>
  <si>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</si>
  <si>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</si>
  <si>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</si>
  <si>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</si>
  <si>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</si>
  <si>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</si>
  <si>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</si>
  <si>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</si>
  <si>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</si>
  <si>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</si>
  <si>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</si>
  <si>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</si>
  <si>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</si>
  <si>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</si>
  <si>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</si>
  <si>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indexed="8"/>
        <rFont val="Arial"/>
        <family val="2"/>
      </rPr>
      <t>(si/no)</t>
    </r>
  </si>
  <si>
    <t>4632</t>
  </si>
  <si>
    <t>74142</t>
  </si>
  <si>
    <t>9261</t>
  </si>
  <si>
    <t>4391</t>
  </si>
  <si>
    <t>4633</t>
  </si>
  <si>
    <t>44931</t>
  </si>
  <si>
    <t>3343</t>
  </si>
  <si>
    <t>0702</t>
  </si>
  <si>
    <t>0711</t>
  </si>
  <si>
    <t>0911</t>
  </si>
  <si>
    <t>0731</t>
  </si>
  <si>
    <r>
      <t>170</t>
    </r>
    <r>
      <rPr>
        <sz val="12"/>
        <color indexed="8"/>
        <rFont val="Arial"/>
        <family val="2"/>
      </rPr>
      <t>/520</t>
    </r>
  </si>
  <si>
    <t>VARIACIÓN ACTIVO POR IMPUESTO DIFERIDO</t>
  </si>
  <si>
    <t>VARIACIÓN DEL PATRIMONIO NETO - IMPUTACIÓN DE SUBVENCIONES</t>
  </si>
  <si>
    <t>INSTITUTO TECNOLÓGICO Y DE ENERGÍAS RENOVALBES S.A. (ITER)</t>
  </si>
  <si>
    <r>
      <t xml:space="preserve">      En las notas siguientes, cuando se refiere a</t>
    </r>
    <r>
      <rPr>
        <b/>
        <sz val="8"/>
        <color indexed="8"/>
        <rFont val="Arial"/>
        <family val="2"/>
      </rPr>
      <t xml:space="preserve"> importes estimados</t>
    </r>
    <r>
      <rPr>
        <sz val="8"/>
        <color indexed="8"/>
        <rFont val="Arial"/>
        <family val="2"/>
      </rPr>
      <t xml:space="preserve"> son los correspondientes a:</t>
    </r>
  </si>
  <si>
    <r>
      <t>Cuando se refiere a</t>
    </r>
    <r>
      <rPr>
        <b/>
        <sz val="8"/>
        <color indexed="8"/>
        <rFont val="Arial"/>
        <family val="2"/>
      </rPr>
      <t xml:space="preserve"> importes previsibles</t>
    </r>
    <r>
      <rPr>
        <sz val="8"/>
        <color indexed="8"/>
        <rFont val="Arial"/>
        <family val="2"/>
      </rPr>
      <t xml:space="preserve"> son los correspondientes a:</t>
    </r>
  </si>
  <si>
    <r>
      <t xml:space="preserve">(7) Se indicarán los importes de las </t>
    </r>
    <r>
      <rPr>
        <sz val="8"/>
        <rFont val="Arial"/>
        <family val="2"/>
      </rPr>
      <t>aportaciones genéricas</t>
    </r>
    <r>
      <rPr>
        <sz val="8"/>
        <color indexed="8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</si>
  <si>
    <t>ECIT - Aportación esp.Ptcion SS electrónicos a Aytos</t>
  </si>
  <si>
    <t>0714</t>
  </si>
  <si>
    <t>9221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</si>
</sst>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yy"/>
    <numFmt numFmtId="165" formatCode="dd\-mm\-yy;@"/>
    <numFmt numFmtId="166" formatCode="_-* #,##0.00\ [$€]_-;\-* #,##0.00\ [$€]_-;_-* &quot;-&quot;??\ [$€]_-;_-@_-"/>
  </numFmts>
  <fonts count="59">
    <font>
      <sz val="12"/>
      <color theme="1"/>
      <name val="Helvetica"/>
      <family val="2"/>
    </font>
    <font>
      <sz val="12"/>
      <color indexed="8"/>
      <name val="Arial"/>
      <family val="2"/>
    </font>
    <font>
      <sz val="12"/>
      <color indexed="8"/>
      <name val="Arial"/>
      <family val="2"/>
      <charset val="134"/>
    </font>
    <font>
      <sz val="12"/>
      <color indexed="8"/>
      <name val="Arial"/>
      <family val="2"/>
      <charset val="134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22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Helvetica"/>
      <family val="2"/>
    </font>
    <font>
      <sz val="10"/>
      <color indexed="55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1"/>
      <color indexed="8"/>
      <name val="Arial"/>
      <family val="2"/>
    </font>
    <font>
      <b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Arial"/>
      <family val="2"/>
    </font>
    <font>
      <sz val="12"/>
      <color indexed="8"/>
      <name val="Helvetica"/>
      <family val="2"/>
    </font>
    <font>
      <sz val="12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4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indexed="8"/>
      <name val="Arial"/>
      <family val="2"/>
    </font>
    <font>
      <b/>
      <i/>
      <sz val="12"/>
      <color indexed="8"/>
      <name val="Arial"/>
      <family val="2"/>
    </font>
    <font>
      <sz val="10"/>
      <color indexed="10"/>
      <name val="Arial"/>
      <family val="2"/>
    </font>
    <font>
      <b/>
      <i/>
      <sz val="14"/>
      <color indexed="8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u/>
      <sz val="10"/>
      <color indexed="8"/>
      <name val="Arial"/>
      <family val="2"/>
    </font>
    <font>
      <b/>
      <sz val="14"/>
      <color indexed="10"/>
      <name val="Arial"/>
      <family val="2"/>
    </font>
    <font>
      <b/>
      <u/>
      <sz val="12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u/>
      <sz val="12"/>
      <color theme="10"/>
      <name val="Helvetica"/>
      <family val="2"/>
    </font>
    <font>
      <u/>
      <sz val="12"/>
      <color theme="11"/>
      <name val="Helvetica"/>
      <family val="2"/>
    </font>
    <font>
      <b/>
      <sz val="8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26"/>
      </patternFill>
    </fill>
  </fills>
  <borders count="104">
    <border>
      <left/>
      <right/>
      <top/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/>
      <bottom style="medium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/>
      <bottom style="medium">
        <color indexed="55"/>
      </bottom>
      <diagonal/>
    </border>
    <border>
      <left style="thin">
        <color indexed="55"/>
      </left>
      <right/>
      <top style="hair">
        <color indexed="55"/>
      </top>
      <bottom style="thin">
        <color indexed="55"/>
      </bottom>
      <diagonal/>
    </border>
    <border>
      <left/>
      <right/>
      <top style="hair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55"/>
      </bottom>
      <diagonal/>
    </border>
    <border>
      <left/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/>
      <bottom style="hair">
        <color indexed="55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hair">
        <color indexed="55"/>
      </right>
      <top style="thin">
        <color indexed="55"/>
      </top>
      <bottom style="thin">
        <color indexed="55"/>
      </bottom>
      <diagonal/>
    </border>
    <border>
      <left style="hair">
        <color indexed="55"/>
      </left>
      <right style="hair">
        <color indexed="55"/>
      </right>
      <top style="thin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/>
      <right style="hair">
        <color indexed="55"/>
      </right>
      <top style="thin">
        <color indexed="55"/>
      </top>
      <bottom style="medium">
        <color indexed="55"/>
      </bottom>
      <diagonal/>
    </border>
    <border>
      <left style="hair">
        <color indexed="55"/>
      </left>
      <right style="hair">
        <color indexed="55"/>
      </right>
      <top style="thin">
        <color indexed="55"/>
      </top>
      <bottom style="medium">
        <color indexed="55"/>
      </bottom>
      <diagonal/>
    </border>
    <border>
      <left/>
      <right style="thin">
        <color indexed="55"/>
      </right>
      <top style="thin">
        <color indexed="55"/>
      </top>
      <bottom style="hair">
        <color indexed="55"/>
      </bottom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 style="hair">
        <color indexed="55"/>
      </right>
      <top/>
      <bottom/>
      <diagonal/>
    </border>
    <border>
      <left style="hair">
        <color indexed="55"/>
      </left>
      <right/>
      <top/>
      <bottom/>
      <diagonal/>
    </border>
    <border>
      <left style="hair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hair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hair">
        <color indexed="55"/>
      </right>
      <top/>
      <bottom style="thin">
        <color indexed="55"/>
      </bottom>
      <diagonal/>
    </border>
    <border>
      <left style="hair">
        <color indexed="55"/>
      </left>
      <right style="hair">
        <color indexed="55"/>
      </right>
      <top/>
      <bottom style="thin">
        <color indexed="55"/>
      </bottom>
      <diagonal/>
    </border>
    <border>
      <left style="hair">
        <color indexed="55"/>
      </left>
      <right style="thin">
        <color indexed="55"/>
      </right>
      <top/>
      <bottom style="thin">
        <color indexed="55"/>
      </bottom>
      <diagonal/>
    </border>
    <border>
      <left style="hair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 style="hair">
        <color indexed="55"/>
      </top>
      <bottom/>
      <diagonal/>
    </border>
    <border>
      <left/>
      <right style="thin">
        <color indexed="55"/>
      </right>
      <top style="hair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ck">
        <color indexed="55"/>
      </bottom>
      <diagonal/>
    </border>
    <border>
      <left/>
      <right/>
      <top style="thin">
        <color indexed="55"/>
      </top>
      <bottom style="thick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indexed="55"/>
      </bottom>
      <diagonal/>
    </border>
    <border>
      <left style="thin">
        <color indexed="55"/>
      </left>
      <right/>
      <top style="thick">
        <color indexed="55"/>
      </top>
      <bottom style="thin">
        <color indexed="55"/>
      </bottom>
      <diagonal/>
    </border>
    <border>
      <left/>
      <right style="thin">
        <color indexed="55"/>
      </right>
      <top style="thick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ck">
        <color indexed="55"/>
      </top>
      <bottom style="thin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thin">
        <color indexed="55"/>
      </left>
      <right style="thin">
        <color indexed="55"/>
      </right>
      <top style="hair">
        <color indexed="55"/>
      </top>
      <bottom/>
      <diagonal/>
    </border>
    <border>
      <left/>
      <right style="hair">
        <color indexed="55"/>
      </right>
      <top/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55"/>
      </left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/>
      <top style="medium">
        <color indexed="55"/>
      </top>
      <bottom style="hair">
        <color indexed="55"/>
      </bottom>
      <diagonal/>
    </border>
    <border>
      <left/>
      <right style="thin">
        <color indexed="55"/>
      </right>
      <top style="medium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hair">
        <color indexed="55"/>
      </bottom>
      <diagonal/>
    </border>
    <border>
      <left/>
      <right/>
      <top style="medium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166" fontId="29" fillId="0" borderId="0" applyFont="0" applyFill="0" applyBorder="0" applyAlignment="0" applyProtection="0"/>
    <xf numFmtId="0" fontId="29" fillId="0" borderId="0"/>
    <xf numFmtId="0" fontId="29" fillId="0" borderId="0"/>
    <xf numFmtId="0" fontId="55" fillId="0" borderId="0"/>
    <xf numFmtId="0" fontId="27" fillId="0" borderId="0"/>
    <xf numFmtId="9" fontId="27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</cellStyleXfs>
  <cellXfs count="1101">
    <xf numFmtId="0" fontId="0" fillId="0" borderId="0" xfId="0"/>
    <xf numFmtId="0" fontId="10" fillId="2" borderId="0" xfId="0" applyFont="1" applyFill="1" applyBorder="1"/>
    <xf numFmtId="0" fontId="11" fillId="2" borderId="0" xfId="0" applyFont="1" applyFill="1"/>
    <xf numFmtId="0" fontId="11" fillId="2" borderId="0" xfId="0" applyFont="1" applyFill="1" applyBorder="1"/>
    <xf numFmtId="0" fontId="11" fillId="0" borderId="0" xfId="0" applyFont="1"/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11" fillId="2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vertical="center"/>
    </xf>
    <xf numFmtId="0" fontId="10" fillId="2" borderId="0" xfId="0" applyFont="1" applyFill="1"/>
    <xf numFmtId="0" fontId="10" fillId="2" borderId="6" xfId="0" applyFont="1" applyFill="1" applyBorder="1"/>
    <xf numFmtId="0" fontId="11" fillId="2" borderId="0" xfId="0" applyFont="1" applyFill="1" applyBorder="1" applyAlignment="1"/>
    <xf numFmtId="0" fontId="11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11" fillId="2" borderId="7" xfId="0" applyFont="1" applyFill="1" applyBorder="1"/>
    <xf numFmtId="0" fontId="11" fillId="2" borderId="8" xfId="0" applyFont="1" applyFill="1" applyBorder="1"/>
    <xf numFmtId="0" fontId="11" fillId="2" borderId="9" xfId="0" applyFont="1" applyFill="1" applyBorder="1"/>
    <xf numFmtId="0" fontId="11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4" fillId="2" borderId="0" xfId="0" applyFont="1" applyFill="1" applyBorder="1"/>
    <xf numFmtId="0" fontId="15" fillId="2" borderId="4" xfId="0" applyFont="1" applyFill="1" applyBorder="1"/>
    <xf numFmtId="0" fontId="10" fillId="2" borderId="5" xfId="0" applyFont="1" applyFill="1" applyBorder="1"/>
    <xf numFmtId="0" fontId="11" fillId="2" borderId="10" xfId="0" applyFont="1" applyFill="1" applyBorder="1"/>
    <xf numFmtId="0" fontId="16" fillId="2" borderId="6" xfId="0" applyFont="1" applyFill="1" applyBorder="1"/>
    <xf numFmtId="0" fontId="16" fillId="2" borderId="6" xfId="0" applyFont="1" applyFill="1" applyBorder="1" applyAlignment="1">
      <alignment horizontal="center" wrapText="1"/>
    </xf>
    <xf numFmtId="0" fontId="17" fillId="2" borderId="11" xfId="0" applyFont="1" applyFill="1" applyBorder="1"/>
    <xf numFmtId="0" fontId="17" fillId="2" borderId="12" xfId="0" applyFont="1" applyFill="1" applyBorder="1"/>
    <xf numFmtId="0" fontId="17" fillId="2" borderId="0" xfId="0" applyFont="1" applyFill="1" applyBorder="1"/>
    <xf numFmtId="0" fontId="17" fillId="2" borderId="0" xfId="0" applyFont="1" applyFill="1" applyBorder="1" applyAlignment="1">
      <alignment horizontal="left"/>
    </xf>
    <xf numFmtId="164" fontId="17" fillId="2" borderId="0" xfId="0" applyNumberFormat="1" applyFont="1" applyFill="1" applyBorder="1" applyAlignment="1">
      <alignment horizontal="center"/>
    </xf>
    <xf numFmtId="0" fontId="17" fillId="2" borderId="10" xfId="0" applyFont="1" applyFill="1" applyBorder="1"/>
    <xf numFmtId="164" fontId="11" fillId="2" borderId="8" xfId="0" applyNumberFormat="1" applyFont="1" applyFill="1" applyBorder="1" applyAlignment="1">
      <alignment horizontal="center"/>
    </xf>
    <xf numFmtId="164" fontId="11" fillId="2" borderId="0" xfId="0" applyNumberFormat="1" applyFont="1" applyFill="1" applyAlignment="1">
      <alignment horizontal="center"/>
    </xf>
    <xf numFmtId="0" fontId="18" fillId="2" borderId="0" xfId="0" applyFont="1" applyFill="1" applyBorder="1"/>
    <xf numFmtId="0" fontId="18" fillId="2" borderId="0" xfId="0" applyFont="1" applyFill="1"/>
    <xf numFmtId="0" fontId="10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right"/>
    </xf>
    <xf numFmtId="0" fontId="21" fillId="2" borderId="0" xfId="0" applyFont="1" applyFill="1"/>
    <xf numFmtId="164" fontId="21" fillId="2" borderId="0" xfId="0" applyNumberFormat="1" applyFont="1" applyFill="1" applyAlignment="1">
      <alignment horizontal="center"/>
    </xf>
    <xf numFmtId="0" fontId="21" fillId="2" borderId="0" xfId="0" applyFont="1" applyFill="1" applyBorder="1"/>
    <xf numFmtId="0" fontId="21" fillId="2" borderId="1" xfId="0" applyFont="1" applyFill="1" applyBorder="1"/>
    <xf numFmtId="0" fontId="21" fillId="2" borderId="2" xfId="0" applyFont="1" applyFill="1" applyBorder="1"/>
    <xf numFmtId="0" fontId="21" fillId="2" borderId="3" xfId="0" applyFont="1" applyFill="1" applyBorder="1"/>
    <xf numFmtId="0" fontId="21" fillId="2" borderId="4" xfId="0" applyFont="1" applyFill="1" applyBorder="1"/>
    <xf numFmtId="0" fontId="22" fillId="2" borderId="0" xfId="0" applyFont="1" applyFill="1" applyBorder="1"/>
    <xf numFmtId="0" fontId="21" fillId="2" borderId="5" xfId="0" applyFont="1" applyFill="1" applyBorder="1"/>
    <xf numFmtId="0" fontId="22" fillId="2" borderId="0" xfId="0" applyFont="1" applyFill="1" applyBorder="1" applyAlignment="1">
      <alignment horizontal="center" vertical="center"/>
    </xf>
    <xf numFmtId="0" fontId="21" fillId="2" borderId="7" xfId="0" applyFont="1" applyFill="1" applyBorder="1"/>
    <xf numFmtId="0" fontId="21" fillId="2" borderId="8" xfId="0" applyFont="1" applyFill="1" applyBorder="1" applyAlignment="1">
      <alignment horizontal="left"/>
    </xf>
    <xf numFmtId="0" fontId="21" fillId="2" borderId="8" xfId="0" applyFont="1" applyFill="1" applyBorder="1"/>
    <xf numFmtId="0" fontId="21" fillId="2" borderId="9" xfId="0" applyFont="1" applyFill="1" applyBorder="1"/>
    <xf numFmtId="0" fontId="9" fillId="2" borderId="4" xfId="0" applyFont="1" applyFill="1" applyBorder="1"/>
    <xf numFmtId="0" fontId="9" fillId="2" borderId="5" xfId="0" applyFont="1" applyFill="1" applyBorder="1"/>
    <xf numFmtId="0" fontId="9" fillId="2" borderId="0" xfId="0" applyFont="1" applyFill="1"/>
    <xf numFmtId="0" fontId="15" fillId="2" borderId="5" xfId="0" applyFont="1" applyFill="1" applyBorder="1"/>
    <xf numFmtId="0" fontId="13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0" fontId="13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/>
    </xf>
    <xf numFmtId="0" fontId="21" fillId="5" borderId="0" xfId="0" applyFont="1" applyFill="1" applyBorder="1"/>
    <xf numFmtId="0" fontId="10" fillId="2" borderId="13" xfId="0" applyFont="1" applyFill="1" applyBorder="1" applyAlignment="1">
      <alignment horizontal="center"/>
    </xf>
    <xf numFmtId="0" fontId="10" fillId="2" borderId="13" xfId="0" applyFont="1" applyFill="1" applyBorder="1"/>
    <xf numFmtId="0" fontId="9" fillId="2" borderId="14" xfId="0" applyFont="1" applyFill="1" applyBorder="1"/>
    <xf numFmtId="0" fontId="9" fillId="2" borderId="15" xfId="0" applyFont="1" applyFill="1" applyBorder="1"/>
    <xf numFmtId="0" fontId="9" fillId="2" borderId="16" xfId="0" applyFont="1" applyFill="1" applyBorder="1"/>
    <xf numFmtId="0" fontId="13" fillId="2" borderId="17" xfId="0" applyFont="1" applyFill="1" applyBorder="1"/>
    <xf numFmtId="0" fontId="15" fillId="2" borderId="0" xfId="0" applyFont="1" applyFill="1"/>
    <xf numFmtId="0" fontId="13" fillId="2" borderId="8" xfId="0" applyFont="1" applyFill="1" applyBorder="1"/>
    <xf numFmtId="2" fontId="9" fillId="2" borderId="2" xfId="0" applyNumberFormat="1" applyFont="1" applyFill="1" applyBorder="1"/>
    <xf numFmtId="0" fontId="23" fillId="2" borderId="0" xfId="0" applyFont="1" applyFill="1" applyBorder="1"/>
    <xf numFmtId="0" fontId="24" fillId="2" borderId="8" xfId="0" applyFont="1" applyFill="1" applyBorder="1"/>
    <xf numFmtId="0" fontId="26" fillId="2" borderId="4" xfId="0" applyFont="1" applyFill="1" applyBorder="1"/>
    <xf numFmtId="0" fontId="26" fillId="2" borderId="5" xfId="0" applyFont="1" applyFill="1" applyBorder="1"/>
    <xf numFmtId="0" fontId="26" fillId="2" borderId="0" xfId="0" applyFont="1" applyFill="1"/>
    <xf numFmtId="0" fontId="24" fillId="2" borderId="8" xfId="0" applyFont="1" applyFill="1" applyBorder="1" applyAlignment="1">
      <alignment horizontal="left"/>
    </xf>
    <xf numFmtId="0" fontId="13" fillId="2" borderId="13" xfId="0" applyFont="1" applyFill="1" applyBorder="1"/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/>
    <xf numFmtId="0" fontId="25" fillId="2" borderId="0" xfId="0" applyFont="1" applyFill="1" applyBorder="1"/>
    <xf numFmtId="4" fontId="21" fillId="2" borderId="0" xfId="0" applyNumberFormat="1" applyFont="1" applyFill="1"/>
    <xf numFmtId="4" fontId="21" fillId="2" borderId="2" xfId="0" applyNumberFormat="1" applyFont="1" applyFill="1" applyBorder="1"/>
    <xf numFmtId="4" fontId="21" fillId="2" borderId="0" xfId="0" applyNumberFormat="1" applyFont="1" applyFill="1" applyBorder="1"/>
    <xf numFmtId="4" fontId="22" fillId="2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4" fontId="13" fillId="2" borderId="0" xfId="0" applyNumberFormat="1" applyFont="1" applyFill="1" applyBorder="1" applyAlignment="1">
      <alignment vertical="center"/>
    </xf>
    <xf numFmtId="4" fontId="21" fillId="2" borderId="8" xfId="0" applyNumberFormat="1" applyFont="1" applyFill="1" applyBorder="1"/>
    <xf numFmtId="4" fontId="20" fillId="2" borderId="0" xfId="0" applyNumberFormat="1" applyFont="1" applyFill="1" applyAlignment="1">
      <alignment horizontal="right"/>
    </xf>
    <xf numFmtId="4" fontId="13" fillId="2" borderId="0" xfId="0" applyNumberFormat="1" applyFont="1" applyFill="1" applyBorder="1" applyAlignment="1">
      <alignment horizontal="left" vertical="center"/>
    </xf>
    <xf numFmtId="0" fontId="21" fillId="2" borderId="0" xfId="0" applyFont="1" applyFill="1" applyAlignment="1">
      <alignment horizontal="left"/>
    </xf>
    <xf numFmtId="4" fontId="21" fillId="2" borderId="0" xfId="0" applyNumberFormat="1" applyFont="1" applyFill="1" applyAlignment="1">
      <alignment horizontal="left"/>
    </xf>
    <xf numFmtId="0" fontId="21" fillId="2" borderId="1" xfId="0" applyFont="1" applyFill="1" applyBorder="1" applyAlignment="1">
      <alignment horizontal="left"/>
    </xf>
    <xf numFmtId="0" fontId="21" fillId="2" borderId="2" xfId="0" applyFont="1" applyFill="1" applyBorder="1" applyAlignment="1">
      <alignment horizontal="left"/>
    </xf>
    <xf numFmtId="4" fontId="21" fillId="2" borderId="2" xfId="0" applyNumberFormat="1" applyFont="1" applyFill="1" applyBorder="1" applyAlignment="1">
      <alignment horizontal="left"/>
    </xf>
    <xf numFmtId="0" fontId="21" fillId="2" borderId="3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/>
    </xf>
    <xf numFmtId="4" fontId="21" fillId="2" borderId="0" xfId="0" applyNumberFormat="1" applyFont="1" applyFill="1" applyBorder="1" applyAlignment="1">
      <alignment horizontal="left"/>
    </xf>
    <xf numFmtId="0" fontId="21" fillId="2" borderId="5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4" fontId="22" fillId="2" borderId="0" xfId="0" applyNumberFormat="1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 vertical="center"/>
    </xf>
    <xf numFmtId="4" fontId="13" fillId="3" borderId="0" xfId="0" applyNumberFormat="1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0" fontId="21" fillId="2" borderId="7" xfId="0" applyFont="1" applyFill="1" applyBorder="1" applyAlignment="1">
      <alignment horizontal="left"/>
    </xf>
    <xf numFmtId="4" fontId="21" fillId="2" borderId="8" xfId="0" applyNumberFormat="1" applyFont="1" applyFill="1" applyBorder="1" applyAlignment="1">
      <alignment horizontal="left"/>
    </xf>
    <xf numFmtId="0" fontId="21" fillId="2" borderId="9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left"/>
    </xf>
    <xf numFmtId="0" fontId="18" fillId="2" borderId="0" xfId="0" applyFont="1" applyFill="1" applyAlignment="1">
      <alignment horizontal="left"/>
    </xf>
    <xf numFmtId="3" fontId="10" fillId="2" borderId="18" xfId="0" applyNumberFormat="1" applyFont="1" applyFill="1" applyBorder="1" applyAlignment="1">
      <alignment horizontal="center" vertical="center"/>
    </xf>
    <xf numFmtId="4" fontId="10" fillId="2" borderId="18" xfId="0" applyNumberFormat="1" applyFont="1" applyFill="1" applyBorder="1" applyAlignment="1">
      <alignment vertical="center"/>
    </xf>
    <xf numFmtId="0" fontId="22" fillId="2" borderId="5" xfId="0" applyFont="1" applyFill="1" applyBorder="1" applyAlignment="1">
      <alignment horizontal="left"/>
    </xf>
    <xf numFmtId="0" fontId="22" fillId="2" borderId="0" xfId="0" applyFont="1" applyFill="1" applyAlignment="1">
      <alignment horizontal="left"/>
    </xf>
    <xf numFmtId="0" fontId="21" fillId="2" borderId="19" xfId="0" applyFont="1" applyFill="1" applyBorder="1"/>
    <xf numFmtId="4" fontId="13" fillId="2" borderId="20" xfId="0" applyNumberFormat="1" applyFont="1" applyFill="1" applyBorder="1"/>
    <xf numFmtId="4" fontId="10" fillId="2" borderId="20" xfId="0" applyNumberFormat="1" applyFont="1" applyFill="1" applyBorder="1"/>
    <xf numFmtId="4" fontId="9" fillId="2" borderId="21" xfId="0" applyNumberFormat="1" applyFont="1" applyFill="1" applyBorder="1"/>
    <xf numFmtId="4" fontId="9" fillId="2" borderId="22" xfId="0" applyNumberFormat="1" applyFont="1" applyFill="1" applyBorder="1"/>
    <xf numFmtId="4" fontId="21" fillId="2" borderId="19" xfId="0" applyNumberFormat="1" applyFont="1" applyFill="1" applyBorder="1"/>
    <xf numFmtId="4" fontId="24" fillId="2" borderId="23" xfId="0" applyNumberFormat="1" applyFont="1" applyFill="1" applyBorder="1"/>
    <xf numFmtId="0" fontId="13" fillId="2" borderId="24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25" fillId="2" borderId="24" xfId="0" applyFont="1" applyFill="1" applyBorder="1" applyAlignment="1">
      <alignment horizontal="center"/>
    </xf>
    <xf numFmtId="0" fontId="24" fillId="2" borderId="28" xfId="0" applyFont="1" applyFill="1" applyBorder="1" applyAlignment="1">
      <alignment horizontal="left"/>
    </xf>
    <xf numFmtId="4" fontId="10" fillId="2" borderId="0" xfId="0" applyNumberFormat="1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4" fontId="15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4" fontId="10" fillId="2" borderId="32" xfId="0" applyNumberFormat="1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/>
    </xf>
    <xf numFmtId="0" fontId="8" fillId="2" borderId="31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left" vertical="center"/>
    </xf>
    <xf numFmtId="4" fontId="35" fillId="2" borderId="0" xfId="0" applyNumberFormat="1" applyFont="1" applyFill="1" applyBorder="1" applyAlignment="1">
      <alignment horizontal="left" vertical="center"/>
    </xf>
    <xf numFmtId="0" fontId="32" fillId="2" borderId="0" xfId="0" applyFont="1" applyFill="1" applyBorder="1" applyAlignment="1">
      <alignment horizontal="left" vertical="center"/>
    </xf>
    <xf numFmtId="4" fontId="10" fillId="2" borderId="21" xfId="0" applyNumberFormat="1" applyFont="1" applyFill="1" applyBorder="1" applyAlignment="1">
      <alignment vertical="center"/>
    </xf>
    <xf numFmtId="4" fontId="8" fillId="2" borderId="21" xfId="0" applyNumberFormat="1" applyFont="1" applyFill="1" applyBorder="1" applyAlignment="1">
      <alignment vertical="center"/>
    </xf>
    <xf numFmtId="4" fontId="8" fillId="2" borderId="33" xfId="0" applyNumberFormat="1" applyFont="1" applyFill="1" applyBorder="1" applyAlignment="1">
      <alignment vertical="center"/>
    </xf>
    <xf numFmtId="4" fontId="10" fillId="2" borderId="22" xfId="0" applyNumberFormat="1" applyFont="1" applyFill="1" applyBorder="1" applyAlignment="1">
      <alignment vertical="center"/>
    </xf>
    <xf numFmtId="4" fontId="10" fillId="2" borderId="33" xfId="0" applyNumberFormat="1" applyFont="1" applyFill="1" applyBorder="1" applyAlignment="1">
      <alignment vertical="center"/>
    </xf>
    <xf numFmtId="4" fontId="10" fillId="2" borderId="34" xfId="0" applyNumberFormat="1" applyFont="1" applyFill="1" applyBorder="1" applyAlignment="1">
      <alignment vertical="center"/>
    </xf>
    <xf numFmtId="4" fontId="10" fillId="2" borderId="35" xfId="0" applyNumberFormat="1" applyFont="1" applyFill="1" applyBorder="1" applyAlignment="1">
      <alignment vertical="center"/>
    </xf>
    <xf numFmtId="4" fontId="10" fillId="2" borderId="32" xfId="0" applyNumberFormat="1" applyFont="1" applyFill="1" applyBorder="1" applyAlignment="1">
      <alignment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4" fontId="10" fillId="2" borderId="39" xfId="0" applyNumberFormat="1" applyFont="1" applyFill="1" applyBorder="1" applyAlignment="1">
      <alignment vertical="center"/>
    </xf>
    <xf numFmtId="4" fontId="10" fillId="2" borderId="40" xfId="0" applyNumberFormat="1" applyFont="1" applyFill="1" applyBorder="1" applyAlignment="1">
      <alignment vertical="center"/>
    </xf>
    <xf numFmtId="0" fontId="31" fillId="2" borderId="0" xfId="2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10" fillId="2" borderId="36" xfId="0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left" vertical="center"/>
    </xf>
    <xf numFmtId="4" fontId="10" fillId="2" borderId="41" xfId="0" applyNumberFormat="1" applyFont="1" applyFill="1" applyBorder="1" applyAlignment="1">
      <alignment vertical="center"/>
    </xf>
    <xf numFmtId="0" fontId="8" fillId="2" borderId="38" xfId="0" applyFont="1" applyFill="1" applyBorder="1" applyAlignment="1">
      <alignment horizontal="center" vertical="center"/>
    </xf>
    <xf numFmtId="4" fontId="8" fillId="2" borderId="39" xfId="0" applyNumberFormat="1" applyFont="1" applyFill="1" applyBorder="1" applyAlignment="1">
      <alignment vertical="center"/>
    </xf>
    <xf numFmtId="0" fontId="16" fillId="5" borderId="42" xfId="0" applyFont="1" applyFill="1" applyBorder="1" applyAlignment="1">
      <alignment horizontal="left" vertical="center"/>
    </xf>
    <xf numFmtId="0" fontId="16" fillId="5" borderId="43" xfId="0" applyFont="1" applyFill="1" applyBorder="1" applyAlignment="1">
      <alignment horizontal="left" vertical="center"/>
    </xf>
    <xf numFmtId="0" fontId="10" fillId="5" borderId="44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left"/>
    </xf>
    <xf numFmtId="0" fontId="13" fillId="5" borderId="45" xfId="0" applyFont="1" applyFill="1" applyBorder="1" applyAlignment="1">
      <alignment horizontal="left"/>
    </xf>
    <xf numFmtId="0" fontId="31" fillId="5" borderId="20" xfId="2" applyFont="1" applyFill="1" applyBorder="1" applyAlignment="1">
      <alignment horizontal="center" wrapText="1"/>
    </xf>
    <xf numFmtId="0" fontId="33" fillId="5" borderId="46" xfId="2" applyFont="1" applyFill="1" applyBorder="1" applyAlignment="1">
      <alignment horizontal="center" wrapText="1"/>
    </xf>
    <xf numFmtId="0" fontId="33" fillId="5" borderId="47" xfId="2" applyFont="1" applyFill="1" applyBorder="1" applyAlignment="1">
      <alignment horizontal="center" wrapText="1"/>
    </xf>
    <xf numFmtId="0" fontId="33" fillId="5" borderId="48" xfId="2" applyFont="1" applyFill="1" applyBorder="1" applyAlignment="1">
      <alignment horizontal="center" wrapText="1"/>
    </xf>
    <xf numFmtId="0" fontId="13" fillId="5" borderId="45" xfId="0" applyFont="1" applyFill="1" applyBorder="1" applyAlignment="1">
      <alignment horizontal="left" vertical="center"/>
    </xf>
    <xf numFmtId="0" fontId="31" fillId="5" borderId="19" xfId="2" applyFont="1" applyFill="1" applyBorder="1" applyAlignment="1">
      <alignment horizontal="center" wrapText="1"/>
    </xf>
    <xf numFmtId="0" fontId="13" fillId="5" borderId="25" xfId="0" applyFont="1" applyFill="1" applyBorder="1" applyAlignment="1">
      <alignment horizontal="left" vertical="center"/>
    </xf>
    <xf numFmtId="0" fontId="10" fillId="2" borderId="49" xfId="0" applyFont="1" applyFill="1" applyBorder="1" applyAlignment="1">
      <alignment horizontal="center" vertical="center"/>
    </xf>
    <xf numFmtId="0" fontId="21" fillId="5" borderId="42" xfId="0" applyFont="1" applyFill="1" applyBorder="1"/>
    <xf numFmtId="0" fontId="21" fillId="5" borderId="50" xfId="0" applyFont="1" applyFill="1" applyBorder="1"/>
    <xf numFmtId="0" fontId="10" fillId="5" borderId="44" xfId="0" applyFont="1" applyFill="1" applyBorder="1" applyAlignment="1">
      <alignment horizontal="center"/>
    </xf>
    <xf numFmtId="0" fontId="14" fillId="5" borderId="24" xfId="0" applyFont="1" applyFill="1" applyBorder="1"/>
    <xf numFmtId="0" fontId="24" fillId="5" borderId="19" xfId="0" applyFont="1" applyFill="1" applyBorder="1" applyAlignment="1">
      <alignment horizontal="center"/>
    </xf>
    <xf numFmtId="4" fontId="15" fillId="2" borderId="24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4" fontId="10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center" vertical="center"/>
    </xf>
    <xf numFmtId="0" fontId="10" fillId="5" borderId="42" xfId="0" applyFont="1" applyFill="1" applyBorder="1" applyAlignment="1">
      <alignment horizontal="left"/>
    </xf>
    <xf numFmtId="0" fontId="31" fillId="5" borderId="44" xfId="2" applyFont="1" applyFill="1" applyBorder="1" applyAlignment="1">
      <alignment horizontal="center" wrapText="1"/>
    </xf>
    <xf numFmtId="0" fontId="10" fillId="5" borderId="24" xfId="0" applyFont="1" applyFill="1" applyBorder="1" applyAlignment="1">
      <alignment horizontal="left"/>
    </xf>
    <xf numFmtId="0" fontId="10" fillId="5" borderId="50" xfId="0" applyFont="1" applyFill="1" applyBorder="1" applyAlignment="1">
      <alignment horizontal="left"/>
    </xf>
    <xf numFmtId="0" fontId="31" fillId="5" borderId="43" xfId="2" applyFont="1" applyFill="1" applyBorder="1" applyAlignment="1">
      <alignment horizontal="center" wrapText="1"/>
    </xf>
    <xf numFmtId="0" fontId="10" fillId="5" borderId="0" xfId="0" applyFont="1" applyFill="1" applyBorder="1" applyAlignment="1">
      <alignment horizontal="left"/>
    </xf>
    <xf numFmtId="0" fontId="31" fillId="5" borderId="51" xfId="2" applyFont="1" applyFill="1" applyBorder="1" applyAlignment="1">
      <alignment horizontal="center" wrapText="1"/>
    </xf>
    <xf numFmtId="4" fontId="10" fillId="2" borderId="52" xfId="0" applyNumberFormat="1" applyFont="1" applyFill="1" applyBorder="1" applyAlignment="1">
      <alignment vertical="center"/>
    </xf>
    <xf numFmtId="4" fontId="10" fillId="2" borderId="53" xfId="0" applyNumberFormat="1" applyFont="1" applyFill="1" applyBorder="1" applyAlignment="1">
      <alignment vertical="center"/>
    </xf>
    <xf numFmtId="4" fontId="10" fillId="2" borderId="17" xfId="0" applyNumberFormat="1" applyFont="1" applyFill="1" applyBorder="1" applyAlignment="1">
      <alignment vertical="center"/>
    </xf>
    <xf numFmtId="0" fontId="8" fillId="2" borderId="54" xfId="0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4" fontId="17" fillId="2" borderId="0" xfId="0" applyNumberFormat="1" applyFont="1" applyFill="1" applyBorder="1" applyAlignment="1">
      <alignment horizontal="left"/>
    </xf>
    <xf numFmtId="4" fontId="17" fillId="2" borderId="55" xfId="0" applyNumberFormat="1" applyFont="1" applyFill="1" applyBorder="1" applyAlignment="1">
      <alignment horizontal="left"/>
    </xf>
    <xf numFmtId="4" fontId="17" fillId="2" borderId="56" xfId="0" applyNumberFormat="1" applyFont="1" applyFill="1" applyBorder="1" applyAlignment="1">
      <alignment horizontal="left"/>
    </xf>
    <xf numFmtId="4" fontId="17" fillId="2" borderId="57" xfId="0" applyNumberFormat="1" applyFont="1" applyFill="1" applyBorder="1" applyAlignment="1">
      <alignment horizontal="left"/>
    </xf>
    <xf numFmtId="4" fontId="10" fillId="2" borderId="58" xfId="0" applyNumberFormat="1" applyFont="1" applyFill="1" applyBorder="1" applyAlignment="1">
      <alignment vertical="center"/>
    </xf>
    <xf numFmtId="4" fontId="10" fillId="2" borderId="59" xfId="0" applyNumberFormat="1" applyFont="1" applyFill="1" applyBorder="1" applyAlignment="1">
      <alignment vertical="center"/>
    </xf>
    <xf numFmtId="0" fontId="31" fillId="5" borderId="60" xfId="2" applyFont="1" applyFill="1" applyBorder="1" applyAlignment="1">
      <alignment horizontal="center" wrapText="1"/>
    </xf>
    <xf numFmtId="0" fontId="31" fillId="5" borderId="61" xfId="2" applyFont="1" applyFill="1" applyBorder="1" applyAlignment="1">
      <alignment horizontal="center" wrapText="1"/>
    </xf>
    <xf numFmtId="0" fontId="31" fillId="5" borderId="62" xfId="2" applyFont="1" applyFill="1" applyBorder="1" applyAlignment="1">
      <alignment horizontal="center" wrapText="1"/>
    </xf>
    <xf numFmtId="0" fontId="21" fillId="2" borderId="0" xfId="0" applyFont="1" applyFill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0" fillId="5" borderId="50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31" fillId="5" borderId="62" xfId="2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1" fillId="5" borderId="48" xfId="2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left"/>
    </xf>
    <xf numFmtId="0" fontId="31" fillId="5" borderId="63" xfId="2" applyFont="1" applyFill="1" applyBorder="1" applyAlignment="1">
      <alignment horizontal="center" vertical="center" wrapText="1"/>
    </xf>
    <xf numFmtId="4" fontId="38" fillId="2" borderId="0" xfId="0" applyNumberFormat="1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/>
    </xf>
    <xf numFmtId="0" fontId="10" fillId="4" borderId="0" xfId="0" applyFont="1" applyFill="1" applyBorder="1" applyAlignment="1">
      <alignment vertical="center" wrapText="1"/>
    </xf>
    <xf numFmtId="0" fontId="10" fillId="5" borderId="42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10" fillId="2" borderId="49" xfId="0" applyFont="1" applyFill="1" applyBorder="1" applyAlignment="1">
      <alignment horizontal="left" vertical="center"/>
    </xf>
    <xf numFmtId="4" fontId="13" fillId="2" borderId="49" xfId="0" applyNumberFormat="1" applyFont="1" applyFill="1" applyBorder="1" applyAlignment="1">
      <alignment horizontal="left" vertical="center"/>
    </xf>
    <xf numFmtId="0" fontId="10" fillId="5" borderId="41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left"/>
    </xf>
    <xf numFmtId="4" fontId="10" fillId="2" borderId="18" xfId="0" applyNumberFormat="1" applyFont="1" applyFill="1" applyBorder="1" applyAlignment="1"/>
    <xf numFmtId="4" fontId="10" fillId="2" borderId="32" xfId="0" applyNumberFormat="1" applyFont="1" applyFill="1" applyBorder="1" applyAlignment="1"/>
    <xf numFmtId="0" fontId="10" fillId="2" borderId="25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left"/>
    </xf>
    <xf numFmtId="0" fontId="8" fillId="2" borderId="0" xfId="0" applyFont="1" applyFill="1"/>
    <xf numFmtId="0" fontId="10" fillId="5" borderId="49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vertical="center"/>
    </xf>
    <xf numFmtId="0" fontId="17" fillId="2" borderId="54" xfId="0" applyFont="1" applyFill="1" applyBorder="1" applyAlignment="1">
      <alignment vertical="center"/>
    </xf>
    <xf numFmtId="0" fontId="17" fillId="2" borderId="39" xfId="0" applyFont="1" applyFill="1" applyBorder="1" applyAlignment="1">
      <alignment horizontal="left" vertical="center"/>
    </xf>
    <xf numFmtId="4" fontId="16" fillId="2" borderId="0" xfId="0" applyNumberFormat="1" applyFont="1" applyFill="1" applyBorder="1" applyAlignment="1">
      <alignment horizontal="left" vertical="center"/>
    </xf>
    <xf numFmtId="0" fontId="17" fillId="2" borderId="27" xfId="0" applyFont="1" applyFill="1" applyBorder="1" applyAlignment="1">
      <alignment vertical="center"/>
    </xf>
    <xf numFmtId="0" fontId="17" fillId="2" borderId="34" xfId="0" applyFont="1" applyFill="1" applyBorder="1" applyAlignment="1">
      <alignment vertical="center"/>
    </xf>
    <xf numFmtId="0" fontId="17" fillId="2" borderId="64" xfId="0" applyFont="1" applyFill="1" applyBorder="1" applyAlignment="1">
      <alignment vertical="center"/>
    </xf>
    <xf numFmtId="0" fontId="17" fillId="2" borderId="65" xfId="0" applyFont="1" applyFill="1" applyBorder="1" applyAlignment="1">
      <alignment vertical="center"/>
    </xf>
    <xf numFmtId="0" fontId="13" fillId="5" borderId="20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left" vertical="center"/>
    </xf>
    <xf numFmtId="0" fontId="21" fillId="2" borderId="17" xfId="0" applyFont="1" applyFill="1" applyBorder="1" applyAlignment="1">
      <alignment horizontal="left"/>
    </xf>
    <xf numFmtId="4" fontId="40" fillId="6" borderId="32" xfId="0" applyNumberFormat="1" applyFont="1" applyFill="1" applyBorder="1"/>
    <xf numFmtId="0" fontId="10" fillId="2" borderId="4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4" fontId="10" fillId="2" borderId="41" xfId="0" applyNumberFormat="1" applyFont="1" applyFill="1" applyBorder="1" applyAlignment="1"/>
    <xf numFmtId="4" fontId="8" fillId="2" borderId="0" xfId="0" applyNumberFormat="1" applyFont="1" applyFill="1" applyBorder="1" applyAlignment="1">
      <alignment horizontal="right" vertical="center"/>
    </xf>
    <xf numFmtId="10" fontId="40" fillId="6" borderId="32" xfId="0" applyNumberFormat="1" applyFont="1" applyFill="1" applyBorder="1" applyAlignment="1">
      <alignment horizontal="right"/>
    </xf>
    <xf numFmtId="10" fontId="10" fillId="2" borderId="49" xfId="6" applyNumberFormat="1" applyFont="1" applyFill="1" applyBorder="1" applyAlignment="1">
      <alignment horizontal="right"/>
    </xf>
    <xf numFmtId="10" fontId="8" fillId="2" borderId="40" xfId="0" applyNumberFormat="1" applyFont="1" applyFill="1" applyBorder="1" applyAlignment="1">
      <alignment horizontal="right" vertical="center"/>
    </xf>
    <xf numFmtId="10" fontId="8" fillId="2" borderId="34" xfId="0" applyNumberFormat="1" applyFont="1" applyFill="1" applyBorder="1" applyAlignment="1">
      <alignment horizontal="right" vertical="center"/>
    </xf>
    <xf numFmtId="10" fontId="8" fillId="2" borderId="35" xfId="0" applyNumberFormat="1" applyFont="1" applyFill="1" applyBorder="1" applyAlignment="1">
      <alignment horizontal="right" vertical="center"/>
    </xf>
    <xf numFmtId="10" fontId="31" fillId="2" borderId="0" xfId="0" applyNumberFormat="1" applyFont="1" applyFill="1" applyBorder="1" applyAlignment="1">
      <alignment horizontal="right" vertical="center"/>
    </xf>
    <xf numFmtId="10" fontId="10" fillId="2" borderId="49" xfId="0" applyNumberFormat="1" applyFont="1" applyFill="1" applyBorder="1" applyAlignment="1">
      <alignment horizontal="right"/>
    </xf>
    <xf numFmtId="4" fontId="39" fillId="6" borderId="32" xfId="0" applyNumberFormat="1" applyFont="1" applyFill="1" applyBorder="1"/>
    <xf numFmtId="0" fontId="15" fillId="2" borderId="0" xfId="0" applyFont="1" applyFill="1" applyAlignment="1">
      <alignment horizontal="left"/>
    </xf>
    <xf numFmtId="0" fontId="39" fillId="6" borderId="0" xfId="0" applyFont="1" applyFill="1" applyBorder="1" applyAlignment="1">
      <alignment horizontal="left"/>
    </xf>
    <xf numFmtId="4" fontId="39" fillId="6" borderId="0" xfId="0" applyNumberFormat="1" applyFont="1" applyFill="1" applyBorder="1"/>
    <xf numFmtId="0" fontId="13" fillId="5" borderId="66" xfId="0" applyFont="1" applyFill="1" applyBorder="1" applyAlignment="1">
      <alignment vertical="center"/>
    </xf>
    <xf numFmtId="0" fontId="15" fillId="5" borderId="67" xfId="0" applyFont="1" applyFill="1" applyBorder="1" applyAlignment="1">
      <alignment horizontal="center" vertical="center"/>
    </xf>
    <xf numFmtId="4" fontId="13" fillId="5" borderId="68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10" fillId="2" borderId="70" xfId="0" applyFont="1" applyFill="1" applyBorder="1" applyAlignment="1">
      <alignment horizontal="left" vertical="center"/>
    </xf>
    <xf numFmtId="4" fontId="10" fillId="2" borderId="71" xfId="0" applyNumberFormat="1" applyFont="1" applyFill="1" applyBorder="1" applyAlignment="1">
      <alignment vertical="center"/>
    </xf>
    <xf numFmtId="0" fontId="8" fillId="2" borderId="24" xfId="0" applyFont="1" applyFill="1" applyBorder="1" applyAlignment="1">
      <alignment horizontal="center" vertical="center"/>
    </xf>
    <xf numFmtId="0" fontId="41" fillId="2" borderId="0" xfId="0" applyFont="1" applyFill="1" applyAlignment="1">
      <alignment horizontal="left"/>
    </xf>
    <xf numFmtId="0" fontId="28" fillId="2" borderId="0" xfId="0" applyFont="1" applyFill="1" applyAlignment="1">
      <alignment horizontal="left"/>
    </xf>
    <xf numFmtId="0" fontId="9" fillId="2" borderId="24" xfId="0" applyFont="1" applyFill="1" applyBorder="1"/>
    <xf numFmtId="4" fontId="21" fillId="2" borderId="51" xfId="0" applyNumberFormat="1" applyFont="1" applyFill="1" applyBorder="1"/>
    <xf numFmtId="4" fontId="24" fillId="2" borderId="72" xfId="0" applyNumberFormat="1" applyFont="1" applyFill="1" applyBorder="1"/>
    <xf numFmtId="0" fontId="24" fillId="5" borderId="51" xfId="0" applyFont="1" applyFill="1" applyBorder="1" applyAlignment="1">
      <alignment horizontal="center"/>
    </xf>
    <xf numFmtId="0" fontId="10" fillId="5" borderId="43" xfId="0" applyFont="1" applyFill="1" applyBorder="1" applyAlignment="1">
      <alignment horizontal="center"/>
    </xf>
    <xf numFmtId="0" fontId="21" fillId="2" borderId="51" xfId="0" applyFont="1" applyFill="1" applyBorder="1"/>
    <xf numFmtId="4" fontId="13" fillId="2" borderId="45" xfId="0" applyNumberFormat="1" applyFont="1" applyFill="1" applyBorder="1"/>
    <xf numFmtId="4" fontId="10" fillId="2" borderId="45" xfId="0" applyNumberFormat="1" applyFont="1" applyFill="1" applyBorder="1"/>
    <xf numFmtId="4" fontId="9" fillId="2" borderId="34" xfId="0" applyNumberFormat="1" applyFont="1" applyFill="1" applyBorder="1"/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/>
    <xf numFmtId="0" fontId="23" fillId="2" borderId="24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2" fontId="9" fillId="2" borderId="73" xfId="0" applyNumberFormat="1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/>
    </xf>
    <xf numFmtId="4" fontId="13" fillId="2" borderId="18" xfId="0" applyNumberFormat="1" applyFont="1" applyFill="1" applyBorder="1"/>
    <xf numFmtId="4" fontId="9" fillId="2" borderId="39" xfId="0" applyNumberFormat="1" applyFont="1" applyFill="1" applyBorder="1"/>
    <xf numFmtId="2" fontId="21" fillId="2" borderId="74" xfId="0" applyNumberFormat="1" applyFont="1" applyFill="1" applyBorder="1"/>
    <xf numFmtId="4" fontId="13" fillId="2" borderId="23" xfId="0" applyNumberFormat="1" applyFont="1" applyFill="1" applyBorder="1"/>
    <xf numFmtId="0" fontId="8" fillId="2" borderId="0" xfId="0" applyFont="1" applyFill="1" applyBorder="1"/>
    <xf numFmtId="0" fontId="8" fillId="2" borderId="2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  <xf numFmtId="0" fontId="8" fillId="2" borderId="5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7" xfId="0" applyFont="1" applyFill="1" applyBorder="1"/>
    <xf numFmtId="0" fontId="8" fillId="2" borderId="8" xfId="0" applyFont="1" applyFill="1" applyBorder="1"/>
    <xf numFmtId="164" fontId="8" fillId="2" borderId="8" xfId="0" applyNumberFormat="1" applyFont="1" applyFill="1" applyBorder="1" applyAlignment="1">
      <alignment horizontal="center"/>
    </xf>
    <xf numFmtId="0" fontId="8" fillId="2" borderId="9" xfId="0" applyFont="1" applyFill="1" applyBorder="1"/>
    <xf numFmtId="164" fontId="8" fillId="2" borderId="0" xfId="0" applyNumberFormat="1" applyFont="1" applyFill="1" applyAlignment="1">
      <alignment horizontal="center"/>
    </xf>
    <xf numFmtId="0" fontId="16" fillId="5" borderId="44" xfId="0" applyFont="1" applyFill="1" applyBorder="1" applyAlignment="1">
      <alignment horizontal="center" vertical="center"/>
    </xf>
    <xf numFmtId="0" fontId="22" fillId="5" borderId="44" xfId="0" applyFont="1" applyFill="1" applyBorder="1" applyAlignment="1">
      <alignment horizontal="center" vertical="center"/>
    </xf>
    <xf numFmtId="4" fontId="16" fillId="5" borderId="42" xfId="0" applyNumberFormat="1" applyFont="1" applyFill="1" applyBorder="1" applyAlignment="1">
      <alignment horizontal="left" vertical="center"/>
    </xf>
    <xf numFmtId="0" fontId="9" fillId="5" borderId="50" xfId="0" applyFont="1" applyFill="1" applyBorder="1" applyAlignment="1">
      <alignment horizontal="left" vertical="center"/>
    </xf>
    <xf numFmtId="4" fontId="16" fillId="5" borderId="50" xfId="0" applyNumberFormat="1" applyFont="1" applyFill="1" applyBorder="1" applyAlignment="1">
      <alignment horizontal="right" vertical="center"/>
    </xf>
    <xf numFmtId="0" fontId="16" fillId="5" borderId="50" xfId="0" applyFont="1" applyFill="1" applyBorder="1" applyAlignment="1">
      <alignment horizontal="left" vertical="center"/>
    </xf>
    <xf numFmtId="0" fontId="16" fillId="5" borderId="19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left"/>
    </xf>
    <xf numFmtId="0" fontId="17" fillId="5" borderId="13" xfId="0" applyFont="1" applyFill="1" applyBorder="1" applyAlignment="1">
      <alignment horizontal="left"/>
    </xf>
    <xf numFmtId="0" fontId="17" fillId="5" borderId="45" xfId="0" applyFont="1" applyFill="1" applyBorder="1" applyAlignment="1">
      <alignment horizontal="left"/>
    </xf>
    <xf numFmtId="0" fontId="16" fillId="5" borderId="20" xfId="0" applyFont="1" applyFill="1" applyBorder="1" applyAlignment="1">
      <alignment horizontal="center" vertical="center"/>
    </xf>
    <xf numFmtId="0" fontId="21" fillId="2" borderId="42" xfId="0" applyFont="1" applyFill="1" applyBorder="1"/>
    <xf numFmtId="0" fontId="21" fillId="2" borderId="50" xfId="0" applyFont="1" applyFill="1" applyBorder="1"/>
    <xf numFmtId="0" fontId="13" fillId="2" borderId="24" xfId="0" applyFont="1" applyFill="1" applyBorder="1" applyAlignment="1">
      <alignment horizontal="left"/>
    </xf>
    <xf numFmtId="0" fontId="10" fillId="2" borderId="25" xfId="0" applyFont="1" applyFill="1" applyBorder="1" applyAlignment="1">
      <alignment horizontal="left"/>
    </xf>
    <xf numFmtId="0" fontId="13" fillId="2" borderId="28" xfId="0" applyFont="1" applyFill="1" applyBorder="1" applyAlignment="1">
      <alignment horizontal="left"/>
    </xf>
    <xf numFmtId="0" fontId="25" fillId="2" borderId="24" xfId="0" applyFont="1" applyFill="1" applyBorder="1"/>
    <xf numFmtId="0" fontId="21" fillId="2" borderId="25" xfId="0" applyFont="1" applyFill="1" applyBorder="1"/>
    <xf numFmtId="0" fontId="21" fillId="2" borderId="13" xfId="0" applyFont="1" applyFill="1" applyBorder="1"/>
    <xf numFmtId="4" fontId="10" fillId="2" borderId="44" xfId="0" applyNumberFormat="1" applyFont="1" applyFill="1" applyBorder="1" applyAlignment="1">
      <alignment horizontal="center"/>
    </xf>
    <xf numFmtId="0" fontId="24" fillId="2" borderId="20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left"/>
    </xf>
    <xf numFmtId="0" fontId="24" fillId="2" borderId="17" xfId="0" applyFont="1" applyFill="1" applyBorder="1" applyAlignment="1">
      <alignment horizontal="left"/>
    </xf>
    <xf numFmtId="0" fontId="8" fillId="2" borderId="0" xfId="0" applyFont="1" applyFill="1" applyBorder="1" applyAlignment="1"/>
    <xf numFmtId="0" fontId="10" fillId="5" borderId="35" xfId="0" applyFont="1" applyFill="1" applyBorder="1" applyAlignment="1">
      <alignment horizontal="center" vertical="center"/>
    </xf>
    <xf numFmtId="0" fontId="10" fillId="5" borderId="75" xfId="0" applyFont="1" applyFill="1" applyBorder="1" applyAlignment="1">
      <alignment horizontal="center" vertical="center"/>
    </xf>
    <xf numFmtId="0" fontId="7" fillId="2" borderId="0" xfId="0" applyFont="1" applyFill="1"/>
    <xf numFmtId="4" fontId="10" fillId="5" borderId="53" xfId="0" applyNumberFormat="1" applyFont="1" applyFill="1" applyBorder="1" applyAlignment="1">
      <alignment vertical="center"/>
    </xf>
    <xf numFmtId="0" fontId="21" fillId="0" borderId="1" xfId="0" applyFont="1" applyFill="1" applyBorder="1" applyAlignment="1" applyProtection="1">
      <alignment horizontal="left"/>
      <protection locked="0"/>
    </xf>
    <xf numFmtId="0" fontId="21" fillId="0" borderId="2" xfId="0" applyFont="1" applyFill="1" applyBorder="1" applyAlignment="1" applyProtection="1">
      <alignment horizontal="left"/>
      <protection locked="0"/>
    </xf>
    <xf numFmtId="0" fontId="21" fillId="0" borderId="3" xfId="0" applyFont="1" applyFill="1" applyBorder="1" applyAlignment="1" applyProtection="1">
      <alignment horizontal="left"/>
      <protection locked="0"/>
    </xf>
    <xf numFmtId="0" fontId="21" fillId="0" borderId="4" xfId="0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21" fillId="0" borderId="5" xfId="0" applyFont="1" applyFill="1" applyBorder="1" applyAlignment="1" applyProtection="1">
      <alignment horizontal="left"/>
      <protection locked="0"/>
    </xf>
    <xf numFmtId="0" fontId="7" fillId="0" borderId="4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5" xfId="0" applyFont="1" applyFill="1" applyBorder="1" applyAlignment="1" applyProtection="1">
      <alignment horizontal="left"/>
      <protection locked="0"/>
    </xf>
    <xf numFmtId="0" fontId="13" fillId="0" borderId="4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5" xfId="0" applyFont="1" applyFill="1" applyBorder="1" applyAlignment="1" applyProtection="1">
      <alignment horizontal="left" vertical="center"/>
      <protection locked="0"/>
    </xf>
    <xf numFmtId="0" fontId="22" fillId="0" borderId="4" xfId="0" applyFont="1" applyFill="1" applyBorder="1" applyAlignment="1" applyProtection="1">
      <alignment horizontal="left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5" xfId="0" applyFont="1" applyFill="1" applyBorder="1" applyAlignment="1" applyProtection="1">
      <alignment horizontal="left"/>
      <protection locked="0"/>
    </xf>
    <xf numFmtId="0" fontId="21" fillId="0" borderId="4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21" fillId="0" borderId="5" xfId="0" applyFont="1" applyFill="1" applyBorder="1" applyAlignment="1" applyProtection="1">
      <alignment horizontal="left" vertical="center"/>
      <protection locked="0"/>
    </xf>
    <xf numFmtId="0" fontId="21" fillId="0" borderId="7" xfId="0" applyFont="1" applyFill="1" applyBorder="1" applyAlignment="1" applyProtection="1">
      <alignment horizontal="left"/>
      <protection locked="0"/>
    </xf>
    <xf numFmtId="0" fontId="21" fillId="0" borderId="8" xfId="0" applyFont="1" applyFill="1" applyBorder="1" applyAlignment="1" applyProtection="1">
      <alignment horizontal="left"/>
      <protection locked="0"/>
    </xf>
    <xf numFmtId="0" fontId="21" fillId="0" borderId="9" xfId="0" applyFont="1" applyFill="1" applyBorder="1" applyAlignment="1" applyProtection="1">
      <alignment horizontal="left"/>
      <protection locked="0"/>
    </xf>
    <xf numFmtId="0" fontId="18" fillId="0" borderId="7" xfId="0" applyFont="1" applyBorder="1" applyAlignment="1" applyProtection="1">
      <alignment horizontal="left"/>
      <protection locked="0"/>
    </xf>
    <xf numFmtId="0" fontId="18" fillId="0" borderId="8" xfId="0" applyFont="1" applyBorder="1" applyAlignment="1" applyProtection="1">
      <alignment horizontal="left"/>
      <protection locked="0"/>
    </xf>
    <xf numFmtId="0" fontId="18" fillId="0" borderId="9" xfId="0" applyFont="1" applyBorder="1" applyAlignment="1" applyProtection="1">
      <alignment horizontal="left"/>
      <protection locked="0"/>
    </xf>
    <xf numFmtId="0" fontId="18" fillId="0" borderId="1" xfId="0" applyFont="1" applyBorder="1" applyAlignment="1" applyProtection="1">
      <alignment horizontal="left"/>
      <protection locked="0"/>
    </xf>
    <xf numFmtId="0" fontId="18" fillId="0" borderId="2" xfId="0" applyFont="1" applyBorder="1" applyAlignment="1" applyProtection="1">
      <alignment horizontal="left"/>
      <protection locked="0"/>
    </xf>
    <xf numFmtId="0" fontId="18" fillId="0" borderId="3" xfId="0" applyFont="1" applyBorder="1" applyAlignment="1" applyProtection="1">
      <alignment horizontal="left"/>
      <protection locked="0"/>
    </xf>
    <xf numFmtId="0" fontId="18" fillId="0" borderId="4" xfId="0" applyFont="1" applyBorder="1" applyAlignment="1" applyProtection="1">
      <alignment horizontal="left"/>
      <protection locked="0"/>
    </xf>
    <xf numFmtId="0" fontId="40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5" xfId="0" applyFont="1" applyBorder="1" applyAlignment="1" applyProtection="1">
      <alignment horizontal="left"/>
      <protection locked="0"/>
    </xf>
    <xf numFmtId="0" fontId="11" fillId="2" borderId="76" xfId="0" applyFont="1" applyFill="1" applyBorder="1" applyProtection="1">
      <protection locked="0"/>
    </xf>
    <xf numFmtId="164" fontId="17" fillId="2" borderId="11" xfId="0" applyNumberFormat="1" applyFont="1" applyFill="1" applyBorder="1" applyAlignment="1" applyProtection="1">
      <alignment horizontal="center"/>
      <protection locked="0"/>
    </xf>
    <xf numFmtId="164" fontId="17" fillId="2" borderId="12" xfId="0" applyNumberFormat="1" applyFont="1" applyFill="1" applyBorder="1" applyAlignment="1" applyProtection="1">
      <alignment horizontal="center"/>
      <protection locked="0"/>
    </xf>
    <xf numFmtId="164" fontId="17" fillId="2" borderId="10" xfId="0" applyNumberFormat="1" applyFont="1" applyFill="1" applyBorder="1" applyAlignment="1" applyProtection="1">
      <alignment horizontal="center"/>
      <protection locked="0"/>
    </xf>
    <xf numFmtId="0" fontId="21" fillId="2" borderId="11" xfId="0" applyFont="1" applyFill="1" applyBorder="1" applyProtection="1">
      <protection locked="0"/>
    </xf>
    <xf numFmtId="10" fontId="21" fillId="2" borderId="11" xfId="0" applyNumberFormat="1" applyFont="1" applyFill="1" applyBorder="1" applyAlignment="1" applyProtection="1">
      <alignment horizontal="center"/>
      <protection locked="0"/>
    </xf>
    <xf numFmtId="4" fontId="21" fillId="2" borderId="11" xfId="0" applyNumberFormat="1" applyFont="1" applyFill="1" applyBorder="1" applyProtection="1">
      <protection locked="0"/>
    </xf>
    <xf numFmtId="0" fontId="21" fillId="2" borderId="12" xfId="0" applyFont="1" applyFill="1" applyBorder="1" applyProtection="1">
      <protection locked="0"/>
    </xf>
    <xf numFmtId="10" fontId="21" fillId="2" borderId="12" xfId="0" applyNumberFormat="1" applyFont="1" applyFill="1" applyBorder="1" applyAlignment="1" applyProtection="1">
      <alignment horizontal="center"/>
      <protection locked="0"/>
    </xf>
    <xf numFmtId="3" fontId="21" fillId="2" borderId="12" xfId="0" applyNumberFormat="1" applyFont="1" applyFill="1" applyBorder="1" applyProtection="1">
      <protection locked="0"/>
    </xf>
    <xf numFmtId="4" fontId="21" fillId="2" borderId="12" xfId="0" applyNumberFormat="1" applyFont="1" applyFill="1" applyBorder="1" applyProtection="1">
      <protection locked="0"/>
    </xf>
    <xf numFmtId="4" fontId="9" fillId="2" borderId="21" xfId="0" applyNumberFormat="1" applyFont="1" applyFill="1" applyBorder="1" applyProtection="1">
      <protection locked="0"/>
    </xf>
    <xf numFmtId="4" fontId="9" fillId="2" borderId="22" xfId="0" applyNumberFormat="1" applyFont="1" applyFill="1" applyBorder="1" applyProtection="1">
      <protection locked="0"/>
    </xf>
    <xf numFmtId="4" fontId="10" fillId="2" borderId="20" xfId="0" applyNumberFormat="1" applyFont="1" applyFill="1" applyBorder="1" applyProtection="1">
      <protection locked="0"/>
    </xf>
    <xf numFmtId="4" fontId="9" fillId="2" borderId="39" xfId="0" applyNumberFormat="1" applyFont="1" applyFill="1" applyBorder="1" applyProtection="1">
      <protection locked="0"/>
    </xf>
    <xf numFmtId="4" fontId="9" fillId="2" borderId="54" xfId="0" applyNumberFormat="1" applyFont="1" applyFill="1" applyBorder="1" applyProtection="1">
      <protection locked="0"/>
    </xf>
    <xf numFmtId="4" fontId="9" fillId="2" borderId="34" xfId="0" applyNumberFormat="1" applyFont="1" applyFill="1" applyBorder="1" applyProtection="1">
      <protection locked="0"/>
    </xf>
    <xf numFmtId="4" fontId="10" fillId="2" borderId="45" xfId="0" applyNumberFormat="1" applyFont="1" applyFill="1" applyBorder="1" applyProtection="1">
      <protection locked="0"/>
    </xf>
    <xf numFmtId="4" fontId="9" fillId="2" borderId="33" xfId="0" applyNumberFormat="1" applyFont="1" applyFill="1" applyBorder="1" applyProtection="1">
      <protection locked="0"/>
    </xf>
    <xf numFmtId="4" fontId="9" fillId="2" borderId="35" xfId="0" applyNumberFormat="1" applyFont="1" applyFill="1" applyBorder="1" applyProtection="1">
      <protection locked="0"/>
    </xf>
    <xf numFmtId="4" fontId="25" fillId="2" borderId="19" xfId="0" applyNumberFormat="1" applyFont="1" applyFill="1" applyBorder="1" applyProtection="1">
      <protection locked="0"/>
    </xf>
    <xf numFmtId="4" fontId="13" fillId="2" borderId="18" xfId="0" applyNumberFormat="1" applyFont="1" applyFill="1" applyBorder="1" applyProtection="1"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4" fontId="9" fillId="2" borderId="21" xfId="0" applyNumberFormat="1" applyFont="1" applyFill="1" applyBorder="1" applyAlignment="1" applyProtection="1">
      <alignment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vertical="center"/>
      <protection locked="0"/>
    </xf>
    <xf numFmtId="3" fontId="9" fillId="2" borderId="22" xfId="0" applyNumberFormat="1" applyFont="1" applyFill="1" applyBorder="1" applyAlignment="1" applyProtection="1">
      <alignment horizontal="center" vertical="center"/>
      <protection locked="0"/>
    </xf>
    <xf numFmtId="4" fontId="9" fillId="2" borderId="22" xfId="0" applyNumberFormat="1" applyFont="1" applyFill="1" applyBorder="1" applyAlignment="1" applyProtection="1">
      <alignment vertical="center"/>
      <protection locked="0"/>
    </xf>
    <xf numFmtId="4" fontId="10" fillId="2" borderId="21" xfId="0" applyNumberFormat="1" applyFont="1" applyFill="1" applyBorder="1" applyAlignment="1" applyProtection="1">
      <alignment vertical="center"/>
      <protection locked="0"/>
    </xf>
    <xf numFmtId="4" fontId="8" fillId="2" borderId="77" xfId="0" applyNumberFormat="1" applyFont="1" applyFill="1" applyBorder="1" applyAlignment="1" applyProtection="1">
      <alignment vertical="center"/>
      <protection locked="0"/>
    </xf>
    <xf numFmtId="4" fontId="8" fillId="2" borderId="78" xfId="0" applyNumberFormat="1" applyFont="1" applyFill="1" applyBorder="1" applyAlignment="1" applyProtection="1">
      <alignment vertical="center"/>
      <protection locked="0"/>
    </xf>
    <xf numFmtId="4" fontId="8" fillId="2" borderId="79" xfId="0" applyNumberFormat="1" applyFont="1" applyFill="1" applyBorder="1" applyAlignment="1" applyProtection="1">
      <alignment vertical="center"/>
      <protection locked="0"/>
    </xf>
    <xf numFmtId="4" fontId="10" fillId="2" borderId="22" xfId="0" applyNumberFormat="1" applyFont="1" applyFill="1" applyBorder="1" applyAlignment="1" applyProtection="1">
      <alignment vertical="center"/>
      <protection locked="0"/>
    </xf>
    <xf numFmtId="4" fontId="8" fillId="2" borderId="80" xfId="0" applyNumberFormat="1" applyFont="1" applyFill="1" applyBorder="1" applyAlignment="1" applyProtection="1">
      <alignment vertical="center"/>
      <protection locked="0"/>
    </xf>
    <xf numFmtId="4" fontId="8" fillId="2" borderId="81" xfId="0" applyNumberFormat="1" applyFont="1" applyFill="1" applyBorder="1" applyAlignment="1" applyProtection="1">
      <alignment vertical="center"/>
      <protection locked="0"/>
    </xf>
    <xf numFmtId="4" fontId="8" fillId="2" borderId="82" xfId="0" applyNumberFormat="1" applyFont="1" applyFill="1" applyBorder="1" applyAlignment="1" applyProtection="1">
      <alignment vertical="center"/>
      <protection locked="0"/>
    </xf>
    <xf numFmtId="4" fontId="10" fillId="2" borderId="33" xfId="0" applyNumberFormat="1" applyFont="1" applyFill="1" applyBorder="1" applyAlignment="1" applyProtection="1">
      <alignment vertical="center"/>
      <protection locked="0"/>
    </xf>
    <xf numFmtId="4" fontId="8" fillId="2" borderId="75" xfId="0" applyNumberFormat="1" applyFont="1" applyFill="1" applyBorder="1" applyAlignment="1" applyProtection="1">
      <alignment vertical="center"/>
      <protection locked="0"/>
    </xf>
    <xf numFmtId="4" fontId="8" fillId="2" borderId="83" xfId="0" applyNumberFormat="1" applyFont="1" applyFill="1" applyBorder="1" applyAlignment="1" applyProtection="1">
      <alignment vertical="center"/>
      <protection locked="0"/>
    </xf>
    <xf numFmtId="4" fontId="8" fillId="2" borderId="84" xfId="0" applyNumberFormat="1" applyFont="1" applyFill="1" applyBorder="1" applyAlignment="1" applyProtection="1">
      <alignment vertical="center"/>
      <protection locked="0"/>
    </xf>
    <xf numFmtId="4" fontId="8" fillId="2" borderId="85" xfId="0" applyNumberFormat="1" applyFont="1" applyFill="1" applyBorder="1" applyAlignment="1" applyProtection="1">
      <alignment vertical="center"/>
      <protection locked="0"/>
    </xf>
    <xf numFmtId="4" fontId="8" fillId="2" borderId="86" xfId="0" applyNumberFormat="1" applyFont="1" applyFill="1" applyBorder="1" applyAlignment="1" applyProtection="1">
      <alignment vertical="center"/>
      <protection locked="0"/>
    </xf>
    <xf numFmtId="4" fontId="8" fillId="2" borderId="87" xfId="0" applyNumberFormat="1" applyFont="1" applyFill="1" applyBorder="1" applyAlignment="1" applyProtection="1">
      <alignment vertical="center"/>
      <protection locked="0"/>
    </xf>
    <xf numFmtId="4" fontId="8" fillId="2" borderId="88" xfId="0" applyNumberFormat="1" applyFont="1" applyFill="1" applyBorder="1" applyAlignment="1" applyProtection="1">
      <alignment vertical="center"/>
      <protection locked="0"/>
    </xf>
    <xf numFmtId="0" fontId="8" fillId="2" borderId="29" xfId="0" applyFont="1" applyFill="1" applyBorder="1" applyAlignment="1" applyProtection="1">
      <alignment horizontal="left" vertical="center"/>
      <protection locked="0"/>
    </xf>
    <xf numFmtId="0" fontId="8" fillId="2" borderId="35" xfId="0" applyFont="1" applyFill="1" applyBorder="1" applyAlignment="1" applyProtection="1">
      <alignment horizontal="left" vertical="center"/>
      <protection locked="0"/>
    </xf>
    <xf numFmtId="4" fontId="8" fillId="2" borderId="34" xfId="0" applyNumberFormat="1" applyFont="1" applyFill="1" applyBorder="1" applyAlignment="1" applyProtection="1">
      <alignment horizontal="left" vertical="center"/>
      <protection locked="0"/>
    </xf>
    <xf numFmtId="4" fontId="8" fillId="2" borderId="65" xfId="0" applyNumberFormat="1" applyFont="1" applyFill="1" applyBorder="1" applyAlignment="1" applyProtection="1">
      <alignment horizontal="left" vertical="center"/>
      <protection locked="0"/>
    </xf>
    <xf numFmtId="10" fontId="7" fillId="2" borderId="40" xfId="6" applyNumberFormat="1" applyFont="1" applyFill="1" applyBorder="1" applyAlignment="1" applyProtection="1">
      <alignment vertical="center"/>
      <protection locked="0"/>
    </xf>
    <xf numFmtId="4" fontId="7" fillId="2" borderId="40" xfId="0" applyNumberFormat="1" applyFont="1" applyFill="1" applyBorder="1" applyAlignment="1" applyProtection="1">
      <alignment vertical="center"/>
      <protection locked="0"/>
    </xf>
    <xf numFmtId="10" fontId="7" fillId="2" borderId="34" xfId="6" applyNumberFormat="1" applyFont="1" applyFill="1" applyBorder="1" applyAlignment="1" applyProtection="1">
      <alignment vertical="center"/>
      <protection locked="0"/>
    </xf>
    <xf numFmtId="4" fontId="7" fillId="2" borderId="34" xfId="0" applyNumberFormat="1" applyFont="1" applyFill="1" applyBorder="1" applyAlignment="1" applyProtection="1">
      <alignment vertical="center"/>
      <protection locked="0"/>
    </xf>
    <xf numFmtId="10" fontId="7" fillId="2" borderId="65" xfId="6" applyNumberFormat="1" applyFont="1" applyFill="1" applyBorder="1" applyAlignment="1" applyProtection="1">
      <alignment vertical="center"/>
      <protection locked="0"/>
    </xf>
    <xf numFmtId="4" fontId="7" fillId="2" borderId="65" xfId="0" applyNumberFormat="1" applyFont="1" applyFill="1" applyBorder="1" applyAlignment="1" applyProtection="1">
      <alignment vertical="center"/>
      <protection locked="0"/>
    </xf>
    <xf numFmtId="10" fontId="7" fillId="2" borderId="35" xfId="6" applyNumberFormat="1" applyFont="1" applyFill="1" applyBorder="1" applyAlignment="1" applyProtection="1">
      <alignment vertical="center"/>
      <protection locked="0"/>
    </xf>
    <xf numFmtId="4" fontId="7" fillId="2" borderId="35" xfId="0" applyNumberFormat="1" applyFont="1" applyFill="1" applyBorder="1" applyAlignment="1" applyProtection="1">
      <alignment vertical="center"/>
      <protection locked="0"/>
    </xf>
    <xf numFmtId="10" fontId="10" fillId="2" borderId="32" xfId="6" applyNumberFormat="1" applyFont="1" applyFill="1" applyBorder="1" applyAlignment="1">
      <alignment vertical="center"/>
    </xf>
    <xf numFmtId="4" fontId="10" fillId="2" borderId="41" xfId="0" applyNumberFormat="1" applyFont="1" applyFill="1" applyBorder="1" applyAlignment="1" applyProtection="1">
      <alignment vertical="center"/>
      <protection locked="0"/>
    </xf>
    <xf numFmtId="4" fontId="10" fillId="2" borderId="46" xfId="0" applyNumberFormat="1" applyFont="1" applyFill="1" applyBorder="1" applyAlignment="1" applyProtection="1">
      <alignment vertical="center"/>
      <protection locked="0"/>
    </xf>
    <xf numFmtId="0" fontId="17" fillId="2" borderId="0" xfId="0" applyFont="1" applyFill="1" applyBorder="1" applyAlignment="1" applyProtection="1">
      <alignment horizontal="left"/>
      <protection locked="0"/>
    </xf>
    <xf numFmtId="4" fontId="8" fillId="2" borderId="21" xfId="0" applyNumberFormat="1" applyFont="1" applyFill="1" applyBorder="1" applyAlignment="1" applyProtection="1">
      <alignment vertical="center"/>
      <protection locked="0"/>
    </xf>
    <xf numFmtId="4" fontId="8" fillId="2" borderId="54" xfId="0" applyNumberFormat="1" applyFont="1" applyFill="1" applyBorder="1" applyAlignment="1" applyProtection="1">
      <alignment horizontal="left" vertical="center"/>
      <protection locked="0"/>
    </xf>
    <xf numFmtId="4" fontId="8" fillId="2" borderId="39" xfId="0" applyNumberFormat="1" applyFont="1" applyFill="1" applyBorder="1" applyAlignment="1" applyProtection="1">
      <alignment vertical="center"/>
      <protection locked="0"/>
    </xf>
    <xf numFmtId="4" fontId="8" fillId="2" borderId="22" xfId="0" applyNumberFormat="1" applyFont="1" applyFill="1" applyBorder="1" applyAlignment="1" applyProtection="1">
      <alignment vertical="center"/>
      <protection locked="0"/>
    </xf>
    <xf numFmtId="4" fontId="8" fillId="2" borderId="89" xfId="0" applyNumberFormat="1" applyFont="1" applyFill="1" applyBorder="1" applyAlignment="1" applyProtection="1">
      <alignment vertical="center"/>
      <protection locked="0"/>
    </xf>
    <xf numFmtId="4" fontId="8" fillId="2" borderId="33" xfId="0" applyNumberFormat="1" applyFont="1" applyFill="1" applyBorder="1" applyAlignment="1" applyProtection="1">
      <alignment vertical="center"/>
      <protection locked="0"/>
    </xf>
    <xf numFmtId="0" fontId="8" fillId="2" borderId="16" xfId="0" applyFont="1" applyFill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 applyProtection="1">
      <alignment horizontal="left" vertical="center"/>
      <protection locked="0"/>
    </xf>
    <xf numFmtId="4" fontId="8" fillId="2" borderId="26" xfId="0" applyNumberFormat="1" applyFont="1" applyFill="1" applyBorder="1" applyAlignment="1" applyProtection="1">
      <alignment vertical="center"/>
      <protection locked="0"/>
    </xf>
    <xf numFmtId="4" fontId="8" fillId="2" borderId="27" xfId="0" applyNumberFormat="1" applyFont="1" applyFill="1" applyBorder="1" applyAlignment="1" applyProtection="1">
      <alignment vertical="center"/>
      <protection locked="0"/>
    </xf>
    <xf numFmtId="0" fontId="8" fillId="2" borderId="39" xfId="0" applyFont="1" applyFill="1" applyBorder="1" applyAlignment="1" applyProtection="1">
      <alignment horizontal="left" vertical="center"/>
      <protection locked="0"/>
    </xf>
    <xf numFmtId="0" fontId="8" fillId="2" borderId="22" xfId="0" applyFont="1" applyFill="1" applyBorder="1" applyAlignment="1" applyProtection="1">
      <alignment horizontal="left" vertical="center"/>
      <protection locked="0"/>
    </xf>
    <xf numFmtId="0" fontId="8" fillId="2" borderId="33" xfId="0" applyFont="1" applyFill="1" applyBorder="1" applyAlignment="1" applyProtection="1">
      <alignment horizontal="left" vertical="center"/>
      <protection locked="0"/>
    </xf>
    <xf numFmtId="4" fontId="10" fillId="2" borderId="18" xfId="0" applyNumberFormat="1" applyFont="1" applyFill="1" applyBorder="1" applyAlignment="1" applyProtection="1">
      <alignment vertical="center"/>
      <protection locked="0"/>
    </xf>
    <xf numFmtId="4" fontId="8" fillId="2" borderId="90" xfId="0" applyNumberFormat="1" applyFont="1" applyFill="1" applyBorder="1" applyAlignment="1" applyProtection="1">
      <alignment vertical="center"/>
      <protection locked="0"/>
    </xf>
    <xf numFmtId="4" fontId="8" fillId="2" borderId="91" xfId="0" applyNumberFormat="1" applyFont="1" applyFill="1" applyBorder="1" applyAlignment="1" applyProtection="1">
      <alignment vertical="center"/>
      <protection locked="0"/>
    </xf>
    <xf numFmtId="4" fontId="8" fillId="2" borderId="92" xfId="0" applyNumberFormat="1" applyFont="1" applyFill="1" applyBorder="1" applyAlignment="1" applyProtection="1">
      <alignment vertical="center"/>
      <protection locked="0"/>
    </xf>
    <xf numFmtId="0" fontId="17" fillId="2" borderId="41" xfId="0" applyFont="1" applyFill="1" applyBorder="1" applyAlignment="1" applyProtection="1">
      <alignment horizontal="center" vertical="center"/>
      <protection locked="0"/>
    </xf>
    <xf numFmtId="4" fontId="8" fillId="2" borderId="16" xfId="0" applyNumberFormat="1" applyFont="1" applyFill="1" applyBorder="1" applyAlignment="1" applyProtection="1">
      <alignment horizontal="left" vertical="center"/>
      <protection locked="0"/>
    </xf>
    <xf numFmtId="4" fontId="8" fillId="2" borderId="30" xfId="0" applyNumberFormat="1" applyFont="1" applyFill="1" applyBorder="1" applyAlignment="1" applyProtection="1">
      <alignment horizontal="left" vertical="center"/>
      <protection locked="0"/>
    </xf>
    <xf numFmtId="4" fontId="8" fillId="2" borderId="33" xfId="0" applyNumberFormat="1" applyFont="1" applyFill="1" applyBorder="1" applyAlignment="1" applyProtection="1">
      <alignment horizontal="left" vertical="center"/>
      <protection locked="0"/>
    </xf>
    <xf numFmtId="4" fontId="17" fillId="2" borderId="39" xfId="0" applyNumberFormat="1" applyFont="1" applyFill="1" applyBorder="1" applyAlignment="1" applyProtection="1">
      <alignment vertical="center"/>
      <protection locked="0"/>
    </xf>
    <xf numFmtId="4" fontId="17" fillId="2" borderId="19" xfId="0" applyNumberFormat="1" applyFont="1" applyFill="1" applyBorder="1" applyAlignment="1" applyProtection="1">
      <alignment vertical="center"/>
      <protection locked="0"/>
    </xf>
    <xf numFmtId="4" fontId="8" fillId="2" borderId="38" xfId="0" applyNumberFormat="1" applyFont="1" applyFill="1" applyBorder="1" applyAlignment="1" applyProtection="1">
      <alignment horizontal="left" vertical="center"/>
      <protection locked="0"/>
    </xf>
    <xf numFmtId="4" fontId="8" fillId="2" borderId="40" xfId="0" applyNumberFormat="1" applyFont="1" applyFill="1" applyBorder="1" applyAlignment="1" applyProtection="1">
      <alignment horizontal="left" vertical="center"/>
      <protection locked="0"/>
    </xf>
    <xf numFmtId="4" fontId="8" fillId="2" borderId="29" xfId="0" applyNumberFormat="1" applyFont="1" applyFill="1" applyBorder="1" applyAlignment="1" applyProtection="1">
      <alignment horizontal="left" vertical="center"/>
      <protection locked="0"/>
    </xf>
    <xf numFmtId="4" fontId="8" fillId="2" borderId="35" xfId="0" applyNumberFormat="1" applyFont="1" applyFill="1" applyBorder="1" applyAlignment="1" applyProtection="1">
      <alignment horizontal="left" vertical="center"/>
      <protection locked="0"/>
    </xf>
    <xf numFmtId="4" fontId="8" fillId="2" borderId="27" xfId="0" applyNumberFormat="1" applyFont="1" applyFill="1" applyBorder="1" applyAlignment="1" applyProtection="1">
      <alignment horizontal="left" vertical="center"/>
      <protection locked="0"/>
    </xf>
    <xf numFmtId="3" fontId="13" fillId="2" borderId="41" xfId="0" applyNumberFormat="1" applyFont="1" applyFill="1" applyBorder="1" applyAlignment="1" applyProtection="1">
      <alignment horizontal="center" vertical="center"/>
      <protection locked="0"/>
    </xf>
    <xf numFmtId="0" fontId="10" fillId="2" borderId="93" xfId="0" applyFont="1" applyFill="1" applyBorder="1"/>
    <xf numFmtId="0" fontId="10" fillId="2" borderId="10" xfId="0" applyFont="1" applyFill="1" applyBorder="1"/>
    <xf numFmtId="0" fontId="10" fillId="2" borderId="76" xfId="0" applyFont="1" applyFill="1" applyBorder="1"/>
    <xf numFmtId="0" fontId="10" fillId="2" borderId="76" xfId="0" applyFont="1" applyFill="1" applyBorder="1" applyProtection="1">
      <protection locked="0"/>
    </xf>
    <xf numFmtId="0" fontId="17" fillId="2" borderId="11" xfId="0" applyFont="1" applyFill="1" applyBorder="1" applyAlignment="1" applyProtection="1">
      <protection locked="0"/>
    </xf>
    <xf numFmtId="0" fontId="17" fillId="2" borderId="12" xfId="0" applyFont="1" applyFill="1" applyBorder="1" applyAlignment="1" applyProtection="1">
      <protection locked="0"/>
    </xf>
    <xf numFmtId="0" fontId="17" fillId="2" borderId="10" xfId="0" applyFont="1" applyFill="1" applyBorder="1" applyAlignment="1" applyProtection="1">
      <protection locked="0"/>
    </xf>
    <xf numFmtId="10" fontId="21" fillId="2" borderId="12" xfId="0" applyNumberFormat="1" applyFont="1" applyFill="1" applyBorder="1" applyProtection="1">
      <protection locked="0"/>
    </xf>
    <xf numFmtId="4" fontId="8" fillId="2" borderId="21" xfId="0" applyNumberFormat="1" applyFont="1" applyFill="1" applyBorder="1" applyAlignment="1" applyProtection="1">
      <alignment horizontal="left" vertical="center"/>
      <protection locked="0"/>
    </xf>
    <xf numFmtId="0" fontId="8" fillId="2" borderId="21" xfId="0" applyFont="1" applyFill="1" applyBorder="1" applyAlignment="1" applyProtection="1">
      <alignment horizontal="left" vertical="center"/>
      <protection locked="0"/>
    </xf>
    <xf numFmtId="4" fontId="8" fillId="2" borderId="22" xfId="0" applyNumberFormat="1" applyFont="1" applyFill="1" applyBorder="1" applyAlignment="1" applyProtection="1">
      <alignment horizontal="left" vertical="center"/>
      <protection locked="0"/>
    </xf>
    <xf numFmtId="4" fontId="10" fillId="2" borderId="20" xfId="0" applyNumberFormat="1" applyFont="1" applyFill="1" applyBorder="1" applyProtection="1"/>
    <xf numFmtId="0" fontId="6" fillId="2" borderId="15" xfId="0" applyFont="1" applyFill="1" applyBorder="1"/>
    <xf numFmtId="4" fontId="8" fillId="2" borderId="18" xfId="0" applyNumberFormat="1" applyFont="1" applyFill="1" applyBorder="1" applyAlignment="1" applyProtection="1">
      <alignment horizontal="right" vertical="center"/>
      <protection locked="0"/>
    </xf>
    <xf numFmtId="4" fontId="8" fillId="2" borderId="59" xfId="0" applyNumberFormat="1" applyFont="1" applyFill="1" applyBorder="1" applyAlignment="1" applyProtection="1">
      <alignment horizontal="right" vertical="center"/>
      <protection locked="0"/>
    </xf>
    <xf numFmtId="4" fontId="8" fillId="2" borderId="53" xfId="0" applyNumberFormat="1" applyFont="1" applyFill="1" applyBorder="1" applyAlignment="1" applyProtection="1">
      <alignment horizontal="right" vertical="center"/>
      <protection locked="0"/>
    </xf>
    <xf numFmtId="4" fontId="8" fillId="2" borderId="58" xfId="0" applyNumberFormat="1" applyFont="1" applyFill="1" applyBorder="1" applyAlignment="1" applyProtection="1">
      <alignment horizontal="right" vertical="center"/>
      <protection locked="0"/>
    </xf>
    <xf numFmtId="4" fontId="6" fillId="2" borderId="39" xfId="0" applyNumberFormat="1" applyFont="1" applyFill="1" applyBorder="1" applyAlignment="1" applyProtection="1">
      <alignment vertical="center"/>
      <protection locked="0"/>
    </xf>
    <xf numFmtId="4" fontId="6" fillId="2" borderId="22" xfId="0" applyNumberFormat="1" applyFont="1" applyFill="1" applyBorder="1" applyAlignment="1" applyProtection="1">
      <alignment vertical="center"/>
      <protection locked="0"/>
    </xf>
    <xf numFmtId="4" fontId="6" fillId="2" borderId="89" xfId="0" applyNumberFormat="1" applyFont="1" applyFill="1" applyBorder="1" applyAlignment="1" applyProtection="1">
      <alignment vertical="center"/>
      <protection locked="0"/>
    </xf>
    <xf numFmtId="4" fontId="6" fillId="2" borderId="33" xfId="0" applyNumberFormat="1" applyFont="1" applyFill="1" applyBorder="1" applyAlignment="1" applyProtection="1">
      <alignment vertical="center"/>
      <protection locked="0"/>
    </xf>
    <xf numFmtId="0" fontId="8" fillId="2" borderId="26" xfId="0" applyFont="1" applyFill="1" applyBorder="1" applyAlignment="1" applyProtection="1">
      <alignment vertical="center"/>
      <protection locked="0"/>
    </xf>
    <xf numFmtId="0" fontId="8" fillId="2" borderId="54" xfId="0" applyFont="1" applyFill="1" applyBorder="1" applyAlignment="1" applyProtection="1">
      <alignment vertical="center"/>
      <protection locked="0"/>
    </xf>
    <xf numFmtId="0" fontId="8" fillId="2" borderId="27" xfId="0" applyFont="1" applyFill="1" applyBorder="1" applyAlignment="1" applyProtection="1">
      <alignment vertical="center"/>
      <protection locked="0"/>
    </xf>
    <xf numFmtId="0" fontId="8" fillId="2" borderId="34" xfId="0" applyFont="1" applyFill="1" applyBorder="1" applyAlignment="1" applyProtection="1">
      <alignment vertical="center"/>
      <protection locked="0"/>
    </xf>
    <xf numFmtId="0" fontId="8" fillId="2" borderId="29" xfId="0" applyFont="1" applyFill="1" applyBorder="1" applyAlignment="1" applyProtection="1">
      <alignment vertical="center"/>
      <protection locked="0"/>
    </xf>
    <xf numFmtId="0" fontId="8" fillId="2" borderId="35" xfId="0" applyFont="1" applyFill="1" applyBorder="1" applyAlignment="1" applyProtection="1">
      <alignment vertical="center"/>
      <protection locked="0"/>
    </xf>
    <xf numFmtId="4" fontId="6" fillId="2" borderId="21" xfId="0" applyNumberFormat="1" applyFont="1" applyFill="1" applyBorder="1" applyAlignment="1" applyProtection="1">
      <alignment vertical="center"/>
      <protection locked="0"/>
    </xf>
    <xf numFmtId="4" fontId="8" fillId="2" borderId="94" xfId="0" applyNumberFormat="1" applyFont="1" applyFill="1" applyBorder="1" applyAlignment="1" applyProtection="1">
      <alignment horizontal="right" vertical="center"/>
      <protection locked="0"/>
    </xf>
    <xf numFmtId="4" fontId="8" fillId="2" borderId="82" xfId="0" applyNumberFormat="1" applyFont="1" applyFill="1" applyBorder="1" applyAlignment="1" applyProtection="1">
      <alignment horizontal="right" vertical="center"/>
      <protection locked="0"/>
    </xf>
    <xf numFmtId="4" fontId="8" fillId="2" borderId="84" xfId="0" applyNumberFormat="1" applyFont="1" applyFill="1" applyBorder="1" applyAlignment="1" applyProtection="1">
      <alignment horizontal="right" vertical="center"/>
      <protection locked="0"/>
    </xf>
    <xf numFmtId="4" fontId="6" fillId="2" borderId="90" xfId="0" applyNumberFormat="1" applyFont="1" applyFill="1" applyBorder="1" applyAlignment="1" applyProtection="1">
      <alignment vertical="center"/>
      <protection locked="0"/>
    </xf>
    <xf numFmtId="4" fontId="6" fillId="2" borderId="86" xfId="0" applyNumberFormat="1" applyFont="1" applyFill="1" applyBorder="1" applyAlignment="1" applyProtection="1">
      <alignment vertical="center"/>
      <protection locked="0"/>
    </xf>
    <xf numFmtId="4" fontId="6" fillId="2" borderId="92" xfId="0" applyNumberFormat="1" applyFont="1" applyFill="1" applyBorder="1" applyAlignment="1" applyProtection="1">
      <alignment horizontal="right" vertical="center"/>
      <protection locked="0"/>
    </xf>
    <xf numFmtId="4" fontId="6" fillId="2" borderId="83" xfId="0" applyNumberFormat="1" applyFont="1" applyFill="1" applyBorder="1" applyAlignment="1" applyProtection="1">
      <alignment horizontal="right" vertical="center"/>
      <protection locked="0"/>
    </xf>
    <xf numFmtId="4" fontId="6" fillId="2" borderId="84" xfId="0" applyNumberFormat="1" applyFont="1" applyFill="1" applyBorder="1" applyAlignment="1" applyProtection="1">
      <alignment horizontal="right" vertical="center"/>
      <protection locked="0"/>
    </xf>
    <xf numFmtId="4" fontId="6" fillId="2" borderId="90" xfId="0" applyNumberFormat="1" applyFont="1" applyFill="1" applyBorder="1" applyAlignment="1" applyProtection="1">
      <alignment horizontal="right" vertical="center"/>
      <protection locked="0"/>
    </xf>
    <xf numFmtId="4" fontId="6" fillId="2" borderId="86" xfId="0" applyNumberFormat="1" applyFont="1" applyFill="1" applyBorder="1" applyAlignment="1" applyProtection="1">
      <alignment horizontal="right" vertical="center"/>
      <protection locked="0"/>
    </xf>
    <xf numFmtId="4" fontId="6" fillId="2" borderId="94" xfId="0" applyNumberFormat="1" applyFont="1" applyFill="1" applyBorder="1" applyAlignment="1" applyProtection="1">
      <alignment horizontal="right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horizontal="center" vertical="center"/>
      <protection locked="0"/>
    </xf>
    <xf numFmtId="4" fontId="8" fillId="2" borderId="39" xfId="0" applyNumberFormat="1" applyFont="1" applyFill="1" applyBorder="1" applyAlignment="1" applyProtection="1">
      <alignment horizontal="right" vertical="center"/>
      <protection locked="0"/>
    </xf>
    <xf numFmtId="4" fontId="8" fillId="2" borderId="16" xfId="0" applyNumberFormat="1" applyFont="1" applyFill="1" applyBorder="1" applyAlignment="1" applyProtection="1">
      <alignment horizontal="right" vertical="center"/>
      <protection locked="0"/>
    </xf>
    <xf numFmtId="4" fontId="8" fillId="2" borderId="22" xfId="0" applyNumberFormat="1" applyFont="1" applyFill="1" applyBorder="1" applyAlignment="1" applyProtection="1">
      <alignment horizontal="right" vertical="center"/>
      <protection locked="0"/>
    </xf>
    <xf numFmtId="4" fontId="8" fillId="2" borderId="33" xfId="0" applyNumberFormat="1" applyFont="1" applyFill="1" applyBorder="1" applyAlignment="1" applyProtection="1">
      <alignment horizontal="right" vertical="center"/>
      <protection locked="0"/>
    </xf>
    <xf numFmtId="4" fontId="8" fillId="2" borderId="30" xfId="0" applyNumberFormat="1" applyFont="1" applyFill="1" applyBorder="1" applyAlignment="1" applyProtection="1">
      <alignment horizontal="right" vertical="center"/>
      <protection locked="0"/>
    </xf>
    <xf numFmtId="4" fontId="10" fillId="5" borderId="21" xfId="0" applyNumberFormat="1" applyFont="1" applyFill="1" applyBorder="1" applyAlignment="1" applyProtection="1">
      <alignment horizontal="right" vertical="center"/>
      <protection locked="0"/>
    </xf>
    <xf numFmtId="4" fontId="10" fillId="5" borderId="39" xfId="0" applyNumberFormat="1" applyFont="1" applyFill="1" applyBorder="1" applyAlignment="1" applyProtection="1">
      <alignment horizontal="right" vertical="center"/>
      <protection locked="0"/>
    </xf>
    <xf numFmtId="4" fontId="10" fillId="5" borderId="22" xfId="0" applyNumberFormat="1" applyFont="1" applyFill="1" applyBorder="1" applyAlignment="1" applyProtection="1">
      <alignment horizontal="right" vertical="center"/>
      <protection locked="0"/>
    </xf>
    <xf numFmtId="4" fontId="10" fillId="5" borderId="33" xfId="0" applyNumberFormat="1" applyFont="1" applyFill="1" applyBorder="1" applyAlignment="1" applyProtection="1">
      <alignment horizontal="right" vertical="center"/>
      <protection locked="0"/>
    </xf>
    <xf numFmtId="4" fontId="6" fillId="2" borderId="39" xfId="0" applyNumberFormat="1" applyFont="1" applyFill="1" applyBorder="1" applyAlignment="1" applyProtection="1">
      <alignment horizontal="right" vertical="center"/>
      <protection locked="0"/>
    </xf>
    <xf numFmtId="4" fontId="6" fillId="2" borderId="22" xfId="0" applyNumberFormat="1" applyFont="1" applyFill="1" applyBorder="1" applyAlignment="1" applyProtection="1">
      <alignment horizontal="right" vertical="center"/>
      <protection locked="0"/>
    </xf>
    <xf numFmtId="4" fontId="6" fillId="2" borderId="33" xfId="0" applyNumberFormat="1" applyFont="1" applyFill="1" applyBorder="1" applyAlignment="1" applyProtection="1">
      <alignment horizontal="right" vertical="center"/>
      <protection locked="0"/>
    </xf>
    <xf numFmtId="0" fontId="42" fillId="2" borderId="0" xfId="0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center" vertical="center"/>
    </xf>
    <xf numFmtId="4" fontId="10" fillId="2" borderId="94" xfId="0" applyNumberFormat="1" applyFont="1" applyFill="1" applyBorder="1" applyAlignment="1">
      <alignment horizontal="right" vertical="center"/>
    </xf>
    <xf numFmtId="4" fontId="6" fillId="2" borderId="41" xfId="0" applyNumberFormat="1" applyFont="1" applyFill="1" applyBorder="1" applyAlignment="1" applyProtection="1">
      <alignment vertical="center"/>
      <protection locked="0"/>
    </xf>
    <xf numFmtId="0" fontId="8" fillId="2" borderId="26" xfId="0" applyFont="1" applyFill="1" applyBorder="1" applyAlignment="1" applyProtection="1">
      <protection locked="0"/>
    </xf>
    <xf numFmtId="0" fontId="8" fillId="2" borderId="14" xfId="0" applyFont="1" applyFill="1" applyBorder="1" applyAlignment="1" applyProtection="1">
      <protection locked="0"/>
    </xf>
    <xf numFmtId="0" fontId="8" fillId="2" borderId="54" xfId="0" applyFont="1" applyFill="1" applyBorder="1" applyAlignment="1" applyProtection="1">
      <protection locked="0"/>
    </xf>
    <xf numFmtId="0" fontId="8" fillId="2" borderId="27" xfId="0" applyFont="1" applyFill="1" applyBorder="1" applyAlignment="1" applyProtection="1">
      <protection locked="0"/>
    </xf>
    <xf numFmtId="0" fontId="8" fillId="2" borderId="15" xfId="0" applyFont="1" applyFill="1" applyBorder="1" applyAlignment="1" applyProtection="1">
      <protection locked="0"/>
    </xf>
    <xf numFmtId="0" fontId="8" fillId="2" borderId="34" xfId="0" applyFont="1" applyFill="1" applyBorder="1" applyAlignment="1" applyProtection="1">
      <protection locked="0"/>
    </xf>
    <xf numFmtId="0" fontId="8" fillId="2" borderId="29" xfId="0" applyFont="1" applyFill="1" applyBorder="1" applyAlignment="1" applyProtection="1">
      <protection locked="0"/>
    </xf>
    <xf numFmtId="0" fontId="8" fillId="2" borderId="30" xfId="0" applyFont="1" applyFill="1" applyBorder="1" applyAlignment="1" applyProtection="1">
      <protection locked="0"/>
    </xf>
    <xf numFmtId="0" fontId="8" fillId="2" borderId="35" xfId="0" applyFont="1" applyFill="1" applyBorder="1" applyAlignment="1" applyProtection="1">
      <protection locked="0"/>
    </xf>
    <xf numFmtId="165" fontId="6" fillId="2" borderId="94" xfId="0" applyNumberFormat="1" applyFont="1" applyFill="1" applyBorder="1" applyAlignment="1" applyProtection="1">
      <alignment horizontal="right" vertical="center"/>
      <protection locked="0"/>
    </xf>
    <xf numFmtId="165" fontId="8" fillId="2" borderId="94" xfId="0" applyNumberFormat="1" applyFont="1" applyFill="1" applyBorder="1" applyAlignment="1" applyProtection="1">
      <alignment horizontal="right" vertical="center"/>
      <protection locked="0"/>
    </xf>
    <xf numFmtId="165" fontId="8" fillId="2" borderId="82" xfId="0" applyNumberFormat="1" applyFont="1" applyFill="1" applyBorder="1" applyAlignment="1" applyProtection="1">
      <alignment horizontal="right" vertical="center"/>
      <protection locked="0"/>
    </xf>
    <xf numFmtId="165" fontId="8" fillId="2" borderId="84" xfId="0" applyNumberFormat="1" applyFont="1" applyFill="1" applyBorder="1" applyAlignment="1" applyProtection="1">
      <alignment horizontal="right" vertical="center"/>
      <protection locked="0"/>
    </xf>
    <xf numFmtId="4" fontId="10" fillId="2" borderId="41" xfId="0" applyNumberFormat="1" applyFont="1" applyFill="1" applyBorder="1" applyAlignment="1" applyProtection="1">
      <protection locked="0"/>
    </xf>
    <xf numFmtId="0" fontId="6" fillId="2" borderId="38" xfId="0" applyFont="1" applyFill="1" applyBorder="1" applyAlignment="1">
      <alignment horizontal="left" vertical="center"/>
    </xf>
    <xf numFmtId="4" fontId="8" fillId="2" borderId="39" xfId="0" applyNumberFormat="1" applyFont="1" applyFill="1" applyBorder="1" applyAlignment="1" applyProtection="1">
      <alignment vertical="center"/>
    </xf>
    <xf numFmtId="4" fontId="8" fillId="2" borderId="33" xfId="0" applyNumberFormat="1" applyFont="1" applyFill="1" applyBorder="1" applyAlignment="1" applyProtection="1">
      <alignment vertical="center"/>
    </xf>
    <xf numFmtId="0" fontId="43" fillId="0" borderId="4" xfId="0" applyFont="1" applyFill="1" applyBorder="1" applyAlignment="1" applyProtection="1">
      <alignment horizontal="left"/>
      <protection locked="0"/>
    </xf>
    <xf numFmtId="0" fontId="43" fillId="0" borderId="0" xfId="0" applyFont="1" applyFill="1" applyBorder="1" applyAlignment="1" applyProtection="1">
      <alignment horizontal="left"/>
      <protection locked="0"/>
    </xf>
    <xf numFmtId="0" fontId="43" fillId="0" borderId="5" xfId="0" applyFont="1" applyFill="1" applyBorder="1" applyAlignment="1" applyProtection="1">
      <alignment horizontal="left"/>
      <protection locked="0"/>
    </xf>
    <xf numFmtId="0" fontId="43" fillId="0" borderId="4" xfId="0" applyFont="1" applyFill="1" applyBorder="1" applyAlignment="1" applyProtection="1">
      <alignment horizontal="left" vertical="center"/>
      <protection locked="0"/>
    </xf>
    <xf numFmtId="0" fontId="43" fillId="0" borderId="0" xfId="0" applyFont="1" applyFill="1" applyBorder="1" applyAlignment="1" applyProtection="1">
      <alignment horizontal="left" vertical="center"/>
      <protection locked="0"/>
    </xf>
    <xf numFmtId="0" fontId="43" fillId="0" borderId="5" xfId="0" applyFont="1" applyFill="1" applyBorder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/>
    </xf>
    <xf numFmtId="0" fontId="8" fillId="2" borderId="0" xfId="0" applyFont="1" applyFill="1" applyBorder="1" applyAlignment="1" applyProtection="1">
      <alignment horizontal="left" vertical="center"/>
    </xf>
    <xf numFmtId="4" fontId="21" fillId="2" borderId="0" xfId="0" applyNumberFormat="1" applyFont="1" applyFill="1" applyAlignment="1" applyProtection="1">
      <alignment horizontal="left"/>
    </xf>
    <xf numFmtId="0" fontId="21" fillId="2" borderId="1" xfId="0" applyFont="1" applyFill="1" applyBorder="1" applyAlignment="1" applyProtection="1">
      <alignment horizontal="left"/>
    </xf>
    <xf numFmtId="0" fontId="21" fillId="2" borderId="2" xfId="0" applyFont="1" applyFill="1" applyBorder="1" applyAlignment="1" applyProtection="1">
      <alignment horizontal="left"/>
    </xf>
    <xf numFmtId="4" fontId="21" fillId="2" borderId="2" xfId="0" applyNumberFormat="1" applyFont="1" applyFill="1" applyBorder="1" applyAlignment="1" applyProtection="1">
      <alignment horizontal="left"/>
    </xf>
    <xf numFmtId="0" fontId="21" fillId="2" borderId="3" xfId="0" applyFont="1" applyFill="1" applyBorder="1" applyAlignment="1" applyProtection="1">
      <alignment horizontal="left"/>
    </xf>
    <xf numFmtId="0" fontId="21" fillId="2" borderId="4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left"/>
    </xf>
    <xf numFmtId="4" fontId="21" fillId="2" borderId="0" xfId="0" applyNumberFormat="1" applyFont="1" applyFill="1" applyBorder="1" applyAlignment="1" applyProtection="1">
      <alignment horizontal="left"/>
    </xf>
    <xf numFmtId="0" fontId="21" fillId="2" borderId="5" xfId="0" applyFont="1" applyFill="1" applyBorder="1" applyAlignment="1" applyProtection="1">
      <alignment horizontal="left"/>
    </xf>
    <xf numFmtId="0" fontId="8" fillId="2" borderId="5" xfId="0" applyFont="1" applyFill="1" applyBorder="1" applyAlignment="1" applyProtection="1">
      <alignment horizontal="left"/>
    </xf>
    <xf numFmtId="0" fontId="22" fillId="2" borderId="0" xfId="0" applyFont="1" applyFill="1" applyBorder="1" applyAlignment="1" applyProtection="1">
      <alignment horizontal="left"/>
    </xf>
    <xf numFmtId="0" fontId="8" fillId="2" borderId="4" xfId="0" applyFont="1" applyFill="1" applyBorder="1" applyAlignment="1" applyProtection="1">
      <alignment horizontal="left"/>
    </xf>
    <xf numFmtId="0" fontId="10" fillId="4" borderId="0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horizontal="left"/>
    </xf>
    <xf numFmtId="0" fontId="15" fillId="2" borderId="4" xfId="0" applyFont="1" applyFill="1" applyBorder="1" applyAlignment="1" applyProtection="1">
      <alignment horizontal="left"/>
    </xf>
    <xf numFmtId="0" fontId="13" fillId="3" borderId="0" xfId="0" applyFont="1" applyFill="1" applyBorder="1" applyAlignment="1" applyProtection="1">
      <alignment horizontal="left" vertical="center"/>
    </xf>
    <xf numFmtId="4" fontId="13" fillId="3" borderId="0" xfId="0" applyNumberFormat="1" applyFont="1" applyFill="1" applyBorder="1" applyAlignment="1" applyProtection="1">
      <alignment horizontal="left" vertical="center"/>
    </xf>
    <xf numFmtId="0" fontId="13" fillId="2" borderId="0" xfId="0" applyFont="1" applyFill="1" applyAlignment="1" applyProtection="1">
      <alignment horizontal="left" vertical="center"/>
    </xf>
    <xf numFmtId="4" fontId="13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vertical="center"/>
    </xf>
    <xf numFmtId="0" fontId="17" fillId="2" borderId="4" xfId="0" applyFont="1" applyFill="1" applyBorder="1" applyAlignment="1" applyProtection="1">
      <alignment horizontal="left"/>
    </xf>
    <xf numFmtId="0" fontId="17" fillId="5" borderId="42" xfId="0" applyFont="1" applyFill="1" applyBorder="1" applyAlignment="1" applyProtection="1">
      <alignment vertical="center"/>
    </xf>
    <xf numFmtId="0" fontId="17" fillId="5" borderId="43" xfId="0" applyFont="1" applyFill="1" applyBorder="1" applyAlignment="1" applyProtection="1">
      <alignment vertical="center"/>
    </xf>
    <xf numFmtId="4" fontId="16" fillId="5" borderId="36" xfId="0" applyNumberFormat="1" applyFont="1" applyFill="1" applyBorder="1" applyAlignment="1" applyProtection="1">
      <alignment horizontal="right" vertical="center"/>
    </xf>
    <xf numFmtId="1" fontId="16" fillId="5" borderId="37" xfId="0" applyNumberFormat="1" applyFont="1" applyFill="1" applyBorder="1" applyAlignment="1" applyProtection="1">
      <alignment horizontal="center" vertical="center"/>
    </xf>
    <xf numFmtId="1" fontId="13" fillId="5" borderId="49" xfId="0" applyNumberFormat="1" applyFont="1" applyFill="1" applyBorder="1" applyAlignment="1" applyProtection="1">
      <alignment horizontal="left" vertical="center"/>
    </xf>
    <xf numFmtId="1" fontId="16" fillId="5" borderId="37" xfId="0" applyNumberFormat="1" applyFont="1" applyFill="1" applyBorder="1" applyAlignment="1" applyProtection="1">
      <alignment horizontal="left" vertical="center"/>
    </xf>
    <xf numFmtId="0" fontId="17" fillId="2" borderId="0" xfId="0" applyFont="1" applyFill="1" applyAlignment="1" applyProtection="1">
      <alignment horizontal="left" vertical="center"/>
    </xf>
    <xf numFmtId="0" fontId="22" fillId="2" borderId="4" xfId="0" applyFont="1" applyFill="1" applyBorder="1" applyAlignment="1" applyProtection="1">
      <alignment horizontal="center"/>
    </xf>
    <xf numFmtId="0" fontId="13" fillId="5" borderId="25" xfId="0" applyFont="1" applyFill="1" applyBorder="1" applyAlignment="1" applyProtection="1">
      <alignment vertical="center"/>
    </xf>
    <xf numFmtId="0" fontId="22" fillId="5" borderId="45" xfId="0" applyFont="1" applyFill="1" applyBorder="1" applyAlignment="1" applyProtection="1">
      <alignment horizontal="center" vertical="center"/>
    </xf>
    <xf numFmtId="4" fontId="22" fillId="5" borderId="41" xfId="0" applyNumberFormat="1" applyFont="1" applyFill="1" applyBorder="1" applyAlignment="1" applyProtection="1">
      <alignment horizontal="center" vertical="center"/>
    </xf>
    <xf numFmtId="0" fontId="22" fillId="2" borderId="0" xfId="0" applyFont="1" applyFill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left"/>
    </xf>
    <xf numFmtId="0" fontId="10" fillId="2" borderId="36" xfId="0" applyFont="1" applyFill="1" applyBorder="1" applyAlignment="1" applyProtection="1">
      <alignment vertical="center"/>
    </xf>
    <xf numFmtId="0" fontId="10" fillId="2" borderId="49" xfId="0" applyFont="1" applyFill="1" applyBorder="1" applyAlignment="1" applyProtection="1">
      <alignment vertical="center"/>
    </xf>
    <xf numFmtId="4" fontId="10" fillId="2" borderId="41" xfId="0" applyNumberFormat="1" applyFont="1" applyFill="1" applyBorder="1" applyAlignment="1" applyProtection="1">
      <alignment vertical="center"/>
    </xf>
    <xf numFmtId="4" fontId="10" fillId="2" borderId="41" xfId="0" applyNumberFormat="1" applyFont="1" applyFill="1" applyBorder="1" applyAlignment="1" applyProtection="1">
      <alignment horizontal="left" vertical="center"/>
    </xf>
    <xf numFmtId="0" fontId="10" fillId="2" borderId="41" xfId="0" applyFont="1" applyFill="1" applyBorder="1" applyAlignment="1" applyProtection="1">
      <alignment horizontal="left" vertical="center"/>
    </xf>
    <xf numFmtId="0" fontId="10" fillId="2" borderId="0" xfId="0" applyFont="1" applyFill="1" applyAlignment="1" applyProtection="1">
      <alignment horizontal="left" vertical="center"/>
    </xf>
    <xf numFmtId="0" fontId="8" fillId="2" borderId="26" xfId="0" applyFont="1" applyFill="1" applyBorder="1" applyAlignment="1" applyProtection="1">
      <alignment vertical="center"/>
    </xf>
    <xf numFmtId="0" fontId="8" fillId="2" borderId="54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8" fillId="2" borderId="29" xfId="0" applyFont="1" applyFill="1" applyBorder="1" applyAlignment="1" applyProtection="1">
      <alignment vertical="center"/>
    </xf>
    <xf numFmtId="0" fontId="8" fillId="2" borderId="35" xfId="0" applyFont="1" applyFill="1" applyBorder="1" applyAlignment="1" applyProtection="1">
      <alignment vertical="center"/>
    </xf>
    <xf numFmtId="0" fontId="8" fillId="2" borderId="34" xfId="0" applyFont="1" applyFill="1" applyBorder="1" applyAlignment="1" applyProtection="1">
      <alignment vertical="center"/>
    </xf>
    <xf numFmtId="0" fontId="44" fillId="2" borderId="4" xfId="0" applyFont="1" applyFill="1" applyBorder="1" applyAlignment="1" applyProtection="1">
      <alignment horizontal="left"/>
    </xf>
    <xf numFmtId="0" fontId="44" fillId="2" borderId="26" xfId="0" applyFont="1" applyFill="1" applyBorder="1" applyAlignment="1" applyProtection="1">
      <alignment vertical="center"/>
    </xf>
    <xf numFmtId="0" fontId="44" fillId="2" borderId="54" xfId="0" applyFont="1" applyFill="1" applyBorder="1" applyAlignment="1" applyProtection="1">
      <alignment vertical="center"/>
    </xf>
    <xf numFmtId="4" fontId="44" fillId="2" borderId="21" xfId="0" applyNumberFormat="1" applyFont="1" applyFill="1" applyBorder="1" applyAlignment="1" applyProtection="1">
      <alignment vertical="center"/>
    </xf>
    <xf numFmtId="4" fontId="44" fillId="2" borderId="21" xfId="0" applyNumberFormat="1" applyFont="1" applyFill="1" applyBorder="1" applyAlignment="1" applyProtection="1">
      <alignment horizontal="left" vertical="center"/>
    </xf>
    <xf numFmtId="0" fontId="44" fillId="2" borderId="21" xfId="0" applyFont="1" applyFill="1" applyBorder="1" applyAlignment="1" applyProtection="1">
      <alignment horizontal="left" vertical="center"/>
    </xf>
    <xf numFmtId="0" fontId="44" fillId="2" borderId="5" xfId="0" applyFont="1" applyFill="1" applyBorder="1" applyAlignment="1" applyProtection="1">
      <alignment horizontal="left"/>
    </xf>
    <xf numFmtId="0" fontId="44" fillId="2" borderId="0" xfId="0" applyFont="1" applyFill="1" applyAlignment="1" applyProtection="1">
      <alignment horizontal="left" vertical="center"/>
    </xf>
    <xf numFmtId="0" fontId="10" fillId="2" borderId="31" xfId="0" applyFont="1" applyFill="1" applyBorder="1" applyAlignment="1" applyProtection="1">
      <alignment vertical="center"/>
    </xf>
    <xf numFmtId="0" fontId="10" fillId="2" borderId="32" xfId="0" applyFont="1" applyFill="1" applyBorder="1" applyAlignment="1" applyProtection="1">
      <alignment vertical="center"/>
    </xf>
    <xf numFmtId="4" fontId="10" fillId="2" borderId="18" xfId="0" applyNumberFormat="1" applyFont="1" applyFill="1" applyBorder="1" applyAlignment="1" applyProtection="1">
      <alignment vertical="center"/>
    </xf>
    <xf numFmtId="4" fontId="10" fillId="2" borderId="18" xfId="0" applyNumberFormat="1" applyFont="1" applyFill="1" applyBorder="1" applyAlignment="1" applyProtection="1">
      <alignment horizontal="left" vertical="center"/>
    </xf>
    <xf numFmtId="0" fontId="10" fillId="2" borderId="18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horizontal="left" vertical="center"/>
    </xf>
    <xf numFmtId="4" fontId="22" fillId="5" borderId="44" xfId="0" applyNumberFormat="1" applyFont="1" applyFill="1" applyBorder="1" applyAlignment="1" applyProtection="1">
      <alignment horizontal="center" vertical="center"/>
    </xf>
    <xf numFmtId="1" fontId="13" fillId="5" borderId="20" xfId="0" applyNumberFormat="1" applyFont="1" applyFill="1" applyBorder="1" applyAlignment="1" applyProtection="1">
      <alignment horizontal="center" vertical="center"/>
    </xf>
    <xf numFmtId="4" fontId="10" fillId="2" borderId="31" xfId="0" applyNumberFormat="1" applyFont="1" applyFill="1" applyBorder="1" applyAlignment="1" applyProtection="1">
      <alignment horizontal="left" vertical="center"/>
    </xf>
    <xf numFmtId="4" fontId="10" fillId="2" borderId="17" xfId="0" applyNumberFormat="1" applyFont="1" applyFill="1" applyBorder="1" applyAlignment="1" applyProtection="1">
      <alignment horizontal="left" vertical="center"/>
    </xf>
    <xf numFmtId="4" fontId="10" fillId="2" borderId="32" xfId="0" applyNumberFormat="1" applyFont="1" applyFill="1" applyBorder="1" applyAlignment="1" applyProtection="1">
      <alignment horizontal="left" vertical="center"/>
    </xf>
    <xf numFmtId="4" fontId="10" fillId="2" borderId="36" xfId="0" applyNumberFormat="1" applyFont="1" applyFill="1" applyBorder="1" applyAlignment="1" applyProtection="1">
      <alignment horizontal="left" vertical="center"/>
    </xf>
    <xf numFmtId="4" fontId="10" fillId="2" borderId="37" xfId="0" applyNumberFormat="1" applyFont="1" applyFill="1" applyBorder="1" applyAlignment="1" applyProtection="1">
      <alignment horizontal="left" vertical="center"/>
    </xf>
    <xf numFmtId="4" fontId="10" fillId="2" borderId="49" xfId="0" applyNumberFormat="1" applyFont="1" applyFill="1" applyBorder="1" applyAlignment="1" applyProtection="1">
      <alignment horizontal="left" vertical="center"/>
    </xf>
    <xf numFmtId="0" fontId="7" fillId="2" borderId="38" xfId="0" applyFont="1" applyFill="1" applyBorder="1" applyAlignment="1" applyProtection="1">
      <alignment vertical="center"/>
    </xf>
    <xf numFmtId="0" fontId="8" fillId="2" borderId="40" xfId="0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vertical="center"/>
    </xf>
    <xf numFmtId="0" fontId="7" fillId="2" borderId="64" xfId="0" applyFont="1" applyFill="1" applyBorder="1" applyAlignment="1" applyProtection="1">
      <alignment vertical="center"/>
    </xf>
    <xf numFmtId="0" fontId="8" fillId="2" borderId="65" xfId="0" applyFont="1" applyFill="1" applyBorder="1" applyAlignment="1" applyProtection="1">
      <alignment vertical="center"/>
    </xf>
    <xf numFmtId="0" fontId="10" fillId="2" borderId="5" xfId="0" applyFont="1" applyFill="1" applyBorder="1" applyAlignment="1" applyProtection="1">
      <alignment horizontal="left"/>
    </xf>
    <xf numFmtId="0" fontId="6" fillId="2" borderId="27" xfId="0" applyFont="1" applyFill="1" applyBorder="1" applyAlignment="1" applyProtection="1">
      <alignment vertical="center"/>
    </xf>
    <xf numFmtId="0" fontId="32" fillId="2" borderId="0" xfId="0" applyFont="1" applyFill="1" applyBorder="1" applyAlignment="1" applyProtection="1">
      <alignment horizontal="left" vertical="center"/>
    </xf>
    <xf numFmtId="0" fontId="35" fillId="2" borderId="0" xfId="0" applyFont="1" applyFill="1" applyBorder="1" applyAlignment="1" applyProtection="1">
      <alignment vertical="center"/>
    </xf>
    <xf numFmtId="4" fontId="35" fillId="2" borderId="0" xfId="0" applyNumberFormat="1" applyFont="1" applyFill="1" applyBorder="1" applyAlignment="1" applyProtection="1">
      <alignment horizontal="left" vertical="center"/>
    </xf>
    <xf numFmtId="0" fontId="21" fillId="2" borderId="7" xfId="0" applyFont="1" applyFill="1" applyBorder="1" applyAlignment="1" applyProtection="1">
      <alignment horizontal="left"/>
    </xf>
    <xf numFmtId="0" fontId="21" fillId="2" borderId="8" xfId="0" applyFont="1" applyFill="1" applyBorder="1" applyAlignment="1" applyProtection="1">
      <alignment horizontal="left"/>
    </xf>
    <xf numFmtId="0" fontId="21" fillId="2" borderId="9" xfId="0" applyFont="1" applyFill="1" applyBorder="1" applyAlignment="1" applyProtection="1">
      <alignment horizontal="left"/>
    </xf>
    <xf numFmtId="0" fontId="18" fillId="2" borderId="0" xfId="0" applyFont="1" applyFill="1" applyBorder="1" applyAlignment="1" applyProtection="1">
      <alignment horizontal="left"/>
    </xf>
    <xf numFmtId="0" fontId="20" fillId="2" borderId="0" xfId="0" applyFont="1" applyFill="1" applyAlignment="1" applyProtection="1">
      <alignment horizontal="right"/>
    </xf>
    <xf numFmtId="0" fontId="18" fillId="2" borderId="0" xfId="0" applyFont="1" applyFill="1" applyAlignment="1" applyProtection="1">
      <alignment horizontal="left"/>
    </xf>
    <xf numFmtId="0" fontId="8" fillId="2" borderId="95" xfId="0" applyFont="1" applyFill="1" applyBorder="1" applyAlignment="1" applyProtection="1">
      <alignment vertical="center"/>
      <protection locked="0"/>
    </xf>
    <xf numFmtId="0" fontId="8" fillId="2" borderId="96" xfId="0" applyFont="1" applyFill="1" applyBorder="1" applyAlignment="1" applyProtection="1">
      <alignment vertical="center"/>
      <protection locked="0"/>
    </xf>
    <xf numFmtId="4" fontId="8" fillId="2" borderId="97" xfId="0" applyNumberFormat="1" applyFont="1" applyFill="1" applyBorder="1" applyAlignment="1" applyProtection="1">
      <alignment horizontal="right" vertical="center"/>
      <protection locked="0"/>
    </xf>
    <xf numFmtId="4" fontId="8" fillId="2" borderId="95" xfId="0" applyNumberFormat="1" applyFont="1" applyFill="1" applyBorder="1" applyAlignment="1" applyProtection="1">
      <alignment horizontal="left" vertical="center"/>
      <protection locked="0"/>
    </xf>
    <xf numFmtId="4" fontId="8" fillId="2" borderId="98" xfId="0" applyNumberFormat="1" applyFont="1" applyFill="1" applyBorder="1" applyAlignment="1" applyProtection="1">
      <alignment horizontal="left" vertical="center"/>
      <protection locked="0"/>
    </xf>
    <xf numFmtId="4" fontId="8" fillId="2" borderId="96" xfId="0" applyNumberFormat="1" applyFont="1" applyFill="1" applyBorder="1" applyAlignment="1" applyProtection="1">
      <alignment horizontal="left" vertical="center"/>
      <protection locked="0"/>
    </xf>
    <xf numFmtId="4" fontId="8" fillId="2" borderId="15" xfId="0" applyNumberFormat="1" applyFont="1" applyFill="1" applyBorder="1" applyAlignment="1" applyProtection="1">
      <alignment horizontal="left" vertical="center"/>
      <protection locked="0"/>
    </xf>
    <xf numFmtId="4" fontId="8" fillId="2" borderId="26" xfId="0" applyNumberFormat="1" applyFont="1" applyFill="1" applyBorder="1" applyAlignment="1" applyProtection="1">
      <alignment horizontal="left" vertical="center"/>
      <protection locked="0"/>
    </xf>
    <xf numFmtId="4" fontId="8" fillId="2" borderId="14" xfId="0" applyNumberFormat="1" applyFont="1" applyFill="1" applyBorder="1" applyAlignment="1" applyProtection="1">
      <alignment horizontal="left" vertical="center"/>
      <protection locked="0"/>
    </xf>
    <xf numFmtId="4" fontId="8" fillId="2" borderId="64" xfId="0" applyNumberFormat="1" applyFont="1" applyFill="1" applyBorder="1" applyAlignment="1" applyProtection="1">
      <alignment horizontal="left" vertical="center"/>
      <protection locked="0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25" fillId="2" borderId="51" xfId="0" applyNumberFormat="1" applyFont="1" applyFill="1" applyBorder="1" applyProtection="1">
      <protection locked="0"/>
    </xf>
    <xf numFmtId="4" fontId="23" fillId="2" borderId="19" xfId="0" applyNumberFormat="1" applyFont="1" applyFill="1" applyBorder="1" applyProtection="1">
      <protection locked="0"/>
    </xf>
    <xf numFmtId="0" fontId="41" fillId="2" borderId="0" xfId="0" applyFont="1" applyFill="1" applyBorder="1" applyAlignment="1">
      <alignment horizontal="right"/>
    </xf>
    <xf numFmtId="0" fontId="10" fillId="4" borderId="0" xfId="0" applyFont="1" applyFill="1" applyBorder="1" applyAlignment="1" applyProtection="1">
      <alignment horizontal="left" vertical="center" wrapText="1"/>
    </xf>
    <xf numFmtId="0" fontId="41" fillId="2" borderId="0" xfId="0" applyFont="1" applyFill="1" applyBorder="1" applyAlignment="1">
      <alignment horizontal="right" wrapText="1"/>
    </xf>
    <xf numFmtId="4" fontId="6" fillId="2" borderId="40" xfId="0" applyNumberFormat="1" applyFont="1" applyFill="1" applyBorder="1" applyAlignment="1" applyProtection="1">
      <alignment horizontal="right" vertical="center"/>
      <protection locked="0"/>
    </xf>
    <xf numFmtId="4" fontId="6" fillId="2" borderId="34" xfId="0" applyNumberFormat="1" applyFont="1" applyFill="1" applyBorder="1" applyAlignment="1" applyProtection="1">
      <alignment horizontal="right" vertical="center"/>
      <protection locked="0"/>
    </xf>
    <xf numFmtId="4" fontId="6" fillId="2" borderId="35" xfId="0" applyNumberFormat="1" applyFont="1" applyFill="1" applyBorder="1" applyAlignment="1" applyProtection="1">
      <alignment horizontal="right" vertical="center"/>
      <protection locked="0"/>
    </xf>
    <xf numFmtId="0" fontId="21" fillId="2" borderId="0" xfId="0" applyFont="1" applyFill="1" applyProtection="1"/>
    <xf numFmtId="0" fontId="21" fillId="2" borderId="0" xfId="0" applyFont="1" applyFill="1" applyBorder="1" applyProtection="1"/>
    <xf numFmtId="0" fontId="11" fillId="2" borderId="0" xfId="0" applyFont="1" applyFill="1" applyBorder="1" applyAlignment="1" applyProtection="1">
      <alignment vertical="center"/>
    </xf>
    <xf numFmtId="0" fontId="21" fillId="2" borderId="1" xfId="0" applyFont="1" applyFill="1" applyBorder="1" applyProtection="1"/>
    <xf numFmtId="0" fontId="21" fillId="2" borderId="2" xfId="0" applyFont="1" applyFill="1" applyBorder="1" applyProtection="1"/>
    <xf numFmtId="0" fontId="21" fillId="2" borderId="3" xfId="0" applyFont="1" applyFill="1" applyBorder="1" applyProtection="1"/>
    <xf numFmtId="0" fontId="21" fillId="2" borderId="4" xfId="0" applyFont="1" applyFill="1" applyBorder="1" applyProtection="1"/>
    <xf numFmtId="0" fontId="10" fillId="2" borderId="0" xfId="0" applyFont="1" applyFill="1" applyBorder="1" applyProtection="1"/>
    <xf numFmtId="0" fontId="21" fillId="2" borderId="5" xfId="0" applyFont="1" applyFill="1" applyBorder="1" applyProtection="1"/>
    <xf numFmtId="0" fontId="21" fillId="2" borderId="0" xfId="0" applyFont="1" applyFill="1" applyBorder="1" applyAlignment="1" applyProtection="1">
      <alignment horizontal="center"/>
    </xf>
    <xf numFmtId="0" fontId="22" fillId="2" borderId="0" xfId="0" applyFont="1" applyFill="1" applyBorder="1" applyProtection="1"/>
    <xf numFmtId="0" fontId="22" fillId="2" borderId="0" xfId="0" applyFont="1" applyFill="1" applyBorder="1" applyAlignment="1" applyProtection="1">
      <alignment horizontal="center" vertical="center"/>
    </xf>
    <xf numFmtId="0" fontId="9" fillId="2" borderId="4" xfId="0" applyFont="1" applyFill="1" applyBorder="1" applyProtection="1"/>
    <xf numFmtId="0" fontId="10" fillId="4" borderId="0" xfId="0" applyFont="1" applyFill="1" applyBorder="1" applyAlignment="1" applyProtection="1">
      <alignment vertical="center"/>
    </xf>
    <xf numFmtId="0" fontId="9" fillId="2" borderId="5" xfId="0" applyFont="1" applyFill="1" applyBorder="1" applyProtection="1"/>
    <xf numFmtId="0" fontId="9" fillId="2" borderId="0" xfId="0" applyFont="1" applyFill="1" applyProtection="1"/>
    <xf numFmtId="0" fontId="15" fillId="2" borderId="4" xfId="0" applyFont="1" applyFill="1" applyBorder="1" applyProtection="1"/>
    <xf numFmtId="0" fontId="13" fillId="3" borderId="0" xfId="0" applyFont="1" applyFill="1" applyBorder="1" applyAlignment="1" applyProtection="1">
      <alignment vertical="center"/>
    </xf>
    <xf numFmtId="0" fontId="15" fillId="2" borderId="5" xfId="0" applyFont="1" applyFill="1" applyBorder="1" applyProtection="1"/>
    <xf numFmtId="0" fontId="13" fillId="2" borderId="0" xfId="0" applyFont="1" applyFill="1" applyAlignment="1" applyProtection="1">
      <alignment vertical="center"/>
    </xf>
    <xf numFmtId="0" fontId="10" fillId="2" borderId="6" xfId="0" applyFont="1" applyFill="1" applyBorder="1" applyProtection="1"/>
    <xf numFmtId="0" fontId="29" fillId="2" borderId="6" xfId="0" applyNumberFormat="1" applyFont="1" applyFill="1" applyBorder="1" applyAlignment="1" applyProtection="1">
      <alignment horizontal="left"/>
    </xf>
    <xf numFmtId="0" fontId="21" fillId="2" borderId="6" xfId="0" applyFont="1" applyFill="1" applyBorder="1" applyProtection="1"/>
    <xf numFmtId="0" fontId="21" fillId="2" borderId="6" xfId="0" applyFont="1" applyFill="1" applyBorder="1" applyAlignment="1" applyProtection="1">
      <alignment horizontal="left"/>
    </xf>
    <xf numFmtId="0" fontId="45" fillId="2" borderId="0" xfId="0" applyFont="1" applyFill="1" applyBorder="1" applyAlignment="1" applyProtection="1">
      <alignment horizontal="center"/>
    </xf>
    <xf numFmtId="0" fontId="21" fillId="2" borderId="4" xfId="0" applyFont="1" applyFill="1" applyBorder="1" applyAlignment="1" applyProtection="1">
      <alignment wrapText="1"/>
    </xf>
    <xf numFmtId="0" fontId="21" fillId="2" borderId="6" xfId="0" applyFont="1" applyFill="1" applyBorder="1" applyAlignment="1" applyProtection="1">
      <alignment wrapText="1"/>
    </xf>
    <xf numFmtId="0" fontId="21" fillId="2" borderId="6" xfId="0" applyFont="1" applyFill="1" applyBorder="1" applyAlignment="1" applyProtection="1">
      <alignment horizontal="center" wrapText="1"/>
    </xf>
    <xf numFmtId="0" fontId="29" fillId="2" borderId="6" xfId="0" applyFont="1" applyFill="1" applyBorder="1" applyAlignment="1" applyProtection="1">
      <alignment horizontal="center" wrapText="1"/>
    </xf>
    <xf numFmtId="0" fontId="21" fillId="2" borderId="6" xfId="0" applyFont="1" applyFill="1" applyBorder="1" applyAlignment="1" applyProtection="1">
      <alignment horizontal="center" vertical="center" wrapText="1"/>
    </xf>
    <xf numFmtId="0" fontId="29" fillId="2" borderId="6" xfId="0" applyFont="1" applyFill="1" applyBorder="1" applyAlignment="1" applyProtection="1">
      <alignment horizontal="center"/>
    </xf>
    <xf numFmtId="0" fontId="21" fillId="2" borderId="5" xfId="0" applyFont="1" applyFill="1" applyBorder="1" applyAlignment="1" applyProtection="1">
      <alignment wrapText="1"/>
    </xf>
    <xf numFmtId="0" fontId="21" fillId="2" borderId="0" xfId="0" applyFont="1" applyFill="1" applyAlignment="1" applyProtection="1">
      <alignment wrapText="1"/>
    </xf>
    <xf numFmtId="0" fontId="18" fillId="6" borderId="6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center" wrapText="1"/>
    </xf>
    <xf numFmtId="0" fontId="21" fillId="2" borderId="0" xfId="0" quotePrefix="1" applyFont="1" applyFill="1" applyBorder="1" applyAlignment="1" applyProtection="1">
      <alignment horizontal="left"/>
    </xf>
    <xf numFmtId="0" fontId="21" fillId="2" borderId="7" xfId="0" applyFont="1" applyFill="1" applyBorder="1" applyProtection="1"/>
    <xf numFmtId="0" fontId="21" fillId="2" borderId="8" xfId="0" applyFont="1" applyFill="1" applyBorder="1" applyProtection="1"/>
    <xf numFmtId="0" fontId="21" fillId="2" borderId="9" xfId="0" applyFont="1" applyFill="1" applyBorder="1" applyProtection="1"/>
    <xf numFmtId="0" fontId="18" fillId="2" borderId="0" xfId="0" applyFont="1" applyFill="1" applyBorder="1" applyProtection="1"/>
    <xf numFmtId="0" fontId="18" fillId="2" borderId="0" xfId="0" applyFont="1" applyFill="1" applyProtection="1"/>
    <xf numFmtId="3" fontId="21" fillId="2" borderId="11" xfId="0" applyNumberFormat="1" applyFont="1" applyFill="1" applyBorder="1" applyAlignment="1" applyProtection="1">
      <alignment horizontal="center"/>
      <protection locked="0"/>
    </xf>
    <xf numFmtId="3" fontId="21" fillId="2" borderId="12" xfId="0" applyNumberFormat="1" applyFont="1" applyFill="1" applyBorder="1" applyAlignment="1" applyProtection="1">
      <alignment horizontal="center"/>
      <protection locked="0"/>
    </xf>
    <xf numFmtId="0" fontId="21" fillId="2" borderId="11" xfId="0" applyFont="1" applyFill="1" applyBorder="1" applyAlignment="1" applyProtection="1">
      <alignment horizontal="center"/>
      <protection locked="0"/>
    </xf>
    <xf numFmtId="0" fontId="21" fillId="2" borderId="12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Protection="1"/>
    <xf numFmtId="0" fontId="5" fillId="2" borderId="0" xfId="0" applyFont="1" applyFill="1" applyBorder="1" applyProtection="1"/>
    <xf numFmtId="0" fontId="5" fillId="2" borderId="5" xfId="0" applyFont="1" applyFill="1" applyBorder="1" applyProtection="1"/>
    <xf numFmtId="0" fontId="5" fillId="2" borderId="0" xfId="0" applyFont="1" applyFill="1" applyProtection="1"/>
    <xf numFmtId="0" fontId="10" fillId="0" borderId="4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5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/>
    </xf>
    <xf numFmtId="0" fontId="5" fillId="0" borderId="4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5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wrapText="1"/>
    </xf>
    <xf numFmtId="0" fontId="5" fillId="2" borderId="5" xfId="0" applyFont="1" applyFill="1" applyBorder="1" applyAlignment="1" applyProtection="1">
      <alignment wrapText="1"/>
    </xf>
    <xf numFmtId="0" fontId="5" fillId="2" borderId="0" xfId="0" applyFont="1" applyFill="1" applyAlignment="1" applyProtection="1">
      <alignment wrapText="1"/>
    </xf>
    <xf numFmtId="0" fontId="10" fillId="0" borderId="4" xfId="0" applyFont="1" applyFill="1" applyBorder="1" applyAlignment="1" applyProtection="1">
      <alignment horizontal="left"/>
      <protection locked="0"/>
    </xf>
    <xf numFmtId="0" fontId="10" fillId="0" borderId="5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10" fillId="5" borderId="41" xfId="0" applyNumberFormat="1" applyFont="1" applyFill="1" applyBorder="1" applyAlignment="1" applyProtection="1">
      <alignment horizontal="center" wrapText="1"/>
    </xf>
    <xf numFmtId="4" fontId="24" fillId="2" borderId="23" xfId="0" applyNumberFormat="1" applyFont="1" applyFill="1" applyBorder="1" applyAlignment="1" applyProtection="1">
      <alignment horizontal="center"/>
    </xf>
    <xf numFmtId="3" fontId="24" fillId="2" borderId="23" xfId="0" applyNumberFormat="1" applyFont="1" applyFill="1" applyBorder="1" applyAlignment="1" applyProtection="1">
      <alignment horizontal="center"/>
    </xf>
    <xf numFmtId="4" fontId="24" fillId="5" borderId="59" xfId="0" applyNumberFormat="1" applyFont="1" applyFill="1" applyBorder="1" applyProtection="1"/>
    <xf numFmtId="4" fontId="24" fillId="5" borderId="72" xfId="0" applyNumberFormat="1" applyFont="1" applyFill="1" applyBorder="1" applyProtection="1"/>
    <xf numFmtId="4" fontId="24" fillId="5" borderId="23" xfId="0" applyNumberFormat="1" applyFont="1" applyFill="1" applyBorder="1" applyProtection="1"/>
    <xf numFmtId="4" fontId="24" fillId="2" borderId="18" xfId="0" applyNumberFormat="1" applyFont="1" applyFill="1" applyBorder="1" applyProtection="1"/>
    <xf numFmtId="4" fontId="24" fillId="2" borderId="100" xfId="0" applyNumberFormat="1" applyFont="1" applyFill="1" applyBorder="1" applyProtection="1"/>
    <xf numFmtId="4" fontId="24" fillId="2" borderId="23" xfId="0" applyNumberFormat="1" applyFont="1" applyFill="1" applyBorder="1" applyProtection="1">
      <protection locked="0"/>
    </xf>
    <xf numFmtId="0" fontId="5" fillId="2" borderId="27" xfId="0" applyFont="1" applyFill="1" applyBorder="1" applyAlignment="1" applyProtection="1">
      <alignment horizontal="left"/>
      <protection locked="0"/>
    </xf>
    <xf numFmtId="0" fontId="5" fillId="2" borderId="34" xfId="0" applyFont="1" applyFill="1" applyBorder="1" applyAlignment="1" applyProtection="1">
      <alignment horizontal="left"/>
      <protection locked="0"/>
    </xf>
    <xf numFmtId="4" fontId="5" fillId="5" borderId="44" xfId="0" applyNumberFormat="1" applyFont="1" applyFill="1" applyBorder="1" applyProtection="1"/>
    <xf numFmtId="0" fontId="5" fillId="5" borderId="43" xfId="0" applyFont="1" applyFill="1" applyBorder="1" applyProtection="1"/>
    <xf numFmtId="4" fontId="5" fillId="5" borderId="19" xfId="0" applyNumberFormat="1" applyFont="1" applyFill="1" applyBorder="1" applyAlignment="1" applyProtection="1">
      <alignment wrapText="1"/>
    </xf>
    <xf numFmtId="0" fontId="5" fillId="5" borderId="51" xfId="0" applyFont="1" applyFill="1" applyBorder="1" applyAlignment="1" applyProtection="1">
      <alignment wrapText="1"/>
    </xf>
    <xf numFmtId="4" fontId="5" fillId="5" borderId="19" xfId="0" applyNumberFormat="1" applyFont="1" applyFill="1" applyBorder="1" applyProtection="1"/>
    <xf numFmtId="0" fontId="5" fillId="5" borderId="51" xfId="0" applyFont="1" applyFill="1" applyBorder="1" applyProtection="1"/>
    <xf numFmtId="4" fontId="5" fillId="5" borderId="19" xfId="0" applyNumberFormat="1" applyFont="1" applyFill="1" applyBorder="1" applyAlignment="1" applyProtection="1">
      <alignment horizontal="left"/>
    </xf>
    <xf numFmtId="0" fontId="5" fillId="5" borderId="51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vertical="center"/>
      <protection locked="0"/>
    </xf>
    <xf numFmtId="4" fontId="8" fillId="2" borderId="0" xfId="0" applyNumberFormat="1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left" vertical="center"/>
    </xf>
    <xf numFmtId="0" fontId="21" fillId="2" borderId="0" xfId="0" applyFont="1" applyFill="1" applyBorder="1" applyAlignment="1" applyProtection="1">
      <alignment vertical="center"/>
    </xf>
    <xf numFmtId="0" fontId="21" fillId="2" borderId="0" xfId="0" quotePrefix="1" applyFont="1" applyFill="1" applyBorder="1" applyAlignment="1" applyProtection="1">
      <alignment vertical="center"/>
    </xf>
    <xf numFmtId="4" fontId="10" fillId="5" borderId="44" xfId="0" applyNumberFormat="1" applyFont="1" applyFill="1" applyBorder="1" applyAlignment="1" applyProtection="1">
      <alignment horizontal="center" vertical="center"/>
    </xf>
    <xf numFmtId="1" fontId="10" fillId="5" borderId="20" xfId="0" applyNumberFormat="1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vertical="center"/>
    </xf>
    <xf numFmtId="0" fontId="5" fillId="2" borderId="15" xfId="0" applyFont="1" applyFill="1" applyBorder="1" applyAlignment="1" applyProtection="1">
      <alignment vertical="center"/>
    </xf>
    <xf numFmtId="0" fontId="5" fillId="2" borderId="34" xfId="0" applyFont="1" applyFill="1" applyBorder="1" applyAlignment="1" applyProtection="1">
      <alignment vertical="center"/>
    </xf>
    <xf numFmtId="0" fontId="10" fillId="2" borderId="17" xfId="0" applyFont="1" applyFill="1" applyBorder="1" applyAlignment="1" applyProtection="1">
      <alignment vertical="center"/>
    </xf>
    <xf numFmtId="4" fontId="10" fillId="2" borderId="32" xfId="0" applyNumberFormat="1" applyFont="1" applyFill="1" applyBorder="1" applyAlignment="1" applyProtection="1">
      <alignment vertical="center"/>
    </xf>
    <xf numFmtId="4" fontId="5" fillId="2" borderId="38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/>
    <xf numFmtId="4" fontId="48" fillId="2" borderId="39" xfId="0" applyNumberFormat="1" applyFont="1" applyFill="1" applyBorder="1" applyAlignment="1">
      <alignment vertical="center"/>
    </xf>
    <xf numFmtId="4" fontId="48" fillId="2" borderId="19" xfId="0" applyNumberFormat="1" applyFont="1" applyFill="1" applyBorder="1" applyAlignment="1">
      <alignment vertical="center"/>
    </xf>
    <xf numFmtId="4" fontId="31" fillId="2" borderId="41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4" fillId="2" borderId="0" xfId="0" quotePrefix="1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10" fillId="5" borderId="43" xfId="0" quotePrefix="1" applyFont="1" applyFill="1" applyBorder="1" applyAlignment="1">
      <alignment horizontal="left" vertical="center"/>
    </xf>
    <xf numFmtId="0" fontId="47" fillId="2" borderId="0" xfId="0" applyFont="1" applyFill="1"/>
    <xf numFmtId="0" fontId="10" fillId="5" borderId="44" xfId="0" applyFont="1" applyFill="1" applyBorder="1" applyAlignment="1">
      <alignment horizontal="center" vertical="center" wrapText="1"/>
    </xf>
    <xf numFmtId="0" fontId="48" fillId="2" borderId="39" xfId="0" applyFont="1" applyFill="1" applyBorder="1" applyAlignment="1" applyProtection="1">
      <alignment horizontal="center" vertical="center"/>
      <protection locked="0"/>
    </xf>
    <xf numFmtId="0" fontId="21" fillId="2" borderId="4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4" fontId="22" fillId="2" borderId="0" xfId="0" applyNumberFormat="1" applyFont="1" applyFill="1" applyBorder="1" applyAlignment="1">
      <alignment vertical="center"/>
    </xf>
    <xf numFmtId="0" fontId="21" fillId="2" borderId="0" xfId="0" quotePrefix="1" applyFont="1" applyFill="1" applyBorder="1" applyAlignment="1">
      <alignment horizontal="left" vertical="center"/>
    </xf>
    <xf numFmtId="0" fontId="21" fillId="2" borderId="0" xfId="0" quotePrefix="1" applyFont="1" applyFill="1" applyAlignment="1">
      <alignment horizontal="left" vertical="center"/>
    </xf>
    <xf numFmtId="4" fontId="21" fillId="2" borderId="0" xfId="0" applyNumberFormat="1" applyFont="1" applyFill="1" applyBorder="1" applyAlignment="1">
      <alignment horizontal="left" vertical="center"/>
    </xf>
    <xf numFmtId="4" fontId="6" fillId="2" borderId="21" xfId="0" applyNumberFormat="1" applyFont="1" applyFill="1" applyBorder="1" applyAlignment="1" applyProtection="1">
      <alignment horizontal="right" vertical="center"/>
      <protection locked="0"/>
    </xf>
    <xf numFmtId="0" fontId="10" fillId="2" borderId="26" xfId="0" applyFont="1" applyFill="1" applyBorder="1" applyAlignment="1" applyProtection="1">
      <alignment vertical="center"/>
    </xf>
    <xf numFmtId="0" fontId="10" fillId="2" borderId="54" xfId="0" applyFont="1" applyFill="1" applyBorder="1" applyAlignment="1" applyProtection="1">
      <alignment vertical="center"/>
    </xf>
    <xf numFmtId="4" fontId="10" fillId="2" borderId="21" xfId="0" applyNumberFormat="1" applyFont="1" applyFill="1" applyBorder="1" applyAlignment="1" applyProtection="1">
      <alignment horizontal="left" vertical="center"/>
      <protection locked="0"/>
    </xf>
    <xf numFmtId="0" fontId="10" fillId="2" borderId="21" xfId="0" applyFont="1" applyFill="1" applyBorder="1" applyAlignment="1" applyProtection="1">
      <alignment horizontal="left" vertical="center"/>
      <protection locked="0"/>
    </xf>
    <xf numFmtId="0" fontId="10" fillId="2" borderId="29" xfId="0" applyFont="1" applyFill="1" applyBorder="1" applyAlignment="1" applyProtection="1">
      <alignment vertical="center"/>
    </xf>
    <xf numFmtId="0" fontId="10" fillId="2" borderId="35" xfId="0" applyFont="1" applyFill="1" applyBorder="1" applyAlignment="1" applyProtection="1">
      <alignment vertical="center"/>
    </xf>
    <xf numFmtId="4" fontId="10" fillId="2" borderId="33" xfId="0" applyNumberFormat="1" applyFont="1" applyFill="1" applyBorder="1" applyAlignment="1" applyProtection="1">
      <alignment horizontal="left" vertical="center"/>
      <protection locked="0"/>
    </xf>
    <xf numFmtId="0" fontId="10" fillId="2" borderId="33" xfId="0" applyFont="1" applyFill="1" applyBorder="1" applyAlignment="1" applyProtection="1">
      <alignment horizontal="left" vertical="center"/>
      <protection locked="0"/>
    </xf>
    <xf numFmtId="4" fontId="10" fillId="2" borderId="21" xfId="0" applyNumberFormat="1" applyFont="1" applyFill="1" applyBorder="1" applyAlignment="1" applyProtection="1">
      <alignment vertical="center"/>
    </xf>
    <xf numFmtId="4" fontId="10" fillId="2" borderId="21" xfId="0" applyNumberFormat="1" applyFont="1" applyFill="1" applyBorder="1" applyAlignment="1" applyProtection="1">
      <alignment horizontal="left" vertical="center"/>
    </xf>
    <xf numFmtId="0" fontId="10" fillId="2" borderId="21" xfId="0" applyFont="1" applyFill="1" applyBorder="1" applyAlignment="1" applyProtection="1">
      <alignment horizontal="left" vertical="center"/>
    </xf>
    <xf numFmtId="0" fontId="10" fillId="2" borderId="27" xfId="0" applyFont="1" applyFill="1" applyBorder="1" applyAlignment="1" applyProtection="1">
      <alignment vertical="center"/>
    </xf>
    <xf numFmtId="0" fontId="10" fillId="2" borderId="34" xfId="0" applyFont="1" applyFill="1" applyBorder="1" applyAlignment="1" applyProtection="1">
      <alignment vertical="center"/>
    </xf>
    <xf numFmtId="4" fontId="10" fillId="2" borderId="22" xfId="0" applyNumberFormat="1" applyFont="1" applyFill="1" applyBorder="1" applyAlignment="1" applyProtection="1">
      <alignment vertical="center"/>
    </xf>
    <xf numFmtId="4" fontId="10" fillId="2" borderId="22" xfId="0" applyNumberFormat="1" applyFont="1" applyFill="1" applyBorder="1" applyAlignment="1" applyProtection="1">
      <alignment horizontal="left" vertical="center"/>
    </xf>
    <xf numFmtId="0" fontId="10" fillId="2" borderId="22" xfId="0" applyFont="1" applyFill="1" applyBorder="1" applyAlignment="1" applyProtection="1">
      <alignment horizontal="left" vertical="center"/>
    </xf>
    <xf numFmtId="0" fontId="22" fillId="0" borderId="4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5" xfId="0" applyFont="1" applyFill="1" applyBorder="1" applyAlignment="1" applyProtection="1">
      <alignment horizontal="left" vertical="center"/>
      <protection locked="0"/>
    </xf>
    <xf numFmtId="0" fontId="10" fillId="2" borderId="42" xfId="0" applyFont="1" applyFill="1" applyBorder="1" applyAlignment="1" applyProtection="1">
      <alignment vertical="center"/>
    </xf>
    <xf numFmtId="0" fontId="10" fillId="2" borderId="43" xfId="0" applyFont="1" applyFill="1" applyBorder="1" applyAlignment="1" applyProtection="1">
      <alignment vertical="center"/>
    </xf>
    <xf numFmtId="4" fontId="10" fillId="2" borderId="44" xfId="0" applyNumberFormat="1" applyFont="1" applyFill="1" applyBorder="1" applyAlignment="1" applyProtection="1">
      <alignment vertical="center"/>
      <protection locked="0"/>
    </xf>
    <xf numFmtId="4" fontId="10" fillId="2" borderId="44" xfId="0" applyNumberFormat="1" applyFont="1" applyFill="1" applyBorder="1" applyAlignment="1" applyProtection="1">
      <alignment horizontal="left" vertical="center"/>
      <protection locked="0"/>
    </xf>
    <xf numFmtId="0" fontId="10" fillId="2" borderId="44" xfId="0" applyFont="1" applyFill="1" applyBorder="1" applyAlignment="1" applyProtection="1">
      <alignment horizontal="left" vertical="center"/>
      <protection locked="0"/>
    </xf>
    <xf numFmtId="4" fontId="8" fillId="2" borderId="21" xfId="0" applyNumberFormat="1" applyFont="1" applyFill="1" applyBorder="1" applyAlignment="1" applyProtection="1">
      <alignment horizontal="right" vertical="center"/>
      <protection locked="0"/>
    </xf>
    <xf numFmtId="1" fontId="8" fillId="2" borderId="39" xfId="0" applyNumberFormat="1" applyFont="1" applyFill="1" applyBorder="1" applyAlignment="1" applyProtection="1">
      <alignment horizontal="center" vertical="center"/>
      <protection locked="0"/>
    </xf>
    <xf numFmtId="1" fontId="8" fillId="2" borderId="22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4" fontId="13" fillId="2" borderId="0" xfId="0" applyNumberFormat="1" applyFont="1" applyFill="1" applyBorder="1"/>
    <xf numFmtId="0" fontId="22" fillId="2" borderId="0" xfId="0" quotePrefix="1" applyFont="1" applyFill="1" applyBorder="1" applyAlignment="1">
      <alignment horizontal="left"/>
    </xf>
    <xf numFmtId="4" fontId="8" fillId="2" borderId="32" xfId="0" applyNumberFormat="1" applyFont="1" applyFill="1" applyBorder="1" applyAlignment="1" applyProtection="1">
      <alignment horizontal="left" vertical="center"/>
      <protection locked="0"/>
    </xf>
    <xf numFmtId="4" fontId="7" fillId="2" borderId="40" xfId="6" applyNumberFormat="1" applyFont="1" applyFill="1" applyBorder="1" applyAlignment="1" applyProtection="1">
      <alignment vertical="center"/>
      <protection locked="0"/>
    </xf>
    <xf numFmtId="4" fontId="7" fillId="2" borderId="34" xfId="6" applyNumberFormat="1" applyFont="1" applyFill="1" applyBorder="1" applyAlignment="1" applyProtection="1">
      <alignment vertical="center"/>
      <protection locked="0"/>
    </xf>
    <xf numFmtId="4" fontId="7" fillId="2" borderId="65" xfId="6" applyNumberFormat="1" applyFont="1" applyFill="1" applyBorder="1" applyAlignment="1" applyProtection="1">
      <alignment vertical="center"/>
      <protection locked="0"/>
    </xf>
    <xf numFmtId="4" fontId="7" fillId="2" borderId="35" xfId="6" applyNumberFormat="1" applyFont="1" applyFill="1" applyBorder="1" applyAlignment="1" applyProtection="1">
      <alignment vertical="center"/>
      <protection locked="0"/>
    </xf>
    <xf numFmtId="0" fontId="7" fillId="2" borderId="40" xfId="0" applyNumberFormat="1" applyFont="1" applyFill="1" applyBorder="1" applyAlignment="1" applyProtection="1">
      <alignment horizontal="left" vertical="center"/>
      <protection locked="0"/>
    </xf>
    <xf numFmtId="0" fontId="7" fillId="2" borderId="34" xfId="0" applyNumberFormat="1" applyFont="1" applyFill="1" applyBorder="1" applyAlignment="1" applyProtection="1">
      <alignment horizontal="left" vertical="center"/>
      <protection locked="0"/>
    </xf>
    <xf numFmtId="0" fontId="7" fillId="2" borderId="65" xfId="0" applyNumberFormat="1" applyFont="1" applyFill="1" applyBorder="1" applyAlignment="1" applyProtection="1">
      <alignment horizontal="left" vertical="center"/>
      <protection locked="0"/>
    </xf>
    <xf numFmtId="0" fontId="7" fillId="2" borderId="35" xfId="0" applyNumberFormat="1" applyFont="1" applyFill="1" applyBorder="1" applyAlignment="1" applyProtection="1">
      <alignment horizontal="left" vertical="center"/>
      <protection locked="0"/>
    </xf>
    <xf numFmtId="0" fontId="3" fillId="2" borderId="39" xfId="0" applyNumberFormat="1" applyFont="1" applyFill="1" applyBorder="1" applyAlignment="1" applyProtection="1">
      <alignment horizontal="center" vertical="center"/>
      <protection locked="0"/>
    </xf>
    <xf numFmtId="0" fontId="3" fillId="2" borderId="22" xfId="0" applyNumberFormat="1" applyFont="1" applyFill="1" applyBorder="1" applyAlignment="1" applyProtection="1">
      <alignment horizontal="center" vertical="center"/>
      <protection locked="0"/>
    </xf>
    <xf numFmtId="0" fontId="3" fillId="2" borderId="89" xfId="0" applyNumberFormat="1" applyFont="1" applyFill="1" applyBorder="1" applyAlignment="1" applyProtection="1">
      <alignment horizontal="center" vertical="center"/>
      <protection locked="0"/>
    </xf>
    <xf numFmtId="0" fontId="3" fillId="2" borderId="33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/>
      <protection locked="0"/>
    </xf>
    <xf numFmtId="4" fontId="10" fillId="2" borderId="54" xfId="0" applyNumberFormat="1" applyFont="1" applyFill="1" applyBorder="1" applyAlignment="1" applyProtection="1">
      <alignment horizontal="center" vertical="center"/>
      <protection locked="0"/>
    </xf>
    <xf numFmtId="4" fontId="8" fillId="2" borderId="54" xfId="0" applyNumberFormat="1" applyFont="1" applyFill="1" applyBorder="1" applyAlignment="1" applyProtection="1">
      <alignment horizontal="center" vertical="center"/>
      <protection locked="0"/>
    </xf>
    <xf numFmtId="4" fontId="10" fillId="2" borderId="40" xfId="0" applyNumberFormat="1" applyFont="1" applyFill="1" applyBorder="1" applyAlignment="1" applyProtection="1">
      <alignment horizontal="center" vertical="center"/>
      <protection locked="0"/>
    </xf>
    <xf numFmtId="4" fontId="8" fillId="2" borderId="40" xfId="0" applyNumberFormat="1" applyFont="1" applyFill="1" applyBorder="1" applyAlignment="1" applyProtection="1">
      <alignment horizontal="center" vertical="center"/>
      <protection locked="0"/>
    </xf>
    <xf numFmtId="4" fontId="10" fillId="2" borderId="34" xfId="0" applyNumberFormat="1" applyFont="1" applyFill="1" applyBorder="1" applyAlignment="1" applyProtection="1">
      <alignment horizontal="center" vertical="center"/>
      <protection locked="0"/>
    </xf>
    <xf numFmtId="4" fontId="8" fillId="2" borderId="34" xfId="0" applyNumberFormat="1" applyFont="1" applyFill="1" applyBorder="1" applyAlignment="1" applyProtection="1">
      <alignment horizontal="center" vertical="center"/>
      <protection locked="0"/>
    </xf>
    <xf numFmtId="4" fontId="10" fillId="2" borderId="65" xfId="0" applyNumberFormat="1" applyFont="1" applyFill="1" applyBorder="1" applyAlignment="1" applyProtection="1">
      <alignment horizontal="center" vertical="center"/>
      <protection locked="0"/>
    </xf>
    <xf numFmtId="4" fontId="8" fillId="2" borderId="65" xfId="0" applyNumberFormat="1" applyFont="1" applyFill="1" applyBorder="1" applyAlignment="1" applyProtection="1">
      <alignment horizontal="center" vertical="center"/>
      <protection locked="0"/>
    </xf>
    <xf numFmtId="4" fontId="10" fillId="2" borderId="35" xfId="0" applyNumberFormat="1" applyFont="1" applyFill="1" applyBorder="1" applyAlignment="1" applyProtection="1">
      <alignment horizontal="center" vertical="center"/>
      <protection locked="0"/>
    </xf>
    <xf numFmtId="4" fontId="8" fillId="2" borderId="35" xfId="0" applyNumberFormat="1" applyFont="1" applyFill="1" applyBorder="1" applyAlignment="1" applyProtection="1">
      <alignment horizontal="center" vertical="center"/>
      <protection locked="0"/>
    </xf>
    <xf numFmtId="4" fontId="10" fillId="2" borderId="32" xfId="0" applyNumberFormat="1" applyFont="1" applyFill="1" applyBorder="1" applyAlignment="1">
      <alignment horizontal="center" vertical="center"/>
    </xf>
    <xf numFmtId="4" fontId="10" fillId="2" borderId="18" xfId="0" applyNumberFormat="1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left" vertical="center"/>
    </xf>
    <xf numFmtId="4" fontId="8" fillId="2" borderId="79" xfId="0" applyNumberFormat="1" applyFont="1" applyFill="1" applyBorder="1" applyAlignment="1" applyProtection="1">
      <alignment horizontal="right" vertical="center"/>
      <protection locked="0"/>
    </xf>
    <xf numFmtId="4" fontId="3" fillId="2" borderId="85" xfId="0" applyNumberFormat="1" applyFont="1" applyFill="1" applyBorder="1" applyAlignment="1" applyProtection="1">
      <alignment horizontal="right" vertical="center"/>
      <protection locked="0"/>
    </xf>
    <xf numFmtId="4" fontId="3" fillId="2" borderId="21" xfId="0" applyNumberFormat="1" applyFont="1" applyFill="1" applyBorder="1" applyAlignment="1" applyProtection="1">
      <alignment horizontal="right" vertical="center"/>
      <protection locked="0"/>
    </xf>
    <xf numFmtId="4" fontId="3" fillId="2" borderId="80" xfId="0" applyNumberFormat="1" applyFont="1" applyFill="1" applyBorder="1" applyAlignment="1" applyProtection="1">
      <alignment horizontal="right" vertical="center"/>
      <protection locked="0"/>
    </xf>
    <xf numFmtId="4" fontId="3" fillId="2" borderId="22" xfId="0" applyNumberFormat="1" applyFont="1" applyFill="1" applyBorder="1" applyAlignment="1" applyProtection="1">
      <alignment horizontal="right" vertical="center"/>
      <protection locked="0"/>
    </xf>
    <xf numFmtId="4" fontId="3" fillId="2" borderId="75" xfId="0" applyNumberFormat="1" applyFont="1" applyFill="1" applyBorder="1" applyAlignment="1" applyProtection="1">
      <alignment horizontal="right" vertical="center"/>
      <protection locked="0"/>
    </xf>
    <xf numFmtId="4" fontId="3" fillId="2" borderId="33" xfId="0" applyNumberFormat="1" applyFont="1" applyFill="1" applyBorder="1" applyAlignment="1" applyProtection="1">
      <alignment horizontal="right" vertical="center"/>
      <protection locked="0"/>
    </xf>
    <xf numFmtId="0" fontId="10" fillId="5" borderId="19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4" fontId="8" fillId="2" borderId="21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47" fillId="2" borderId="0" xfId="0" applyFont="1" applyFill="1" applyAlignment="1">
      <alignment vertical="center"/>
    </xf>
    <xf numFmtId="0" fontId="8" fillId="2" borderId="22" xfId="0" applyFont="1" applyFill="1" applyBorder="1" applyAlignment="1">
      <alignment vertical="center"/>
    </xf>
    <xf numFmtId="0" fontId="8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vertical="center"/>
    </xf>
    <xf numFmtId="0" fontId="8" fillId="5" borderId="22" xfId="0" applyFont="1" applyFill="1" applyBorder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5" borderId="22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vertical="center"/>
    </xf>
    <xf numFmtId="0" fontId="8" fillId="2" borderId="33" xfId="0" applyFont="1" applyFill="1" applyBorder="1" applyAlignment="1">
      <alignment vertical="center"/>
    </xf>
    <xf numFmtId="0" fontId="8" fillId="5" borderId="33" xfId="0" applyFont="1" applyFill="1" applyBorder="1" applyAlignment="1">
      <alignment vertical="center"/>
    </xf>
    <xf numFmtId="0" fontId="8" fillId="2" borderId="33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vertical="center"/>
    </xf>
    <xf numFmtId="0" fontId="8" fillId="2" borderId="41" xfId="0" applyFont="1" applyFill="1" applyBorder="1" applyAlignment="1">
      <alignment vertical="center"/>
    </xf>
    <xf numFmtId="0" fontId="8" fillId="5" borderId="41" xfId="0" applyFont="1" applyFill="1" applyBorder="1" applyAlignment="1">
      <alignment vertical="center"/>
    </xf>
    <xf numFmtId="0" fontId="8" fillId="2" borderId="41" xfId="0" applyFont="1" applyFill="1" applyBorder="1" applyAlignment="1">
      <alignment horizontal="center" vertical="center"/>
    </xf>
    <xf numFmtId="0" fontId="38" fillId="7" borderId="0" xfId="0" applyFont="1" applyFill="1" applyBorder="1" applyAlignment="1">
      <alignment vertical="center"/>
    </xf>
    <xf numFmtId="0" fontId="51" fillId="7" borderId="0" xfId="0" applyFont="1" applyFill="1" applyBorder="1" applyAlignment="1">
      <alignment vertical="center"/>
    </xf>
    <xf numFmtId="0" fontId="2" fillId="2" borderId="1" xfId="0" applyFont="1" applyFill="1" applyBorder="1"/>
    <xf numFmtId="0" fontId="35" fillId="2" borderId="16" xfId="0" applyFont="1" applyFill="1" applyBorder="1" applyAlignment="1" applyProtection="1">
      <alignment horizontal="left" vertical="center"/>
      <protection locked="0"/>
    </xf>
    <xf numFmtId="4" fontId="35" fillId="2" borderId="16" xfId="0" applyNumberFormat="1" applyFont="1" applyFill="1" applyBorder="1" applyAlignment="1" applyProtection="1">
      <alignment horizontal="left" vertical="center"/>
      <protection locked="0"/>
    </xf>
    <xf numFmtId="4" fontId="13" fillId="2" borderId="16" xfId="0" applyNumberFormat="1" applyFont="1" applyFill="1" applyBorder="1" applyAlignment="1" applyProtection="1">
      <alignment horizontal="left" vertical="center"/>
      <protection locked="0"/>
    </xf>
    <xf numFmtId="0" fontId="35" fillId="2" borderId="15" xfId="0" applyFont="1" applyFill="1" applyBorder="1" applyAlignment="1" applyProtection="1">
      <alignment horizontal="left" vertical="center"/>
      <protection locked="0"/>
    </xf>
    <xf numFmtId="4" fontId="35" fillId="2" borderId="15" xfId="0" applyNumberFormat="1" applyFont="1" applyFill="1" applyBorder="1" applyAlignment="1" applyProtection="1">
      <alignment horizontal="left" vertical="center"/>
      <protection locked="0"/>
    </xf>
    <xf numFmtId="4" fontId="13" fillId="2" borderId="15" xfId="0" applyNumberFormat="1" applyFont="1" applyFill="1" applyBorder="1" applyAlignment="1" applyProtection="1">
      <alignment horizontal="left" vertical="center"/>
      <protection locked="0"/>
    </xf>
    <xf numFmtId="4" fontId="8" fillId="2" borderId="54" xfId="0" applyNumberFormat="1" applyFont="1" applyFill="1" applyBorder="1" applyAlignment="1" applyProtection="1">
      <alignment vertical="center"/>
      <protection locked="0"/>
    </xf>
    <xf numFmtId="4" fontId="8" fillId="2" borderId="40" xfId="0" applyNumberFormat="1" applyFont="1" applyFill="1" applyBorder="1" applyAlignment="1" applyProtection="1">
      <alignment vertical="center"/>
      <protection locked="0"/>
    </xf>
    <xf numFmtId="4" fontId="8" fillId="2" borderId="34" xfId="0" applyNumberFormat="1" applyFont="1" applyFill="1" applyBorder="1" applyAlignment="1" applyProtection="1">
      <alignment vertical="center"/>
      <protection locked="0"/>
    </xf>
    <xf numFmtId="4" fontId="8" fillId="2" borderId="65" xfId="0" applyNumberFormat="1" applyFont="1" applyFill="1" applyBorder="1" applyAlignment="1" applyProtection="1">
      <alignment vertical="center"/>
      <protection locked="0"/>
    </xf>
    <xf numFmtId="4" fontId="8" fillId="2" borderId="35" xfId="0" applyNumberFormat="1" applyFont="1" applyFill="1" applyBorder="1" applyAlignment="1" applyProtection="1">
      <alignment vertical="center"/>
      <protection locked="0"/>
    </xf>
    <xf numFmtId="0" fontId="13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31" fillId="5" borderId="44" xfId="2" applyFont="1" applyFill="1" applyBorder="1" applyAlignment="1">
      <alignment horizontal="center" vertical="center" wrapText="1"/>
    </xf>
    <xf numFmtId="0" fontId="31" fillId="5" borderId="41" xfId="2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1" fillId="5" borderId="20" xfId="2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/>
    </xf>
    <xf numFmtId="0" fontId="21" fillId="0" borderId="0" xfId="0" applyFont="1" applyFill="1" applyAlignment="1">
      <alignment horizontal="left"/>
    </xf>
    <xf numFmtId="0" fontId="8" fillId="2" borderId="0" xfId="0" applyFont="1" applyFill="1" applyBorder="1" applyAlignment="1" applyProtection="1">
      <protection locked="0"/>
    </xf>
    <xf numFmtId="0" fontId="22" fillId="2" borderId="0" xfId="0" applyFont="1" applyFill="1" applyBorder="1" applyAlignment="1" applyProtection="1">
      <protection locked="0"/>
    </xf>
    <xf numFmtId="0" fontId="18" fillId="0" borderId="0" xfId="0" applyFont="1"/>
    <xf numFmtId="0" fontId="1" fillId="2" borderId="0" xfId="0" applyFont="1" applyFill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5" borderId="22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53" fillId="0" borderId="101" xfId="0" applyFont="1" applyBorder="1" applyAlignment="1" applyProtection="1">
      <alignment vertical="center"/>
      <protection locked="0"/>
    </xf>
    <xf numFmtId="0" fontId="21" fillId="2" borderId="11" xfId="0" quotePrefix="1" applyFont="1" applyFill="1" applyBorder="1" applyAlignment="1" applyProtection="1">
      <alignment horizontal="center"/>
      <protection locked="0"/>
    </xf>
    <xf numFmtId="3" fontId="21" fillId="2" borderId="11" xfId="0" quotePrefix="1" applyNumberFormat="1" applyFont="1" applyFill="1" applyBorder="1" applyAlignment="1" applyProtection="1">
      <alignment horizontal="center"/>
      <protection locked="0"/>
    </xf>
    <xf numFmtId="14" fontId="1" fillId="0" borderId="102" xfId="0" applyNumberFormat="1" applyFont="1" applyBorder="1" applyAlignment="1">
      <alignment horizontal="center" vertical="center" wrapText="1"/>
    </xf>
    <xf numFmtId="0" fontId="1" fillId="0" borderId="102" xfId="0" applyFont="1" applyBorder="1" applyAlignment="1">
      <alignment horizontal="center" vertical="center" wrapText="1"/>
    </xf>
    <xf numFmtId="0" fontId="1" fillId="0" borderId="102" xfId="0" quotePrefix="1" applyFont="1" applyBorder="1" applyAlignment="1">
      <alignment horizontal="center" vertical="center" wrapText="1"/>
    </xf>
    <xf numFmtId="14" fontId="1" fillId="0" borderId="103" xfId="0" applyNumberFormat="1" applyFont="1" applyBorder="1" applyAlignment="1">
      <alignment horizontal="center" vertical="center" wrapText="1"/>
    </xf>
    <xf numFmtId="0" fontId="1" fillId="0" borderId="103" xfId="0" applyFont="1" applyBorder="1" applyAlignment="1">
      <alignment horizontal="center" vertical="center" wrapText="1"/>
    </xf>
    <xf numFmtId="0" fontId="1" fillId="0" borderId="103" xfId="0" quotePrefix="1" applyFont="1" applyBorder="1" applyAlignment="1">
      <alignment horizontal="center" vertical="center" wrapText="1"/>
    </xf>
    <xf numFmtId="14" fontId="1" fillId="0" borderId="103" xfId="0" quotePrefix="1" applyNumberFormat="1" applyFont="1" applyBorder="1" applyAlignment="1">
      <alignment horizontal="center" vertical="center" wrapText="1"/>
    </xf>
    <xf numFmtId="0" fontId="8" fillId="2" borderId="27" xfId="0" applyFont="1" applyFill="1" applyBorder="1" applyAlignment="1" applyProtection="1">
      <alignment horizontal="left" vertical="center"/>
      <protection locked="0"/>
    </xf>
    <xf numFmtId="0" fontId="8" fillId="2" borderId="34" xfId="0" applyFont="1" applyFill="1" applyBorder="1" applyAlignment="1" applyProtection="1">
      <alignment horizontal="left" vertical="center"/>
      <protection locked="0"/>
    </xf>
    <xf numFmtId="0" fontId="1" fillId="2" borderId="27" xfId="0" applyFont="1" applyFill="1" applyBorder="1" applyAlignment="1" applyProtection="1">
      <alignment vertical="center"/>
      <protection locked="0"/>
    </xf>
    <xf numFmtId="0" fontId="1" fillId="2" borderId="34" xfId="0" applyFont="1" applyFill="1" applyBorder="1" applyAlignment="1" applyProtection="1">
      <alignment vertical="center"/>
      <protection locked="0"/>
    </xf>
    <xf numFmtId="4" fontId="54" fillId="2" borderId="39" xfId="0" applyNumberFormat="1" applyFont="1" applyFill="1" applyBorder="1" applyAlignment="1" applyProtection="1">
      <alignment vertical="center"/>
      <protection locked="0"/>
    </xf>
    <xf numFmtId="4" fontId="1" fillId="2" borderId="52" xfId="5" applyNumberFormat="1" applyFont="1" applyFill="1" applyBorder="1" applyAlignment="1" applyProtection="1">
      <alignment vertical="center"/>
      <protection locked="0"/>
    </xf>
    <xf numFmtId="4" fontId="1" fillId="2" borderId="53" xfId="5" applyNumberFormat="1" applyFont="1" applyFill="1" applyBorder="1" applyAlignment="1" applyProtection="1">
      <alignment vertical="center"/>
      <protection locked="0"/>
    </xf>
    <xf numFmtId="4" fontId="1" fillId="2" borderId="58" xfId="5" applyNumberFormat="1" applyFont="1" applyFill="1" applyBorder="1" applyAlignment="1" applyProtection="1">
      <alignment vertical="center"/>
      <protection locked="0"/>
    </xf>
    <xf numFmtId="4" fontId="55" fillId="0" borderId="0" xfId="4" applyNumberFormat="1"/>
    <xf numFmtId="4" fontId="1" fillId="8" borderId="34" xfId="0" applyNumberFormat="1" applyFont="1" applyFill="1" applyBorder="1" applyAlignment="1" applyProtection="1">
      <alignment vertical="center"/>
      <protection locked="0"/>
    </xf>
    <xf numFmtId="49" fontId="1" fillId="8" borderId="34" xfId="0" applyNumberFormat="1" applyFont="1" applyFill="1" applyBorder="1" applyAlignment="1" applyProtection="1">
      <alignment horizontal="center" vertical="center"/>
      <protection locked="0"/>
    </xf>
    <xf numFmtId="49" fontId="1" fillId="2" borderId="34" xfId="0" applyNumberFormat="1" applyFont="1" applyFill="1" applyBorder="1" applyAlignment="1" applyProtection="1">
      <alignment horizontal="center" vertical="center"/>
      <protection locked="0"/>
    </xf>
    <xf numFmtId="49" fontId="8" fillId="2" borderId="34" xfId="0" applyNumberFormat="1" applyFont="1" applyFill="1" applyBorder="1" applyAlignment="1" applyProtection="1">
      <alignment horizontal="center" vertical="center"/>
      <protection locked="0"/>
    </xf>
    <xf numFmtId="49" fontId="1" fillId="2" borderId="65" xfId="0" applyNumberFormat="1" applyFont="1" applyFill="1" applyBorder="1" applyAlignment="1" applyProtection="1">
      <alignment horizontal="center" vertical="center"/>
      <protection locked="0"/>
    </xf>
    <xf numFmtId="49" fontId="8" fillId="2" borderId="65" xfId="0" applyNumberFormat="1" applyFont="1" applyFill="1" applyBorder="1" applyAlignment="1" applyProtection="1">
      <alignment horizontal="center" vertical="center"/>
      <protection locked="0"/>
    </xf>
    <xf numFmtId="49" fontId="1" fillId="2" borderId="40" xfId="0" applyNumberFormat="1" applyFont="1" applyFill="1" applyBorder="1" applyAlignment="1" applyProtection="1">
      <alignment horizontal="center" vertical="center"/>
      <protection locked="0"/>
    </xf>
    <xf numFmtId="49" fontId="8" fillId="2" borderId="40" xfId="0" applyNumberFormat="1" applyFont="1" applyFill="1" applyBorder="1" applyAlignment="1" applyProtection="1">
      <alignment horizontal="center" vertical="center"/>
      <protection locked="0"/>
    </xf>
    <xf numFmtId="49" fontId="10" fillId="2" borderId="40" xfId="0" applyNumberFormat="1" applyFont="1" applyFill="1" applyBorder="1" applyAlignment="1" applyProtection="1">
      <alignment horizontal="center" vertical="center"/>
      <protection locked="0"/>
    </xf>
    <xf numFmtId="49" fontId="10" fillId="2" borderId="34" xfId="0" applyNumberFormat="1" applyFont="1" applyFill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58" fillId="2" borderId="0" xfId="0" applyFont="1" applyFill="1" applyBorder="1" applyAlignment="1" applyProtection="1">
      <alignment horizontal="left" vertical="center"/>
      <protection locked="0"/>
    </xf>
    <xf numFmtId="0" fontId="34" fillId="2" borderId="0" xfId="0" applyFont="1" applyFill="1" applyBorder="1" applyAlignment="1" applyProtection="1">
      <alignment horizontal="left" vertical="center"/>
      <protection locked="0"/>
    </xf>
    <xf numFmtId="4" fontId="34" fillId="2" borderId="0" xfId="0" applyNumberFormat="1" applyFont="1" applyFill="1" applyBorder="1" applyAlignment="1" applyProtection="1">
      <alignment horizontal="left" vertical="center"/>
      <protection locked="0"/>
    </xf>
    <xf numFmtId="0" fontId="34" fillId="2" borderId="0" xfId="0" quotePrefix="1" applyFont="1" applyFill="1" applyBorder="1" applyAlignment="1" applyProtection="1">
      <alignment horizontal="left" vertical="center"/>
      <protection locked="0"/>
    </xf>
    <xf numFmtId="3" fontId="58" fillId="2" borderId="0" xfId="0" applyNumberFormat="1" applyFont="1" applyFill="1" applyBorder="1" applyAlignment="1" applyProtection="1">
      <alignment horizontal="left" vertical="center"/>
      <protection locked="0"/>
    </xf>
    <xf numFmtId="0" fontId="34" fillId="0" borderId="0" xfId="0" quotePrefix="1" applyFont="1" applyFill="1" applyBorder="1" applyAlignment="1" applyProtection="1">
      <alignment horizontal="left" vertical="center"/>
      <protection locked="0"/>
    </xf>
    <xf numFmtId="0" fontId="34" fillId="0" borderId="0" xfId="0" applyFont="1" applyFill="1" applyBorder="1" applyAlignment="1" applyProtection="1">
      <alignment horizontal="left" vertical="center"/>
      <protection locked="0"/>
    </xf>
    <xf numFmtId="4" fontId="34" fillId="0" borderId="0" xfId="0" applyNumberFormat="1" applyFont="1" applyFill="1" applyBorder="1" applyAlignment="1" applyProtection="1">
      <alignment horizontal="left" vertical="center"/>
      <protection locked="0"/>
    </xf>
    <xf numFmtId="4" fontId="58" fillId="2" borderId="0" xfId="0" applyNumberFormat="1" applyFont="1" applyFill="1" applyBorder="1" applyAlignment="1" applyProtection="1">
      <alignment horizontal="left" vertical="center"/>
      <protection locked="0"/>
    </xf>
    <xf numFmtId="0" fontId="34" fillId="2" borderId="5" xfId="0" applyFont="1" applyFill="1" applyBorder="1" applyAlignment="1">
      <alignment horizontal="left"/>
    </xf>
    <xf numFmtId="4" fontId="58" fillId="0" borderId="0" xfId="0" applyNumberFormat="1" applyFont="1" applyFill="1" applyBorder="1" applyAlignment="1" applyProtection="1">
      <alignment horizontal="left" vertical="center"/>
      <protection locked="0"/>
    </xf>
    <xf numFmtId="0" fontId="34" fillId="0" borderId="5" xfId="0" applyFont="1" applyFill="1" applyBorder="1" applyAlignment="1">
      <alignment horizontal="left"/>
    </xf>
    <xf numFmtId="0" fontId="34" fillId="0" borderId="0" xfId="0" applyFont="1" applyFill="1" applyAlignment="1">
      <alignment horizontal="left"/>
    </xf>
    <xf numFmtId="0" fontId="34" fillId="2" borderId="8" xfId="0" applyFont="1" applyFill="1" applyBorder="1" applyAlignment="1">
      <alignment horizontal="left"/>
    </xf>
    <xf numFmtId="4" fontId="34" fillId="2" borderId="8" xfId="0" applyNumberFormat="1" applyFont="1" applyFill="1" applyBorder="1" applyAlignment="1">
      <alignment horizontal="left"/>
    </xf>
    <xf numFmtId="0" fontId="34" fillId="2" borderId="9" xfId="0" applyFont="1" applyFill="1" applyBorder="1" applyAlignment="1">
      <alignment horizontal="left"/>
    </xf>
    <xf numFmtId="0" fontId="34" fillId="2" borderId="0" xfId="0" applyFont="1" applyFill="1" applyBorder="1" applyAlignment="1">
      <alignment horizontal="left"/>
    </xf>
    <xf numFmtId="4" fontId="34" fillId="2" borderId="0" xfId="0" applyNumberFormat="1" applyFont="1" applyFill="1" applyBorder="1" applyAlignment="1">
      <alignment horizontal="left"/>
    </xf>
    <xf numFmtId="4" fontId="48" fillId="2" borderId="87" xfId="0" applyNumberFormat="1" applyFont="1" applyFill="1" applyBorder="1" applyAlignment="1" applyProtection="1">
      <alignment vertical="center"/>
      <protection locked="0"/>
    </xf>
    <xf numFmtId="4" fontId="48" fillId="2" borderId="86" xfId="0" applyNumberFormat="1" applyFont="1" applyFill="1" applyBorder="1" applyAlignment="1" applyProtection="1">
      <alignment vertical="center"/>
      <protection locked="0"/>
    </xf>
    <xf numFmtId="4" fontId="48" fillId="2" borderId="88" xfId="0" applyNumberFormat="1" applyFont="1" applyFill="1" applyBorder="1" applyAlignment="1" applyProtection="1">
      <alignment vertical="center"/>
      <protection locked="0"/>
    </xf>
    <xf numFmtId="1" fontId="12" fillId="5" borderId="0" xfId="0" applyNumberFormat="1" applyFont="1" applyFill="1" applyBorder="1" applyAlignment="1">
      <alignment horizontal="center" vertical="center"/>
    </xf>
    <xf numFmtId="0" fontId="13" fillId="2" borderId="36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 applyProtection="1">
      <alignment horizontal="center" vertical="center"/>
      <protection locked="0"/>
    </xf>
    <xf numFmtId="0" fontId="13" fillId="2" borderId="49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/>
    </xf>
    <xf numFmtId="0" fontId="10" fillId="4" borderId="0" xfId="0" applyFont="1" applyFill="1" applyBorder="1" applyAlignment="1">
      <alignment horizontal="left" vertical="center"/>
    </xf>
    <xf numFmtId="1" fontId="12" fillId="5" borderId="0" xfId="0" applyNumberFormat="1" applyFont="1" applyFill="1" applyBorder="1" applyAlignment="1" applyProtection="1">
      <alignment horizontal="center" vertical="center"/>
    </xf>
    <xf numFmtId="0" fontId="21" fillId="2" borderId="8" xfId="0" applyFont="1" applyFill="1" applyBorder="1" applyAlignment="1" applyProtection="1">
      <alignment horizontal="left"/>
    </xf>
    <xf numFmtId="0" fontId="10" fillId="4" borderId="0" xfId="0" applyFont="1" applyFill="1" applyBorder="1" applyAlignment="1" applyProtection="1">
      <alignment horizontal="left" vertical="center" wrapText="1"/>
    </xf>
    <xf numFmtId="0" fontId="21" fillId="2" borderId="6" xfId="0" applyFont="1" applyFill="1" applyBorder="1" applyAlignment="1" applyProtection="1">
      <alignment horizontal="left" wrapText="1"/>
    </xf>
    <xf numFmtId="0" fontId="21" fillId="2" borderId="11" xfId="0" applyFont="1" applyFill="1" applyBorder="1" applyAlignment="1" applyProtection="1">
      <alignment horizontal="left"/>
      <protection locked="0"/>
    </xf>
    <xf numFmtId="0" fontId="21" fillId="2" borderId="6" xfId="0" applyFont="1" applyFill="1" applyBorder="1" applyAlignment="1" applyProtection="1">
      <alignment horizontal="right"/>
    </xf>
    <xf numFmtId="0" fontId="18" fillId="6" borderId="6" xfId="0" applyFont="1" applyFill="1" applyBorder="1" applyAlignment="1" applyProtection="1">
      <alignment horizontal="right"/>
    </xf>
    <xf numFmtId="0" fontId="5" fillId="2" borderId="27" xfId="0" applyFont="1" applyFill="1" applyBorder="1" applyAlignment="1" applyProtection="1">
      <alignment horizontal="left"/>
      <protection locked="0"/>
    </xf>
    <xf numFmtId="0" fontId="5" fillId="2" borderId="34" xfId="0" applyFont="1" applyFill="1" applyBorder="1" applyAlignment="1" applyProtection="1">
      <alignment horizontal="left"/>
      <protection locked="0"/>
    </xf>
    <xf numFmtId="0" fontId="10" fillId="5" borderId="36" xfId="0" applyNumberFormat="1" applyFont="1" applyFill="1" applyBorder="1" applyAlignment="1" applyProtection="1">
      <alignment horizontal="center" wrapText="1"/>
    </xf>
    <xf numFmtId="0" fontId="10" fillId="5" borderId="49" xfId="0" applyNumberFormat="1" applyFont="1" applyFill="1" applyBorder="1" applyAlignment="1" applyProtection="1">
      <alignment horizontal="center" wrapText="1"/>
    </xf>
    <xf numFmtId="0" fontId="5" fillId="2" borderId="26" xfId="0" applyFont="1" applyFill="1" applyBorder="1" applyAlignment="1" applyProtection="1">
      <alignment horizontal="left"/>
      <protection locked="0"/>
    </xf>
    <xf numFmtId="0" fontId="5" fillId="2" borderId="54" xfId="0" applyFont="1" applyFill="1" applyBorder="1" applyAlignment="1" applyProtection="1">
      <alignment horizontal="left"/>
      <protection locked="0"/>
    </xf>
    <xf numFmtId="0" fontId="21" fillId="2" borderId="8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 applyProtection="1">
      <alignment horizontal="center" vertical="center"/>
    </xf>
    <xf numFmtId="4" fontId="22" fillId="5" borderId="42" xfId="0" applyNumberFormat="1" applyFont="1" applyFill="1" applyBorder="1" applyAlignment="1" applyProtection="1">
      <alignment horizontal="center" vertical="center"/>
    </xf>
    <xf numFmtId="4" fontId="22" fillId="5" borderId="50" xfId="0" applyNumberFormat="1" applyFont="1" applyFill="1" applyBorder="1" applyAlignment="1" applyProtection="1">
      <alignment horizontal="center" vertical="center"/>
    </xf>
    <xf numFmtId="4" fontId="22" fillId="5" borderId="43" xfId="0" applyNumberFormat="1" applyFont="1" applyFill="1" applyBorder="1" applyAlignment="1" applyProtection="1">
      <alignment horizontal="center" vertical="center"/>
    </xf>
    <xf numFmtId="4" fontId="22" fillId="5" borderId="25" xfId="0" applyNumberFormat="1" applyFont="1" applyFill="1" applyBorder="1" applyAlignment="1" applyProtection="1">
      <alignment horizontal="center" vertical="center"/>
    </xf>
    <xf numFmtId="4" fontId="22" fillId="5" borderId="13" xfId="0" applyNumberFormat="1" applyFont="1" applyFill="1" applyBorder="1" applyAlignment="1" applyProtection="1">
      <alignment horizontal="center" vertical="center"/>
    </xf>
    <xf numFmtId="4" fontId="22" fillId="5" borderId="45" xfId="0" applyNumberFormat="1" applyFont="1" applyFill="1" applyBorder="1" applyAlignment="1" applyProtection="1">
      <alignment horizontal="center" vertical="center"/>
    </xf>
    <xf numFmtId="4" fontId="22" fillId="5" borderId="44" xfId="0" applyNumberFormat="1" applyFont="1" applyFill="1" applyBorder="1" applyAlignment="1" applyProtection="1">
      <alignment horizontal="center" vertical="center"/>
    </xf>
    <xf numFmtId="4" fontId="22" fillId="5" borderId="20" xfId="0" applyNumberFormat="1" applyFont="1" applyFill="1" applyBorder="1" applyAlignment="1" applyProtection="1">
      <alignment horizontal="center" vertical="center"/>
    </xf>
    <xf numFmtId="0" fontId="13" fillId="5" borderId="42" xfId="0" applyFont="1" applyFill="1" applyBorder="1" applyAlignment="1" applyProtection="1">
      <alignment vertical="center" wrapText="1"/>
    </xf>
    <xf numFmtId="0" fontId="0" fillId="0" borderId="50" xfId="0" applyBorder="1" applyAlignment="1" applyProtection="1">
      <alignment vertical="center" wrapText="1"/>
    </xf>
    <xf numFmtId="0" fontId="0" fillId="0" borderId="43" xfId="0" applyBorder="1" applyAlignment="1" applyProtection="1">
      <alignment vertical="center" wrapText="1"/>
    </xf>
    <xf numFmtId="0" fontId="0" fillId="0" borderId="25" xfId="0" applyBorder="1" applyAlignment="1" applyProtection="1">
      <alignment vertical="center" wrapText="1"/>
    </xf>
    <xf numFmtId="0" fontId="0" fillId="0" borderId="13" xfId="0" applyBorder="1" applyAlignment="1" applyProtection="1">
      <alignment vertical="center" wrapText="1"/>
    </xf>
    <xf numFmtId="0" fontId="0" fillId="0" borderId="45" xfId="0" applyBorder="1" applyAlignment="1" applyProtection="1">
      <alignment vertical="center" wrapText="1"/>
    </xf>
    <xf numFmtId="0" fontId="5" fillId="2" borderId="27" xfId="0" applyFont="1" applyFill="1" applyBorder="1" applyAlignment="1" applyProtection="1">
      <alignment horizontal="left" vertical="center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34" xfId="0" applyFont="1" applyFill="1" applyBorder="1" applyAlignment="1" applyProtection="1">
      <alignment horizontal="left" vertical="center"/>
    </xf>
    <xf numFmtId="0" fontId="5" fillId="2" borderId="26" xfId="0" applyFont="1" applyFill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left" vertical="center"/>
    </xf>
    <xf numFmtId="0" fontId="5" fillId="2" borderId="54" xfId="0" applyFont="1" applyFill="1" applyBorder="1" applyAlignment="1" applyProtection="1">
      <alignment horizontal="left" vertical="center"/>
    </xf>
    <xf numFmtId="4" fontId="16" fillId="5" borderId="42" xfId="0" applyNumberFormat="1" applyFont="1" applyFill="1" applyBorder="1" applyAlignment="1">
      <alignment horizontal="center" vertical="center"/>
    </xf>
    <xf numFmtId="4" fontId="16" fillId="5" borderId="50" xfId="0" applyNumberFormat="1" applyFont="1" applyFill="1" applyBorder="1" applyAlignment="1">
      <alignment horizontal="center" vertical="center"/>
    </xf>
    <xf numFmtId="4" fontId="16" fillId="5" borderId="43" xfId="0" applyNumberFormat="1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 vertical="center"/>
    </xf>
    <xf numFmtId="0" fontId="8" fillId="5" borderId="43" xfId="0" applyFont="1" applyFill="1" applyBorder="1" applyAlignment="1">
      <alignment horizontal="center" vertical="center"/>
    </xf>
    <xf numFmtId="0" fontId="30" fillId="5" borderId="44" xfId="2" applyFont="1" applyFill="1" applyBorder="1" applyAlignment="1">
      <alignment horizontal="center" wrapText="1"/>
    </xf>
    <xf numFmtId="0" fontId="30" fillId="5" borderId="20" xfId="2" applyFont="1" applyFill="1" applyBorder="1" applyAlignment="1">
      <alignment horizontal="center" wrapText="1"/>
    </xf>
    <xf numFmtId="0" fontId="10" fillId="5" borderId="36" xfId="0" applyFont="1" applyFill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10" fillId="5" borderId="49" xfId="0" applyFont="1" applyFill="1" applyBorder="1" applyAlignment="1">
      <alignment horizontal="center" vertical="center"/>
    </xf>
    <xf numFmtId="0" fontId="8" fillId="2" borderId="95" xfId="0" applyFont="1" applyFill="1" applyBorder="1" applyAlignment="1" applyProtection="1">
      <alignment horizontal="left" vertical="center"/>
      <protection locked="0"/>
    </xf>
    <xf numFmtId="0" fontId="8" fillId="2" borderId="96" xfId="0" applyFont="1" applyFill="1" applyBorder="1" applyAlignment="1" applyProtection="1">
      <alignment horizontal="left" vertical="center"/>
      <protection locked="0"/>
    </xf>
    <xf numFmtId="0" fontId="8" fillId="2" borderId="27" xfId="0" applyFont="1" applyFill="1" applyBorder="1" applyAlignment="1" applyProtection="1">
      <alignment horizontal="left" vertical="center"/>
      <protection locked="0"/>
    </xf>
    <xf numFmtId="0" fontId="8" fillId="2" borderId="34" xfId="0" applyFont="1" applyFill="1" applyBorder="1" applyAlignment="1" applyProtection="1">
      <alignment horizontal="left" vertical="center"/>
      <protection locked="0"/>
    </xf>
    <xf numFmtId="0" fontId="10" fillId="2" borderId="17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2" borderId="29" xfId="0" applyFont="1" applyFill="1" applyBorder="1" applyAlignment="1" applyProtection="1">
      <alignment horizontal="left" vertical="center"/>
      <protection locked="0"/>
    </xf>
    <xf numFmtId="0" fontId="8" fillId="2" borderId="35" xfId="0" applyFont="1" applyFill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>
      <alignment horizontal="center"/>
    </xf>
    <xf numFmtId="0" fontId="1" fillId="2" borderId="27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left" vertical="center"/>
    </xf>
    <xf numFmtId="0" fontId="10" fillId="2" borderId="49" xfId="0" applyFont="1" applyFill="1" applyBorder="1" applyAlignment="1">
      <alignment horizontal="left" vertical="center"/>
    </xf>
    <xf numFmtId="0" fontId="31" fillId="5" borderId="36" xfId="2" applyFont="1" applyFill="1" applyBorder="1" applyAlignment="1">
      <alignment horizontal="center" vertical="center" wrapText="1"/>
    </xf>
    <xf numFmtId="0" fontId="31" fillId="5" borderId="49" xfId="2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0" fontId="34" fillId="2" borderId="8" xfId="0" applyFont="1" applyFill="1" applyBorder="1" applyAlignment="1">
      <alignment horizontal="left"/>
    </xf>
    <xf numFmtId="0" fontId="8" fillId="2" borderId="26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54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center" vertical="center"/>
    </xf>
    <xf numFmtId="0" fontId="31" fillId="5" borderId="42" xfId="2" applyFont="1" applyFill="1" applyBorder="1" applyAlignment="1">
      <alignment horizontal="center" wrapText="1"/>
    </xf>
    <xf numFmtId="0" fontId="31" fillId="5" borderId="50" xfId="2" applyFont="1" applyFill="1" applyBorder="1" applyAlignment="1">
      <alignment horizontal="center" wrapText="1"/>
    </xf>
    <xf numFmtId="0" fontId="31" fillId="5" borderId="43" xfId="2" applyFont="1" applyFill="1" applyBorder="1" applyAlignment="1">
      <alignment horizontal="center" wrapText="1"/>
    </xf>
    <xf numFmtId="0" fontId="10" fillId="5" borderId="25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0" fillId="5" borderId="45" xfId="0" applyFont="1" applyFill="1" applyBorder="1" applyAlignment="1">
      <alignment horizontal="center"/>
    </xf>
    <xf numFmtId="0" fontId="31" fillId="5" borderId="36" xfId="2" applyFont="1" applyFill="1" applyBorder="1" applyAlignment="1">
      <alignment horizontal="center" wrapText="1"/>
    </xf>
    <xf numFmtId="0" fontId="31" fillId="5" borderId="37" xfId="2" applyFont="1" applyFill="1" applyBorder="1" applyAlignment="1">
      <alignment horizontal="center" wrapText="1"/>
    </xf>
    <xf numFmtId="0" fontId="31" fillId="5" borderId="49" xfId="2" applyFont="1" applyFill="1" applyBorder="1" applyAlignment="1">
      <alignment horizontal="center" wrapText="1"/>
    </xf>
    <xf numFmtId="0" fontId="10" fillId="2" borderId="31" xfId="0" applyFont="1" applyFill="1" applyBorder="1" applyAlignment="1">
      <alignment horizontal="left"/>
    </xf>
    <xf numFmtId="0" fontId="10" fillId="2" borderId="32" xfId="0" applyFont="1" applyFill="1" applyBorder="1" applyAlignment="1">
      <alignment horizontal="left"/>
    </xf>
    <xf numFmtId="0" fontId="10" fillId="5" borderId="24" xfId="0" applyFont="1" applyFill="1" applyBorder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0" fillId="2" borderId="17" xfId="0" applyFont="1" applyFill="1" applyBorder="1" applyAlignment="1">
      <alignment horizontal="left"/>
    </xf>
    <xf numFmtId="0" fontId="13" fillId="5" borderId="36" xfId="0" applyFont="1" applyFill="1" applyBorder="1" applyAlignment="1">
      <alignment horizontal="center" vertical="center"/>
    </xf>
    <xf numFmtId="0" fontId="13" fillId="5" borderId="37" xfId="0" applyFont="1" applyFill="1" applyBorder="1" applyAlignment="1">
      <alignment horizontal="center" vertical="center"/>
    </xf>
    <xf numFmtId="0" fontId="13" fillId="5" borderId="49" xfId="0" applyFont="1" applyFill="1" applyBorder="1" applyAlignment="1">
      <alignment horizontal="center" vertical="center"/>
    </xf>
    <xf numFmtId="4" fontId="8" fillId="2" borderId="27" xfId="0" applyNumberFormat="1" applyFont="1" applyFill="1" applyBorder="1" applyAlignment="1" applyProtection="1">
      <alignment horizontal="left" vertical="center"/>
      <protection locked="0"/>
    </xf>
    <xf numFmtId="4" fontId="8" fillId="2" borderId="34" xfId="0" applyNumberFormat="1" applyFont="1" applyFill="1" applyBorder="1" applyAlignment="1" applyProtection="1">
      <alignment horizontal="left" vertical="center"/>
      <protection locked="0"/>
    </xf>
    <xf numFmtId="4" fontId="10" fillId="2" borderId="31" xfId="0" applyNumberFormat="1" applyFont="1" applyFill="1" applyBorder="1" applyAlignment="1">
      <alignment horizontal="left"/>
    </xf>
    <xf numFmtId="4" fontId="10" fillId="2" borderId="32" xfId="0" applyNumberFormat="1" applyFont="1" applyFill="1" applyBorder="1" applyAlignment="1">
      <alignment horizontal="left"/>
    </xf>
    <xf numFmtId="4" fontId="8" fillId="2" borderId="38" xfId="0" applyNumberFormat="1" applyFont="1" applyFill="1" applyBorder="1" applyAlignment="1" applyProtection="1">
      <alignment horizontal="left" vertical="center"/>
      <protection locked="0"/>
    </xf>
    <xf numFmtId="4" fontId="8" fillId="2" borderId="40" xfId="0" applyNumberFormat="1" applyFont="1" applyFill="1" applyBorder="1" applyAlignment="1" applyProtection="1">
      <alignment horizontal="left" vertical="center"/>
      <protection locked="0"/>
    </xf>
    <xf numFmtId="4" fontId="8" fillId="2" borderId="29" xfId="0" applyNumberFormat="1" applyFont="1" applyFill="1" applyBorder="1" applyAlignment="1" applyProtection="1">
      <alignment horizontal="left" vertical="center"/>
      <protection locked="0"/>
    </xf>
    <xf numFmtId="4" fontId="8" fillId="2" borderId="35" xfId="0" applyNumberFormat="1" applyFont="1" applyFill="1" applyBorder="1" applyAlignment="1" applyProtection="1">
      <alignment horizontal="left" vertical="center"/>
      <protection locked="0"/>
    </xf>
    <xf numFmtId="0" fontId="10" fillId="2" borderId="36" xfId="0" applyFont="1" applyFill="1" applyBorder="1" applyAlignment="1">
      <alignment horizontal="left"/>
    </xf>
    <xf numFmtId="0" fontId="10" fillId="2" borderId="49" xfId="0" applyFont="1" applyFill="1" applyBorder="1" applyAlignment="1">
      <alignment horizontal="left"/>
    </xf>
    <xf numFmtId="0" fontId="40" fillId="6" borderId="31" xfId="0" applyFont="1" applyFill="1" applyBorder="1" applyAlignment="1">
      <alignment horizontal="left"/>
    </xf>
    <xf numFmtId="0" fontId="40" fillId="6" borderId="32" xfId="0" applyFont="1" applyFill="1" applyBorder="1" applyAlignment="1">
      <alignment horizontal="left"/>
    </xf>
    <xf numFmtId="0" fontId="39" fillId="6" borderId="31" xfId="0" applyFont="1" applyFill="1" applyBorder="1" applyAlignment="1">
      <alignment horizontal="left"/>
    </xf>
    <xf numFmtId="0" fontId="39" fillId="6" borderId="32" xfId="0" applyFont="1" applyFill="1" applyBorder="1" applyAlignment="1">
      <alignment horizontal="left"/>
    </xf>
  </cellXfs>
  <cellStyles count="29">
    <cellStyle name="Euro" xfId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Normal" xfId="0" builtinId="0"/>
    <cellStyle name="Normal 2" xfId="2"/>
    <cellStyle name="Normal 4" xfId="3"/>
    <cellStyle name="Normal_FC-7_INF" xfId="4"/>
    <cellStyle name="Normal_Hoja1" xfId="5"/>
    <cellStyle name="Porcentaje" xfId="6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142875</xdr:rowOff>
    </xdr:from>
    <xdr:to>
      <xdr:col>2</xdr:col>
      <xdr:colOff>1076325</xdr:colOff>
      <xdr:row>3</xdr:row>
      <xdr:rowOff>76200</xdr:rowOff>
    </xdr:to>
    <xdr:pic>
      <xdr:nvPicPr>
        <xdr:cNvPr id="2049" name="Imagen 5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42875"/>
          <a:ext cx="10096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200025</xdr:rowOff>
    </xdr:from>
    <xdr:to>
      <xdr:col>3</xdr:col>
      <xdr:colOff>76200</xdr:colOff>
      <xdr:row>3</xdr:row>
      <xdr:rowOff>114300</xdr:rowOff>
    </xdr:to>
    <xdr:pic>
      <xdr:nvPicPr>
        <xdr:cNvPr id="10241" name="Imagen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200025"/>
          <a:ext cx="9429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1265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2289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3313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4337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5361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6385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7409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133350</xdr:rowOff>
    </xdr:from>
    <xdr:to>
      <xdr:col>3</xdr:col>
      <xdr:colOff>990600</xdr:colOff>
      <xdr:row>3</xdr:row>
      <xdr:rowOff>228600</xdr:rowOff>
    </xdr:to>
    <xdr:pic>
      <xdr:nvPicPr>
        <xdr:cNvPr id="18433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0" y="133350"/>
          <a:ext cx="12192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9457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190500</xdr:rowOff>
    </xdr:from>
    <xdr:to>
      <xdr:col>3</xdr:col>
      <xdr:colOff>0</xdr:colOff>
      <xdr:row>3</xdr:row>
      <xdr:rowOff>95250</xdr:rowOff>
    </xdr:to>
    <xdr:pic>
      <xdr:nvPicPr>
        <xdr:cNvPr id="3073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952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20481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161925</xdr:colOff>
      <xdr:row>3</xdr:row>
      <xdr:rowOff>123825</xdr:rowOff>
    </xdr:to>
    <xdr:pic>
      <xdr:nvPicPr>
        <xdr:cNvPr id="21505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161925</xdr:colOff>
      <xdr:row>3</xdr:row>
      <xdr:rowOff>123825</xdr:rowOff>
    </xdr:to>
    <xdr:pic>
      <xdr:nvPicPr>
        <xdr:cNvPr id="22529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161925</xdr:colOff>
      <xdr:row>3</xdr:row>
      <xdr:rowOff>123825</xdr:rowOff>
    </xdr:to>
    <xdr:pic>
      <xdr:nvPicPr>
        <xdr:cNvPr id="23553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161925</xdr:colOff>
      <xdr:row>3</xdr:row>
      <xdr:rowOff>123825</xdr:rowOff>
    </xdr:to>
    <xdr:pic>
      <xdr:nvPicPr>
        <xdr:cNvPr id="24577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161925</xdr:colOff>
      <xdr:row>3</xdr:row>
      <xdr:rowOff>123825</xdr:rowOff>
    </xdr:to>
    <xdr:pic>
      <xdr:nvPicPr>
        <xdr:cNvPr id="25601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190500</xdr:rowOff>
    </xdr:from>
    <xdr:to>
      <xdr:col>3</xdr:col>
      <xdr:colOff>0</xdr:colOff>
      <xdr:row>3</xdr:row>
      <xdr:rowOff>95250</xdr:rowOff>
    </xdr:to>
    <xdr:pic>
      <xdr:nvPicPr>
        <xdr:cNvPr id="1025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952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161925</xdr:rowOff>
    </xdr:from>
    <xdr:to>
      <xdr:col>2</xdr:col>
      <xdr:colOff>1104900</xdr:colOff>
      <xdr:row>3</xdr:row>
      <xdr:rowOff>66675</xdr:rowOff>
    </xdr:to>
    <xdr:pic>
      <xdr:nvPicPr>
        <xdr:cNvPr id="4097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161925"/>
          <a:ext cx="990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161925</xdr:rowOff>
    </xdr:from>
    <xdr:to>
      <xdr:col>2</xdr:col>
      <xdr:colOff>1104900</xdr:colOff>
      <xdr:row>3</xdr:row>
      <xdr:rowOff>66675</xdr:rowOff>
    </xdr:to>
    <xdr:pic>
      <xdr:nvPicPr>
        <xdr:cNvPr id="5121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161925"/>
          <a:ext cx="990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161925</xdr:rowOff>
    </xdr:from>
    <xdr:to>
      <xdr:col>2</xdr:col>
      <xdr:colOff>1104900</xdr:colOff>
      <xdr:row>3</xdr:row>
      <xdr:rowOff>66675</xdr:rowOff>
    </xdr:to>
    <xdr:pic>
      <xdr:nvPicPr>
        <xdr:cNvPr id="6145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161925"/>
          <a:ext cx="990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7169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161925</xdr:rowOff>
    </xdr:from>
    <xdr:to>
      <xdr:col>2</xdr:col>
      <xdr:colOff>1104900</xdr:colOff>
      <xdr:row>3</xdr:row>
      <xdr:rowOff>66675</xdr:rowOff>
    </xdr:to>
    <xdr:pic>
      <xdr:nvPicPr>
        <xdr:cNvPr id="8193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161925"/>
          <a:ext cx="990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161925</xdr:rowOff>
    </xdr:from>
    <xdr:to>
      <xdr:col>2</xdr:col>
      <xdr:colOff>1104900</xdr:colOff>
      <xdr:row>3</xdr:row>
      <xdr:rowOff>66675</xdr:rowOff>
    </xdr:to>
    <xdr:pic>
      <xdr:nvPicPr>
        <xdr:cNvPr id="9217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161925"/>
          <a:ext cx="990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tmo%20lp-cp%202017-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nesto"/>
      <sheetName val="Caixa NAP"/>
      <sheetName val="Financ pq Eolicos"/>
      <sheetName val="Hoja4"/>
      <sheetName val="Hoja PAIF 1"/>
      <sheetName val="Hoja PAIF 2"/>
      <sheetName val="Hoja5"/>
    </sheetNames>
    <sheetDataSet>
      <sheetData sheetId="0" refreshError="1"/>
      <sheetData sheetId="1">
        <row r="64">
          <cell r="C64">
            <v>107485.19148341235</v>
          </cell>
        </row>
        <row r="65">
          <cell r="C65">
            <v>107601.45463220024</v>
          </cell>
        </row>
        <row r="66">
          <cell r="C66">
            <v>107717.84353896073</v>
          </cell>
        </row>
      </sheetData>
      <sheetData sheetId="2">
        <row r="15">
          <cell r="J15">
            <v>56743.130509824499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1:AK165"/>
  <sheetViews>
    <sheetView zoomScale="108" workbookViewId="0">
      <selection activeCell="F15" sqref="F15"/>
    </sheetView>
  </sheetViews>
  <sheetFormatPr baseColWidth="10" defaultColWidth="10.54296875" defaultRowHeight="15"/>
  <cols>
    <col min="1" max="1" width="3.1796875" style="4" customWidth="1"/>
    <col min="2" max="2" width="3.453125" style="2" customWidth="1"/>
    <col min="3" max="3" width="12.453125" style="4" customWidth="1"/>
    <col min="4" max="13" width="10.54296875" style="4"/>
    <col min="14" max="14" width="3.1796875" style="2" customWidth="1"/>
    <col min="15" max="17" width="10.54296875" style="2"/>
    <col min="18" max="16384" width="10.54296875" style="4"/>
  </cols>
  <sheetData>
    <row r="1" spans="2:37" s="2" customFormat="1" ht="22.95" customHeight="1">
      <c r="D1" s="3"/>
    </row>
    <row r="2" spans="2:37" s="2" customFormat="1" ht="22.95" customHeight="1">
      <c r="D2" s="21" t="s">
        <v>128</v>
      </c>
    </row>
    <row r="3" spans="2:37" s="2" customFormat="1" ht="22.95" customHeight="1">
      <c r="D3" s="61" t="s">
        <v>129</v>
      </c>
    </row>
    <row r="4" spans="2:37" s="2" customFormat="1" ht="22.95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97</v>
      </c>
      <c r="D6" s="3"/>
      <c r="E6" s="3"/>
      <c r="F6" s="3"/>
      <c r="G6" s="3"/>
      <c r="H6" s="3"/>
      <c r="I6" s="3"/>
      <c r="J6" s="3"/>
      <c r="K6" s="3"/>
      <c r="L6" s="3"/>
      <c r="M6" s="984">
        <f>ejercicio</f>
        <v>2018</v>
      </c>
      <c r="N6" s="9"/>
    </row>
    <row r="7" spans="2:37" s="2" customFormat="1" ht="30" customHeight="1">
      <c r="B7" s="8"/>
      <c r="C7" s="1" t="s">
        <v>98</v>
      </c>
      <c r="D7" s="3"/>
      <c r="E7" s="3"/>
      <c r="F7" s="3"/>
      <c r="G7" s="3"/>
      <c r="H7" s="3"/>
      <c r="I7" s="3"/>
      <c r="J7" s="3"/>
      <c r="K7" s="10"/>
      <c r="L7" s="3"/>
      <c r="M7" s="984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2" customHeight="1">
      <c r="B10" s="8"/>
      <c r="N10" s="9"/>
    </row>
    <row r="11" spans="2:37" ht="30" customHeight="1">
      <c r="B11" s="8"/>
      <c r="C11" s="11" t="s">
        <v>130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71" t="s">
        <v>131</v>
      </c>
      <c r="D13" s="985" t="s">
        <v>1022</v>
      </c>
      <c r="E13" s="986"/>
      <c r="F13" s="986"/>
      <c r="G13" s="986"/>
      <c r="H13" s="986"/>
      <c r="I13" s="986"/>
      <c r="J13" s="986"/>
      <c r="K13" s="986"/>
      <c r="L13" s="986"/>
      <c r="M13" s="987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71" t="s">
        <v>132</v>
      </c>
      <c r="D15" s="498">
        <v>2018</v>
      </c>
      <c r="E15" s="14"/>
      <c r="F15" s="14"/>
      <c r="G15" s="372"/>
      <c r="H15" s="372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988"/>
      <c r="E16" s="988"/>
      <c r="F16" s="988"/>
      <c r="G16" s="988"/>
      <c r="H16" s="988"/>
      <c r="I16" s="988"/>
      <c r="J16" s="988"/>
      <c r="K16" s="988"/>
      <c r="L16" s="988"/>
      <c r="M16" s="988"/>
      <c r="N16" s="9"/>
    </row>
    <row r="17" spans="2:14" s="2" customFormat="1" ht="30" customHeight="1">
      <c r="B17" s="8"/>
      <c r="C17" s="70" t="s">
        <v>164</v>
      </c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2" customHeight="1">
      <c r="B19" s="8"/>
      <c r="C19" s="2" t="s">
        <v>134</v>
      </c>
      <c r="D19" s="2" t="s">
        <v>135</v>
      </c>
      <c r="N19" s="9"/>
    </row>
    <row r="20" spans="2:14" s="2" customFormat="1" ht="25.2" customHeight="1">
      <c r="B20" s="8"/>
      <c r="C20" s="2" t="s">
        <v>136</v>
      </c>
      <c r="D20" s="2" t="s">
        <v>137</v>
      </c>
      <c r="N20" s="9"/>
    </row>
    <row r="21" spans="2:14" s="2" customFormat="1" ht="25.2" customHeight="1">
      <c r="B21" s="8"/>
      <c r="C21" s="784" t="s">
        <v>890</v>
      </c>
      <c r="D21" s="784" t="s">
        <v>891</v>
      </c>
      <c r="N21" s="9"/>
    </row>
    <row r="22" spans="2:14" s="2" customFormat="1" ht="25.2" customHeight="1">
      <c r="B22" s="8"/>
      <c r="C22" s="2" t="s">
        <v>138</v>
      </c>
      <c r="D22" s="2" t="s">
        <v>139</v>
      </c>
      <c r="N22" s="9"/>
    </row>
    <row r="23" spans="2:14" s="2" customFormat="1" ht="25.2" customHeight="1">
      <c r="B23" s="8"/>
      <c r="C23" s="2" t="s">
        <v>144</v>
      </c>
      <c r="D23" s="2" t="s">
        <v>145</v>
      </c>
      <c r="N23" s="9"/>
    </row>
    <row r="24" spans="2:14" s="2" customFormat="1" ht="25.2" customHeight="1">
      <c r="B24" s="8"/>
      <c r="C24" s="2" t="s">
        <v>140</v>
      </c>
      <c r="D24" s="273" t="s">
        <v>779</v>
      </c>
      <c r="N24" s="9"/>
    </row>
    <row r="25" spans="2:14" s="2" customFormat="1" ht="25.2" customHeight="1">
      <c r="B25" s="8"/>
      <c r="C25" s="2" t="s">
        <v>141</v>
      </c>
      <c r="D25" s="2" t="s">
        <v>142</v>
      </c>
      <c r="N25" s="9"/>
    </row>
    <row r="26" spans="2:14" s="2" customFormat="1" ht="25.2" customHeight="1">
      <c r="B26" s="8"/>
      <c r="C26" s="2" t="s">
        <v>143</v>
      </c>
      <c r="D26" s="2" t="s">
        <v>146</v>
      </c>
      <c r="N26" s="9"/>
    </row>
    <row r="27" spans="2:14" s="2" customFormat="1" ht="25.2" customHeight="1">
      <c r="B27" s="8"/>
      <c r="C27" s="2" t="s">
        <v>147</v>
      </c>
      <c r="D27" s="2" t="s">
        <v>148</v>
      </c>
      <c r="N27" s="9"/>
    </row>
    <row r="28" spans="2:14" s="2" customFormat="1" ht="25.2" customHeight="1">
      <c r="B28" s="8"/>
      <c r="C28" s="2" t="s">
        <v>149</v>
      </c>
      <c r="D28" s="2" t="s">
        <v>150</v>
      </c>
      <c r="N28" s="9"/>
    </row>
    <row r="29" spans="2:14" s="2" customFormat="1" ht="25.2" customHeight="1">
      <c r="B29" s="8"/>
      <c r="C29" s="2" t="s">
        <v>151</v>
      </c>
      <c r="D29" s="2" t="s">
        <v>152</v>
      </c>
      <c r="N29" s="9"/>
    </row>
    <row r="30" spans="2:14" s="2" customFormat="1" ht="25.2" customHeight="1">
      <c r="B30" s="8"/>
      <c r="C30" s="2" t="s">
        <v>153</v>
      </c>
      <c r="D30" s="375" t="s">
        <v>807</v>
      </c>
      <c r="N30" s="9"/>
    </row>
    <row r="31" spans="2:14" s="2" customFormat="1" ht="25.2" customHeight="1">
      <c r="B31" s="8"/>
      <c r="C31" s="2" t="s">
        <v>155</v>
      </c>
      <c r="D31" s="2" t="s">
        <v>154</v>
      </c>
      <c r="N31" s="9"/>
    </row>
    <row r="32" spans="2:14" s="2" customFormat="1" ht="25.2" customHeight="1">
      <c r="B32" s="8"/>
      <c r="C32" s="2" t="s">
        <v>157</v>
      </c>
      <c r="D32" s="2" t="s">
        <v>156</v>
      </c>
      <c r="N32" s="9"/>
    </row>
    <row r="33" spans="2:14" s="2" customFormat="1" ht="25.2" customHeight="1">
      <c r="B33" s="8"/>
      <c r="C33" s="375" t="s">
        <v>158</v>
      </c>
      <c r="D33" s="2" t="s">
        <v>159</v>
      </c>
      <c r="N33" s="9"/>
    </row>
    <row r="34" spans="2:14" s="2" customFormat="1" ht="25.2" customHeight="1">
      <c r="B34" s="8"/>
      <c r="C34" s="375" t="s">
        <v>803</v>
      </c>
      <c r="D34" s="2" t="s">
        <v>161</v>
      </c>
      <c r="N34" s="9"/>
    </row>
    <row r="35" spans="2:14" s="2" customFormat="1" ht="25.2" customHeight="1">
      <c r="B35" s="8"/>
      <c r="C35" s="375" t="s">
        <v>804</v>
      </c>
      <c r="D35" s="2" t="s">
        <v>162</v>
      </c>
      <c r="N35" s="9"/>
    </row>
    <row r="36" spans="2:14" s="2" customFormat="1" ht="25.2" customHeight="1">
      <c r="B36" s="8"/>
      <c r="C36" s="375" t="s">
        <v>805</v>
      </c>
      <c r="D36" s="2" t="s">
        <v>163</v>
      </c>
      <c r="N36" s="9"/>
    </row>
    <row r="37" spans="2:14" s="2" customFormat="1" ht="25.2" customHeight="1">
      <c r="B37" s="8"/>
      <c r="C37" s="375" t="s">
        <v>806</v>
      </c>
      <c r="D37" s="2" t="s">
        <v>166</v>
      </c>
      <c r="N37" s="9"/>
    </row>
    <row r="38" spans="2:14" s="2" customFormat="1" ht="25.2" customHeight="1">
      <c r="B38" s="8"/>
      <c r="N38" s="9"/>
    </row>
    <row r="39" spans="2:14" s="2" customFormat="1" ht="25.2" customHeight="1">
      <c r="B39" s="8"/>
      <c r="N39" s="9"/>
    </row>
    <row r="40" spans="2:14" s="2" customFormat="1" ht="25.2" customHeight="1">
      <c r="B40" s="8"/>
      <c r="C40" s="273" t="s">
        <v>165</v>
      </c>
      <c r="D40" s="2" t="s">
        <v>168</v>
      </c>
      <c r="N40" s="9"/>
    </row>
    <row r="41" spans="2:14" s="2" customFormat="1" ht="25.2" customHeight="1">
      <c r="B41" s="8"/>
      <c r="C41" s="273" t="s">
        <v>167</v>
      </c>
      <c r="D41" s="2" t="s">
        <v>170</v>
      </c>
      <c r="N41" s="9"/>
    </row>
    <row r="42" spans="2:14" s="2" customFormat="1" ht="25.2" customHeight="1">
      <c r="B42" s="8"/>
      <c r="C42" s="273" t="s">
        <v>169</v>
      </c>
      <c r="D42" s="2" t="s">
        <v>172</v>
      </c>
      <c r="N42" s="9"/>
    </row>
    <row r="43" spans="2:14" s="2" customFormat="1" ht="25.2" customHeight="1">
      <c r="B43" s="8"/>
      <c r="N43" s="9"/>
    </row>
    <row r="44" spans="2:14" s="2" customFormat="1" ht="25.2" customHeight="1">
      <c r="B44" s="8"/>
      <c r="C44" s="70" t="s">
        <v>627</v>
      </c>
      <c r="D44" s="272"/>
      <c r="E44" s="272"/>
      <c r="F44" s="272"/>
      <c r="G44" s="272"/>
      <c r="H44" s="272"/>
      <c r="I44" s="272"/>
      <c r="J44" s="272"/>
      <c r="K44" s="272"/>
      <c r="L44" s="272"/>
      <c r="M44" s="272"/>
      <c r="N44" s="9"/>
    </row>
    <row r="45" spans="2:14" s="2" customFormat="1" ht="25.2" customHeight="1">
      <c r="B45" s="8"/>
      <c r="N45" s="9"/>
    </row>
    <row r="46" spans="2:14" s="2" customFormat="1" ht="25.2" customHeight="1">
      <c r="B46" s="8"/>
      <c r="C46" s="273" t="s">
        <v>633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3.2">
      <c r="C49" s="37" t="s">
        <v>174</v>
      </c>
      <c r="G49" s="43"/>
      <c r="M49" s="41" t="s">
        <v>179</v>
      </c>
    </row>
    <row r="50" spans="3:13" s="42" customFormat="1" ht="13.2">
      <c r="C50" s="38" t="s">
        <v>175</v>
      </c>
      <c r="G50" s="43"/>
    </row>
    <row r="51" spans="3:13" s="42" customFormat="1" ht="13.2">
      <c r="C51" s="38" t="s">
        <v>176</v>
      </c>
      <c r="G51" s="43"/>
    </row>
    <row r="52" spans="3:13" s="42" customFormat="1" ht="13.2">
      <c r="C52" s="38" t="s">
        <v>177</v>
      </c>
      <c r="G52" s="43"/>
    </row>
    <row r="53" spans="3:13" s="42" customFormat="1" ht="13.2">
      <c r="C53" s="38" t="s">
        <v>178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799" sheet="1" objects="1" scenarios="1"/>
  <mergeCells count="3">
    <mergeCell ref="M6:M7"/>
    <mergeCell ref="D13:M13"/>
    <mergeCell ref="D16:M16"/>
  </mergeCells>
  <phoneticPr fontId="19" type="noConversion"/>
  <pageMargins left="0.75000000000000011" right="0.75000000000000011" top="1" bottom="1" header="0.5" footer="0.5"/>
  <pageSetup paperSize="9" scale="5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X111"/>
  <sheetViews>
    <sheetView zoomScale="70" zoomScaleNormal="70" workbookViewId="0">
      <selection activeCell="B1" sqref="B1:I106"/>
    </sheetView>
  </sheetViews>
  <sheetFormatPr baseColWidth="10" defaultColWidth="10.54296875" defaultRowHeight="22.95" customHeight="1"/>
  <cols>
    <col min="1" max="2" width="3.1796875" style="42" customWidth="1"/>
    <col min="3" max="3" width="9.54296875" style="42" customWidth="1"/>
    <col min="4" max="4" width="5.54296875" style="42" customWidth="1"/>
    <col min="5" max="5" width="69.81640625" style="42" customWidth="1"/>
    <col min="6" max="8" width="18.453125" style="88" customWidth="1"/>
    <col min="9" max="9" width="3.453125" style="42" customWidth="1"/>
    <col min="10" max="16384" width="10.54296875" style="42"/>
  </cols>
  <sheetData>
    <row r="1" spans="2:24" ht="22.95" customHeight="1">
      <c r="D1" s="44"/>
    </row>
    <row r="2" spans="2:24" ht="22.95" customHeight="1">
      <c r="D2" s="64" t="s">
        <v>477</v>
      </c>
    </row>
    <row r="3" spans="2:24" ht="22.95" customHeight="1">
      <c r="D3" s="64" t="s">
        <v>478</v>
      </c>
    </row>
    <row r="4" spans="2:24" ht="22.95" customHeight="1" thickBot="1"/>
    <row r="5" spans="2:24" ht="9" customHeight="1">
      <c r="B5" s="45"/>
      <c r="C5" s="46"/>
      <c r="D5" s="46"/>
      <c r="E5" s="46"/>
      <c r="F5" s="89"/>
      <c r="G5" s="89"/>
      <c r="H5" s="89"/>
      <c r="I5" s="47"/>
      <c r="K5" s="377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9"/>
    </row>
    <row r="6" spans="2:24" ht="30" customHeight="1">
      <c r="B6" s="48"/>
      <c r="C6" s="1" t="s">
        <v>97</v>
      </c>
      <c r="D6" s="44"/>
      <c r="E6" s="44"/>
      <c r="F6" s="90"/>
      <c r="G6" s="90"/>
      <c r="H6" s="984">
        <f>ejercicio</f>
        <v>2018</v>
      </c>
      <c r="I6" s="50"/>
      <c r="K6" s="380"/>
      <c r="L6" s="381" t="s">
        <v>810</v>
      </c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  <c r="X6" s="383"/>
    </row>
    <row r="7" spans="2:24" ht="30" customHeight="1">
      <c r="B7" s="48"/>
      <c r="C7" s="1" t="s">
        <v>98</v>
      </c>
      <c r="D7" s="44"/>
      <c r="E7" s="44"/>
      <c r="F7" s="90"/>
      <c r="G7" s="90"/>
      <c r="H7" s="984"/>
      <c r="I7" s="50"/>
      <c r="K7" s="380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3"/>
    </row>
    <row r="8" spans="2:24" ht="30" customHeight="1">
      <c r="B8" s="48"/>
      <c r="C8" s="49"/>
      <c r="D8" s="44"/>
      <c r="E8" s="44"/>
      <c r="F8" s="90"/>
      <c r="G8" s="90"/>
      <c r="H8" s="91"/>
      <c r="I8" s="50"/>
      <c r="K8" s="380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2"/>
      <c r="X8" s="383"/>
    </row>
    <row r="9" spans="2:24" s="58" customFormat="1" ht="30" customHeight="1">
      <c r="B9" s="56"/>
      <c r="C9" s="39" t="s">
        <v>99</v>
      </c>
      <c r="D9" s="1004" t="str">
        <f>Entidad</f>
        <v>INSTITUTO TECNOLÓGICO Y DE ENERGÍAS RENOVALBES S.A. (ITER)</v>
      </c>
      <c r="E9" s="1004"/>
      <c r="F9" s="1004"/>
      <c r="G9" s="1004"/>
      <c r="H9" s="1004"/>
      <c r="I9" s="57"/>
      <c r="K9" s="384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6"/>
    </row>
    <row r="10" spans="2:24" ht="7.2" customHeight="1">
      <c r="B10" s="48"/>
      <c r="C10" s="44"/>
      <c r="D10" s="44"/>
      <c r="E10" s="44"/>
      <c r="F10" s="90"/>
      <c r="G10" s="90"/>
      <c r="H10" s="90"/>
      <c r="I10" s="50"/>
      <c r="K10" s="380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2"/>
      <c r="X10" s="383"/>
    </row>
    <row r="11" spans="2:24" s="60" customFormat="1" ht="30" customHeight="1">
      <c r="B11" s="24"/>
      <c r="C11" s="11" t="s">
        <v>418</v>
      </c>
      <c r="D11" s="11"/>
      <c r="E11" s="11"/>
      <c r="F11" s="92"/>
      <c r="G11" s="92"/>
      <c r="H11" s="92"/>
      <c r="I11" s="59"/>
      <c r="K11" s="387"/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8"/>
      <c r="X11" s="389"/>
    </row>
    <row r="12" spans="2:24" s="60" customFormat="1" ht="30" customHeight="1">
      <c r="B12" s="24"/>
      <c r="C12" s="66"/>
      <c r="D12" s="66"/>
      <c r="E12" s="66"/>
      <c r="F12" s="93"/>
      <c r="G12" s="93"/>
      <c r="H12" s="93"/>
      <c r="I12" s="59"/>
      <c r="K12" s="387"/>
      <c r="L12" s="388"/>
      <c r="M12" s="388"/>
      <c r="N12" s="388"/>
      <c r="O12" s="388"/>
      <c r="P12" s="388"/>
      <c r="Q12" s="388"/>
      <c r="R12" s="388"/>
      <c r="S12" s="388"/>
      <c r="T12" s="388"/>
      <c r="U12" s="388"/>
      <c r="V12" s="388"/>
      <c r="W12" s="388"/>
      <c r="X12" s="389"/>
    </row>
    <row r="13" spans="2:24" ht="22.95" customHeight="1">
      <c r="B13" s="48"/>
      <c r="C13" s="360"/>
      <c r="D13" s="361"/>
      <c r="E13" s="361"/>
      <c r="F13" s="368" t="s">
        <v>280</v>
      </c>
      <c r="G13" s="368" t="s">
        <v>281</v>
      </c>
      <c r="H13" s="368" t="s">
        <v>282</v>
      </c>
      <c r="I13" s="50"/>
      <c r="K13" s="380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2"/>
      <c r="X13" s="383"/>
    </row>
    <row r="14" spans="2:24" ht="22.95" customHeight="1">
      <c r="B14" s="48"/>
      <c r="C14" s="366"/>
      <c r="D14" s="367"/>
      <c r="E14" s="367"/>
      <c r="F14" s="369">
        <f>ejercicio-2</f>
        <v>2016</v>
      </c>
      <c r="G14" s="369">
        <f>ejercicio-1</f>
        <v>2017</v>
      </c>
      <c r="H14" s="369">
        <f>ejercicio</f>
        <v>2018</v>
      </c>
      <c r="I14" s="50"/>
      <c r="K14" s="380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3"/>
    </row>
    <row r="15" spans="2:24" ht="22.95" customHeight="1">
      <c r="B15" s="48"/>
      <c r="C15" s="362" t="s">
        <v>419</v>
      </c>
      <c r="D15" s="86"/>
      <c r="E15" s="85"/>
      <c r="F15" s="135"/>
      <c r="G15" s="135"/>
      <c r="H15" s="135"/>
      <c r="I15" s="50"/>
      <c r="K15" s="380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3"/>
    </row>
    <row r="16" spans="2:24" ht="22.95" customHeight="1">
      <c r="B16" s="48"/>
      <c r="C16" s="363" t="s">
        <v>420</v>
      </c>
      <c r="D16" s="70"/>
      <c r="E16" s="69"/>
      <c r="F16" s="510">
        <f>'FC-3_CPyG'!E76</f>
        <v>1223964.671999997</v>
      </c>
      <c r="G16" s="510">
        <f>'FC-3_CPyG'!F76</f>
        <v>137605.74999999977</v>
      </c>
      <c r="H16" s="510">
        <f>'FC-3_CPyG'!G76</f>
        <v>538867.0000000021</v>
      </c>
      <c r="I16" s="50"/>
      <c r="K16" s="380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2"/>
      <c r="X16" s="383"/>
    </row>
    <row r="17" spans="2:24" ht="22.95" customHeight="1">
      <c r="B17" s="48"/>
      <c r="C17" s="363" t="s">
        <v>421</v>
      </c>
      <c r="D17" s="70"/>
      <c r="E17" s="69"/>
      <c r="F17" s="132">
        <f>SUM(F18:F28)</f>
        <v>922577.69000000029</v>
      </c>
      <c r="G17" s="132">
        <f>SUM(G18:G28)</f>
        <v>1380658.41</v>
      </c>
      <c r="H17" s="132">
        <f>SUM(H18:H28)</f>
        <v>1019101.7499999998</v>
      </c>
      <c r="I17" s="50"/>
      <c r="K17" s="380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2"/>
      <c r="X17" s="383"/>
    </row>
    <row r="18" spans="2:24" ht="22.95" customHeight="1">
      <c r="B18" s="48"/>
      <c r="C18" s="315"/>
      <c r="D18" s="72" t="s">
        <v>422</v>
      </c>
      <c r="E18" s="72"/>
      <c r="F18" s="421">
        <v>3833431.47</v>
      </c>
      <c r="G18" s="421">
        <v>3910700.44</v>
      </c>
      <c r="H18" s="421">
        <v>4016465.34</v>
      </c>
      <c r="I18" s="50"/>
      <c r="K18" s="380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  <c r="X18" s="383"/>
    </row>
    <row r="19" spans="2:24" ht="22.95" customHeight="1">
      <c r="B19" s="48"/>
      <c r="C19" s="315"/>
      <c r="D19" s="72" t="s">
        <v>423</v>
      </c>
      <c r="E19" s="72"/>
      <c r="F19" s="421"/>
      <c r="G19" s="421"/>
      <c r="H19" s="421"/>
      <c r="I19" s="50"/>
      <c r="K19" s="380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2"/>
      <c r="X19" s="383"/>
    </row>
    <row r="20" spans="2:24" ht="22.95" customHeight="1">
      <c r="B20" s="48"/>
      <c r="C20" s="315"/>
      <c r="D20" s="72" t="s">
        <v>424</v>
      </c>
      <c r="E20" s="72"/>
      <c r="F20" s="421"/>
      <c r="G20" s="421"/>
      <c r="H20" s="421"/>
      <c r="I20" s="50"/>
      <c r="K20" s="380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3"/>
    </row>
    <row r="21" spans="2:24" ht="22.95" customHeight="1">
      <c r="B21" s="48"/>
      <c r="C21" s="315"/>
      <c r="D21" s="72" t="s">
        <v>425</v>
      </c>
      <c r="E21" s="72"/>
      <c r="F21" s="421">
        <v>-404670.9</v>
      </c>
      <c r="G21" s="421">
        <v>-419505.1</v>
      </c>
      <c r="H21" s="421">
        <v>-682979.74</v>
      </c>
      <c r="I21" s="50"/>
      <c r="K21" s="380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2"/>
      <c r="X21" s="383"/>
    </row>
    <row r="22" spans="2:24" ht="22.95" customHeight="1">
      <c r="B22" s="48"/>
      <c r="C22" s="315"/>
      <c r="D22" s="72" t="s">
        <v>426</v>
      </c>
      <c r="E22" s="72"/>
      <c r="F22" s="421"/>
      <c r="G22" s="421"/>
      <c r="H22" s="421"/>
      <c r="I22" s="50"/>
      <c r="K22" s="380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2"/>
      <c r="X22" s="383"/>
    </row>
    <row r="23" spans="2:24" ht="22.95" customHeight="1">
      <c r="B23" s="48"/>
      <c r="C23" s="315"/>
      <c r="D23" s="72" t="s">
        <v>427</v>
      </c>
      <c r="E23" s="72"/>
      <c r="F23" s="421"/>
      <c r="G23" s="421"/>
      <c r="H23" s="421"/>
      <c r="I23" s="50"/>
      <c r="K23" s="380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3"/>
    </row>
    <row r="24" spans="2:24" ht="22.95" customHeight="1">
      <c r="B24" s="48"/>
      <c r="C24" s="315"/>
      <c r="D24" s="72" t="s">
        <v>428</v>
      </c>
      <c r="E24" s="72"/>
      <c r="F24" s="421">
        <v>-1980020.25</v>
      </c>
      <c r="G24" s="421">
        <v>-1686392.47</v>
      </c>
      <c r="H24" s="421">
        <v>-1144873.8999999999</v>
      </c>
      <c r="I24" s="50"/>
      <c r="K24" s="380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2"/>
      <c r="X24" s="383"/>
    </row>
    <row r="25" spans="2:24" ht="22.95" customHeight="1">
      <c r="B25" s="48"/>
      <c r="C25" s="315"/>
      <c r="D25" s="72" t="s">
        <v>429</v>
      </c>
      <c r="E25" s="72"/>
      <c r="F25" s="421">
        <v>232309.85</v>
      </c>
      <c r="G25" s="421">
        <v>185415.54</v>
      </c>
      <c r="H25" s="421">
        <v>498022.48</v>
      </c>
      <c r="I25" s="50"/>
      <c r="K25" s="380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3"/>
    </row>
    <row r="26" spans="2:24" ht="22.95" customHeight="1">
      <c r="B26" s="48"/>
      <c r="C26" s="315"/>
      <c r="D26" s="72" t="s">
        <v>430</v>
      </c>
      <c r="E26" s="72"/>
      <c r="F26" s="421">
        <v>97.93</v>
      </c>
      <c r="G26" s="421"/>
      <c r="H26" s="421"/>
      <c r="I26" s="50"/>
      <c r="K26" s="380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2"/>
      <c r="X26" s="383"/>
    </row>
    <row r="27" spans="2:24" ht="22.95" customHeight="1">
      <c r="B27" s="48"/>
      <c r="C27" s="315"/>
      <c r="D27" s="72" t="s">
        <v>431</v>
      </c>
      <c r="E27" s="72"/>
      <c r="F27" s="421"/>
      <c r="G27" s="421"/>
      <c r="H27" s="421"/>
      <c r="I27" s="50"/>
      <c r="K27" s="380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2"/>
      <c r="X27" s="383"/>
    </row>
    <row r="28" spans="2:24" ht="22.95" customHeight="1">
      <c r="B28" s="48"/>
      <c r="C28" s="315"/>
      <c r="D28" s="72" t="s">
        <v>432</v>
      </c>
      <c r="E28" s="72"/>
      <c r="F28" s="421">
        <v>-758570.41</v>
      </c>
      <c r="G28" s="421">
        <v>-609560</v>
      </c>
      <c r="H28" s="421">
        <v>-1667532.43</v>
      </c>
      <c r="I28" s="50"/>
      <c r="K28" s="380"/>
      <c r="L28" s="382"/>
      <c r="M28" s="382"/>
      <c r="N28" s="382"/>
      <c r="O28" s="382"/>
      <c r="P28" s="382"/>
      <c r="Q28" s="382"/>
      <c r="R28" s="382"/>
      <c r="S28" s="382"/>
      <c r="T28" s="382"/>
      <c r="U28" s="382"/>
      <c r="V28" s="382"/>
      <c r="W28" s="382"/>
      <c r="X28" s="383"/>
    </row>
    <row r="29" spans="2:24" ht="22.95" customHeight="1">
      <c r="B29" s="48"/>
      <c r="C29" s="363" t="s">
        <v>433</v>
      </c>
      <c r="D29" s="70"/>
      <c r="E29" s="69"/>
      <c r="F29" s="132">
        <f>SUM(F30:F35)</f>
        <v>-2631800.79</v>
      </c>
      <c r="G29" s="132">
        <f>SUM(G30:G35)</f>
        <v>-1889930.9299999992</v>
      </c>
      <c r="H29" s="132">
        <f>SUM(H30:H35)</f>
        <v>2991744.88</v>
      </c>
      <c r="I29" s="50"/>
      <c r="K29" s="380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2"/>
      <c r="X29" s="383"/>
    </row>
    <row r="30" spans="2:24" ht="22.95" customHeight="1">
      <c r="B30" s="48"/>
      <c r="C30" s="315"/>
      <c r="D30" s="72" t="s">
        <v>434</v>
      </c>
      <c r="E30" s="72"/>
      <c r="F30" s="421">
        <v>7350</v>
      </c>
      <c r="G30" s="421"/>
      <c r="H30" s="421"/>
      <c r="I30" s="50"/>
      <c r="K30" s="390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1"/>
      <c r="X30" s="392"/>
    </row>
    <row r="31" spans="2:24" ht="22.95" customHeight="1">
      <c r="B31" s="48"/>
      <c r="C31" s="315"/>
      <c r="D31" s="72" t="s">
        <v>435</v>
      </c>
      <c r="E31" s="72"/>
      <c r="F31" s="421">
        <v>1592924.47</v>
      </c>
      <c r="G31" s="421">
        <v>1789592.86</v>
      </c>
      <c r="H31" s="421">
        <v>1723079.76</v>
      </c>
      <c r="I31" s="50"/>
      <c r="K31" s="390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1"/>
      <c r="X31" s="392"/>
    </row>
    <row r="32" spans="2:24" ht="22.95" customHeight="1">
      <c r="B32" s="48"/>
      <c r="C32" s="315"/>
      <c r="D32" s="72" t="s">
        <v>436</v>
      </c>
      <c r="E32" s="72"/>
      <c r="F32" s="421">
        <v>1446033.05</v>
      </c>
      <c r="G32" s="421">
        <v>2206456.33</v>
      </c>
      <c r="H32" s="421">
        <v>2785865.41</v>
      </c>
      <c r="I32" s="50"/>
      <c r="K32" s="380"/>
      <c r="L32" s="382"/>
      <c r="M32" s="382"/>
      <c r="N32" s="382"/>
      <c r="O32" s="382"/>
      <c r="P32" s="382"/>
      <c r="Q32" s="382"/>
      <c r="R32" s="382"/>
      <c r="S32" s="382"/>
      <c r="T32" s="382"/>
      <c r="U32" s="382"/>
      <c r="V32" s="382"/>
      <c r="W32" s="382"/>
      <c r="X32" s="383"/>
    </row>
    <row r="33" spans="2:24" ht="22.95" customHeight="1">
      <c r="B33" s="48"/>
      <c r="C33" s="315"/>
      <c r="D33" s="72" t="s">
        <v>437</v>
      </c>
      <c r="E33" s="72"/>
      <c r="F33" s="421">
        <v>1102044.3</v>
      </c>
      <c r="G33" s="421">
        <v>-899790.57</v>
      </c>
      <c r="H33" s="421">
        <v>-696200</v>
      </c>
      <c r="I33" s="50"/>
      <c r="K33" s="380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2"/>
      <c r="X33" s="383"/>
    </row>
    <row r="34" spans="2:24" ht="22.95" customHeight="1">
      <c r="B34" s="48"/>
      <c r="C34" s="315"/>
      <c r="D34" s="72" t="s">
        <v>438</v>
      </c>
      <c r="E34" s="72"/>
      <c r="F34" s="421">
        <v>-6780152.6100000003</v>
      </c>
      <c r="G34" s="421">
        <v>-4986189.55</v>
      </c>
      <c r="H34" s="421">
        <v>-821000.29</v>
      </c>
      <c r="I34" s="50"/>
      <c r="K34" s="380"/>
      <c r="L34" s="382"/>
      <c r="M34" s="382"/>
      <c r="N34" s="382"/>
      <c r="O34" s="382"/>
      <c r="P34" s="382"/>
      <c r="Q34" s="382"/>
      <c r="R34" s="382"/>
      <c r="S34" s="382"/>
      <c r="T34" s="382"/>
      <c r="U34" s="382"/>
      <c r="V34" s="382"/>
      <c r="W34" s="382"/>
      <c r="X34" s="383"/>
    </row>
    <row r="35" spans="2:24" ht="22.95" customHeight="1">
      <c r="B35" s="48"/>
      <c r="C35" s="315"/>
      <c r="D35" s="72" t="s">
        <v>439</v>
      </c>
      <c r="E35" s="72"/>
      <c r="F35" s="421"/>
      <c r="G35" s="421"/>
      <c r="H35" s="421"/>
      <c r="I35" s="50"/>
      <c r="K35" s="380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2"/>
      <c r="X35" s="383"/>
    </row>
    <row r="36" spans="2:24" ht="22.95" customHeight="1">
      <c r="B36" s="48"/>
      <c r="C36" s="363" t="s">
        <v>440</v>
      </c>
      <c r="D36" s="70"/>
      <c r="E36" s="69"/>
      <c r="F36" s="132">
        <f>SUM(F37:F41)</f>
        <v>1109815.01</v>
      </c>
      <c r="G36" s="132">
        <f>SUM(G37:G41)</f>
        <v>896019.74999999988</v>
      </c>
      <c r="H36" s="132">
        <f>SUM(H37:H41)</f>
        <v>71377.520000000019</v>
      </c>
      <c r="I36" s="50"/>
      <c r="K36" s="393"/>
      <c r="L36" s="394"/>
      <c r="M36" s="394"/>
      <c r="N36" s="394"/>
      <c r="O36" s="394"/>
      <c r="P36" s="394"/>
      <c r="Q36" s="394"/>
      <c r="R36" s="394"/>
      <c r="S36" s="394"/>
      <c r="T36" s="394"/>
      <c r="U36" s="394"/>
      <c r="V36" s="394"/>
      <c r="W36" s="394"/>
      <c r="X36" s="395"/>
    </row>
    <row r="37" spans="2:24" ht="22.95" customHeight="1">
      <c r="B37" s="48"/>
      <c r="C37" s="315"/>
      <c r="D37" s="72" t="s">
        <v>441</v>
      </c>
      <c r="E37" s="72"/>
      <c r="F37" s="421">
        <v>-231987.03</v>
      </c>
      <c r="G37" s="421">
        <v>-184215.54</v>
      </c>
      <c r="H37" s="421">
        <v>-496822.48</v>
      </c>
      <c r="I37" s="50"/>
      <c r="K37" s="393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4"/>
      <c r="X37" s="395"/>
    </row>
    <row r="38" spans="2:24" ht="22.95" customHeight="1">
      <c r="B38" s="48"/>
      <c r="C38" s="315"/>
      <c r="D38" s="72" t="s">
        <v>442</v>
      </c>
      <c r="E38" s="72"/>
      <c r="F38" s="421">
        <v>1311627.32</v>
      </c>
      <c r="G38" s="421">
        <v>1078659.69</v>
      </c>
      <c r="H38" s="421">
        <v>566200</v>
      </c>
      <c r="I38" s="50"/>
      <c r="K38" s="393"/>
      <c r="L38" s="394"/>
      <c r="M38" s="394"/>
      <c r="N38" s="394"/>
      <c r="O38" s="394"/>
      <c r="P38" s="394"/>
      <c r="Q38" s="394"/>
      <c r="R38" s="394"/>
      <c r="S38" s="394"/>
      <c r="T38" s="394"/>
      <c r="U38" s="394"/>
      <c r="V38" s="394"/>
      <c r="W38" s="394"/>
      <c r="X38" s="395"/>
    </row>
    <row r="39" spans="2:24" ht="22.95" customHeight="1">
      <c r="B39" s="48"/>
      <c r="C39" s="315"/>
      <c r="D39" s="72" t="s">
        <v>443</v>
      </c>
      <c r="E39" s="72"/>
      <c r="F39" s="421">
        <v>30174.720000000001</v>
      </c>
      <c r="G39" s="421">
        <v>1575.6</v>
      </c>
      <c r="H39" s="421">
        <v>2000</v>
      </c>
      <c r="I39" s="50"/>
      <c r="K39" s="393"/>
      <c r="L39" s="394"/>
      <c r="M39" s="394"/>
      <c r="N39" s="394"/>
      <c r="O39" s="394"/>
      <c r="P39" s="394"/>
      <c r="Q39" s="394"/>
      <c r="R39" s="394"/>
      <c r="S39" s="394"/>
      <c r="T39" s="394"/>
      <c r="U39" s="394"/>
      <c r="V39" s="394"/>
      <c r="W39" s="394"/>
      <c r="X39" s="395"/>
    </row>
    <row r="40" spans="2:24" ht="22.95" customHeight="1">
      <c r="B40" s="48"/>
      <c r="C40" s="315"/>
      <c r="D40" s="72" t="s">
        <v>444</v>
      </c>
      <c r="E40" s="72"/>
      <c r="F40" s="421"/>
      <c r="G40" s="421"/>
      <c r="H40" s="421"/>
      <c r="I40" s="50"/>
      <c r="K40" s="393"/>
      <c r="L40" s="394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4"/>
      <c r="X40" s="395"/>
    </row>
    <row r="41" spans="2:24" ht="22.95" customHeight="1">
      <c r="B41" s="48"/>
      <c r="C41" s="315"/>
      <c r="D41" s="72" t="s">
        <v>445</v>
      </c>
      <c r="E41" s="72"/>
      <c r="F41" s="421"/>
      <c r="G41" s="421"/>
      <c r="H41" s="421"/>
      <c r="I41" s="50"/>
      <c r="K41" s="393"/>
      <c r="L41" s="394"/>
      <c r="M41" s="394"/>
      <c r="N41" s="394"/>
      <c r="O41" s="394"/>
      <c r="P41" s="394"/>
      <c r="Q41" s="394"/>
      <c r="R41" s="394"/>
      <c r="S41" s="394"/>
      <c r="T41" s="394"/>
      <c r="U41" s="394"/>
      <c r="V41" s="394"/>
      <c r="W41" s="394"/>
      <c r="X41" s="395"/>
    </row>
    <row r="42" spans="2:24" ht="22.95" customHeight="1" thickBot="1">
      <c r="B42" s="48"/>
      <c r="C42" s="364" t="s">
        <v>446</v>
      </c>
      <c r="D42" s="83"/>
      <c r="E42" s="83"/>
      <c r="F42" s="335">
        <f>F16+F17+F29+F36</f>
        <v>624556.58199999738</v>
      </c>
      <c r="G42" s="335">
        <f>G16+G17+G29+G36</f>
        <v>524352.98000000033</v>
      </c>
      <c r="H42" s="335">
        <f>H16+H17+H29+H36</f>
        <v>4621091.1500000022</v>
      </c>
      <c r="I42" s="50"/>
      <c r="K42" s="393"/>
      <c r="L42" s="394"/>
      <c r="M42" s="394"/>
      <c r="N42" s="394"/>
      <c r="O42" s="394"/>
      <c r="P42" s="394"/>
      <c r="Q42" s="394"/>
      <c r="R42" s="394"/>
      <c r="S42" s="394"/>
      <c r="T42" s="394"/>
      <c r="U42" s="394"/>
      <c r="V42" s="394"/>
      <c r="W42" s="394"/>
      <c r="X42" s="395"/>
    </row>
    <row r="43" spans="2:24" ht="22.95" customHeight="1">
      <c r="B43" s="48"/>
      <c r="C43" s="315"/>
      <c r="D43" s="62"/>
      <c r="E43" s="62"/>
      <c r="F43" s="135"/>
      <c r="G43" s="135"/>
      <c r="H43" s="135"/>
      <c r="I43" s="50"/>
      <c r="K43" s="393"/>
      <c r="L43" s="394"/>
      <c r="M43" s="394"/>
      <c r="N43" s="394"/>
      <c r="O43" s="394"/>
      <c r="P43" s="394"/>
      <c r="Q43" s="394"/>
      <c r="R43" s="394"/>
      <c r="S43" s="394"/>
      <c r="T43" s="394"/>
      <c r="U43" s="394"/>
      <c r="V43" s="394"/>
      <c r="W43" s="394"/>
      <c r="X43" s="395"/>
    </row>
    <row r="44" spans="2:24" ht="22.95" customHeight="1">
      <c r="B44" s="48"/>
      <c r="C44" s="362" t="s">
        <v>447</v>
      </c>
      <c r="D44" s="86"/>
      <c r="E44" s="85"/>
      <c r="F44" s="135"/>
      <c r="G44" s="135"/>
      <c r="H44" s="135"/>
      <c r="I44" s="50"/>
      <c r="K44" s="393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4"/>
      <c r="X44" s="395"/>
    </row>
    <row r="45" spans="2:24" ht="22.95" customHeight="1">
      <c r="B45" s="48"/>
      <c r="C45" s="363" t="s">
        <v>448</v>
      </c>
      <c r="D45" s="70"/>
      <c r="E45" s="69"/>
      <c r="F45" s="132">
        <f>SUM(F46:F53)</f>
        <v>-3047494.9099999997</v>
      </c>
      <c r="G45" s="132">
        <f>SUM(G46:G53)</f>
        <v>-5159103.0100000007</v>
      </c>
      <c r="H45" s="132">
        <f>SUM(H46:H53)</f>
        <v>-64625583.75</v>
      </c>
      <c r="I45" s="50"/>
      <c r="K45" s="393"/>
      <c r="L45" s="394"/>
      <c r="M45" s="394"/>
      <c r="N45" s="394"/>
      <c r="O45" s="394"/>
      <c r="P45" s="394"/>
      <c r="Q45" s="394"/>
      <c r="R45" s="394"/>
      <c r="S45" s="394"/>
      <c r="T45" s="394"/>
      <c r="U45" s="394"/>
      <c r="V45" s="394"/>
      <c r="W45" s="394"/>
      <c r="X45" s="395"/>
    </row>
    <row r="46" spans="2:24" ht="22.95" customHeight="1">
      <c r="B46" s="48"/>
      <c r="C46" s="315"/>
      <c r="D46" s="72" t="s">
        <v>449</v>
      </c>
      <c r="E46" s="72"/>
      <c r="F46" s="421"/>
      <c r="G46" s="421"/>
      <c r="H46" s="421"/>
      <c r="I46" s="50"/>
      <c r="K46" s="393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5"/>
    </row>
    <row r="47" spans="2:24" ht="22.95" customHeight="1">
      <c r="B47" s="48"/>
      <c r="C47" s="315"/>
      <c r="D47" s="72" t="s">
        <v>450</v>
      </c>
      <c r="E47" s="72"/>
      <c r="F47" s="421">
        <v>-3815.34</v>
      </c>
      <c r="G47" s="421">
        <v>-11332.4</v>
      </c>
      <c r="H47" s="421">
        <v>-0.01</v>
      </c>
      <c r="I47" s="50"/>
      <c r="K47" s="393"/>
      <c r="L47" s="394"/>
      <c r="M47" s="394"/>
      <c r="N47" s="394"/>
      <c r="O47" s="394"/>
      <c r="P47" s="394"/>
      <c r="Q47" s="394"/>
      <c r="R47" s="394"/>
      <c r="S47" s="394"/>
      <c r="T47" s="394"/>
      <c r="U47" s="394"/>
      <c r="V47" s="394"/>
      <c r="W47" s="394"/>
      <c r="X47" s="395"/>
    </row>
    <row r="48" spans="2:24" ht="22.95" customHeight="1">
      <c r="B48" s="48"/>
      <c r="C48" s="315"/>
      <c r="D48" s="72" t="s">
        <v>451</v>
      </c>
      <c r="E48" s="72"/>
      <c r="F48" s="421">
        <v>-3031329.57</v>
      </c>
      <c r="G48" s="421">
        <v>-5080965.6100000003</v>
      </c>
      <c r="H48" s="421">
        <v>-64625583.740000002</v>
      </c>
      <c r="I48" s="50"/>
      <c r="K48" s="393"/>
      <c r="L48" s="394"/>
      <c r="M48" s="394"/>
      <c r="N48" s="394"/>
      <c r="O48" s="394"/>
      <c r="P48" s="394"/>
      <c r="Q48" s="394"/>
      <c r="R48" s="394"/>
      <c r="S48" s="394"/>
      <c r="T48" s="394"/>
      <c r="U48" s="394"/>
      <c r="V48" s="394"/>
      <c r="W48" s="394"/>
      <c r="X48" s="395"/>
    </row>
    <row r="49" spans="2:24" ht="22.95" customHeight="1">
      <c r="B49" s="48"/>
      <c r="C49" s="315"/>
      <c r="D49" s="72" t="s">
        <v>452</v>
      </c>
      <c r="E49" s="72"/>
      <c r="F49" s="421"/>
      <c r="G49" s="421"/>
      <c r="H49" s="421"/>
      <c r="I49" s="50"/>
      <c r="K49" s="393"/>
      <c r="L49" s="394"/>
      <c r="M49" s="394"/>
      <c r="N49" s="394"/>
      <c r="O49" s="394"/>
      <c r="P49" s="394"/>
      <c r="Q49" s="394"/>
      <c r="R49" s="394"/>
      <c r="S49" s="394"/>
      <c r="T49" s="394"/>
      <c r="U49" s="394"/>
      <c r="V49" s="394"/>
      <c r="W49" s="394"/>
      <c r="X49" s="395"/>
    </row>
    <row r="50" spans="2:24" ht="22.95" customHeight="1">
      <c r="B50" s="48"/>
      <c r="C50" s="315"/>
      <c r="D50" s="72" t="s">
        <v>453</v>
      </c>
      <c r="E50" s="72"/>
      <c r="F50" s="421">
        <v>-12350</v>
      </c>
      <c r="G50" s="421">
        <v>-66805</v>
      </c>
      <c r="H50" s="421"/>
      <c r="I50" s="50"/>
      <c r="K50" s="393"/>
      <c r="L50" s="394"/>
      <c r="M50" s="394"/>
      <c r="N50" s="394"/>
      <c r="O50" s="394"/>
      <c r="P50" s="394"/>
      <c r="Q50" s="394"/>
      <c r="R50" s="394"/>
      <c r="S50" s="394"/>
      <c r="T50" s="394"/>
      <c r="U50" s="394"/>
      <c r="V50" s="394"/>
      <c r="W50" s="394"/>
      <c r="X50" s="395"/>
    </row>
    <row r="51" spans="2:24" ht="22.95" customHeight="1">
      <c r="B51" s="48"/>
      <c r="C51" s="315"/>
      <c r="D51" s="72" t="s">
        <v>454</v>
      </c>
      <c r="E51" s="72"/>
      <c r="F51" s="421"/>
      <c r="G51" s="421"/>
      <c r="H51" s="421"/>
      <c r="I51" s="50"/>
      <c r="K51" s="393"/>
      <c r="L51" s="394"/>
      <c r="M51" s="394"/>
      <c r="N51" s="394"/>
      <c r="O51" s="394"/>
      <c r="P51" s="394"/>
      <c r="Q51" s="394"/>
      <c r="R51" s="394"/>
      <c r="S51" s="394"/>
      <c r="T51" s="394"/>
      <c r="U51" s="394"/>
      <c r="V51" s="394"/>
      <c r="W51" s="394"/>
      <c r="X51" s="395"/>
    </row>
    <row r="52" spans="2:24" s="75" customFormat="1" ht="22.95" customHeight="1">
      <c r="B52" s="24"/>
      <c r="C52" s="315"/>
      <c r="D52" s="72" t="s">
        <v>481</v>
      </c>
      <c r="E52" s="72"/>
      <c r="F52" s="421"/>
      <c r="G52" s="421"/>
      <c r="H52" s="421"/>
      <c r="I52" s="59"/>
      <c r="K52" s="393"/>
      <c r="L52" s="394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4"/>
      <c r="X52" s="395"/>
    </row>
    <row r="53" spans="2:24" ht="22.95" customHeight="1">
      <c r="B53" s="48"/>
      <c r="C53" s="315"/>
      <c r="D53" s="72" t="s">
        <v>482</v>
      </c>
      <c r="E53" s="72"/>
      <c r="F53" s="421"/>
      <c r="G53" s="421"/>
      <c r="H53" s="421"/>
      <c r="I53" s="50"/>
      <c r="K53" s="393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5"/>
    </row>
    <row r="54" spans="2:24" ht="22.95" customHeight="1">
      <c r="B54" s="48"/>
      <c r="C54" s="363" t="s">
        <v>456</v>
      </c>
      <c r="D54" s="70"/>
      <c r="E54" s="69"/>
      <c r="F54" s="132">
        <f>SUM(F55:F62)</f>
        <v>1083608.76</v>
      </c>
      <c r="G54" s="132">
        <f>SUM(G55:G62)</f>
        <v>2038322</v>
      </c>
      <c r="H54" s="132">
        <f>SUM(H55:H62)</f>
        <v>680680</v>
      </c>
      <c r="I54" s="50"/>
      <c r="K54" s="393"/>
      <c r="L54" s="394"/>
      <c r="M54" s="394"/>
      <c r="N54" s="394"/>
      <c r="O54" s="394"/>
      <c r="P54" s="394"/>
      <c r="Q54" s="394"/>
      <c r="R54" s="394"/>
      <c r="S54" s="394"/>
      <c r="T54" s="394"/>
      <c r="U54" s="394"/>
      <c r="V54" s="394"/>
      <c r="W54" s="394"/>
      <c r="X54" s="395"/>
    </row>
    <row r="55" spans="2:24" ht="22.95" customHeight="1">
      <c r="B55" s="48"/>
      <c r="C55" s="315"/>
      <c r="D55" s="72" t="s">
        <v>449</v>
      </c>
      <c r="E55" s="72"/>
      <c r="F55" s="421"/>
      <c r="G55" s="421"/>
      <c r="H55" s="421"/>
      <c r="I55" s="50"/>
      <c r="K55" s="393"/>
      <c r="L55" s="394"/>
      <c r="M55" s="394"/>
      <c r="N55" s="394"/>
      <c r="O55" s="394"/>
      <c r="P55" s="394"/>
      <c r="Q55" s="394"/>
      <c r="R55" s="394"/>
      <c r="S55" s="394"/>
      <c r="T55" s="394"/>
      <c r="U55" s="394"/>
      <c r="V55" s="394"/>
      <c r="W55" s="394"/>
      <c r="X55" s="395"/>
    </row>
    <row r="56" spans="2:24" ht="22.95" customHeight="1">
      <c r="B56" s="48"/>
      <c r="C56" s="315"/>
      <c r="D56" s="72" t="s">
        <v>450</v>
      </c>
      <c r="E56" s="72"/>
      <c r="F56" s="421"/>
      <c r="G56" s="421"/>
      <c r="H56" s="421"/>
      <c r="I56" s="50"/>
      <c r="K56" s="393"/>
      <c r="L56" s="394"/>
      <c r="M56" s="394"/>
      <c r="N56" s="394"/>
      <c r="O56" s="394"/>
      <c r="P56" s="394"/>
      <c r="Q56" s="394"/>
      <c r="R56" s="394"/>
      <c r="S56" s="394"/>
      <c r="T56" s="394"/>
      <c r="U56" s="394"/>
      <c r="V56" s="394"/>
      <c r="W56" s="394"/>
      <c r="X56" s="395"/>
    </row>
    <row r="57" spans="2:24" ht="22.95" customHeight="1">
      <c r="B57" s="48"/>
      <c r="C57" s="315"/>
      <c r="D57" s="72" t="s">
        <v>451</v>
      </c>
      <c r="E57" s="72"/>
      <c r="F57" s="421"/>
      <c r="G57" s="421"/>
      <c r="H57" s="421"/>
      <c r="I57" s="50"/>
      <c r="K57" s="393"/>
      <c r="L57" s="394"/>
      <c r="M57" s="394"/>
      <c r="N57" s="394"/>
      <c r="O57" s="394"/>
      <c r="P57" s="394"/>
      <c r="Q57" s="394"/>
      <c r="R57" s="394"/>
      <c r="S57" s="394"/>
      <c r="T57" s="394"/>
      <c r="U57" s="394"/>
      <c r="V57" s="394"/>
      <c r="W57" s="394"/>
      <c r="X57" s="395"/>
    </row>
    <row r="58" spans="2:24" ht="22.95" customHeight="1">
      <c r="B58" s="48"/>
      <c r="C58" s="315"/>
      <c r="D58" s="72" t="s">
        <v>452</v>
      </c>
      <c r="E58" s="72"/>
      <c r="F58" s="421"/>
      <c r="G58" s="421"/>
      <c r="H58" s="421"/>
      <c r="I58" s="50"/>
      <c r="K58" s="393"/>
      <c r="L58" s="394"/>
      <c r="M58" s="394"/>
      <c r="N58" s="394"/>
      <c r="O58" s="394"/>
      <c r="P58" s="394"/>
      <c r="Q58" s="394"/>
      <c r="R58" s="394"/>
      <c r="S58" s="394"/>
      <c r="T58" s="394"/>
      <c r="U58" s="394"/>
      <c r="V58" s="394"/>
      <c r="W58" s="394"/>
      <c r="X58" s="395"/>
    </row>
    <row r="59" spans="2:24" ht="22.95" customHeight="1">
      <c r="B59" s="48"/>
      <c r="C59" s="315"/>
      <c r="D59" s="72" t="s">
        <v>453</v>
      </c>
      <c r="E59" s="72"/>
      <c r="F59" s="421">
        <v>167413.76000000001</v>
      </c>
      <c r="G59" s="421">
        <v>2038322</v>
      </c>
      <c r="H59" s="421">
        <v>680680</v>
      </c>
      <c r="I59" s="50"/>
      <c r="K59" s="393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5"/>
    </row>
    <row r="60" spans="2:24" ht="22.95" customHeight="1">
      <c r="B60" s="48"/>
      <c r="C60" s="315"/>
      <c r="D60" s="72" t="s">
        <v>454</v>
      </c>
      <c r="E60" s="72"/>
      <c r="F60" s="421">
        <v>916195</v>
      </c>
      <c r="G60" s="421"/>
      <c r="H60" s="421"/>
      <c r="I60" s="50"/>
      <c r="K60" s="393"/>
      <c r="L60" s="394"/>
      <c r="M60" s="394"/>
      <c r="N60" s="394"/>
      <c r="O60" s="394"/>
      <c r="P60" s="394"/>
      <c r="Q60" s="394"/>
      <c r="R60" s="394"/>
      <c r="S60" s="394"/>
      <c r="T60" s="394"/>
      <c r="U60" s="394"/>
      <c r="V60" s="394"/>
      <c r="W60" s="394"/>
      <c r="X60" s="395"/>
    </row>
    <row r="61" spans="2:24" ht="22.95" customHeight="1">
      <c r="B61" s="48"/>
      <c r="C61" s="315"/>
      <c r="D61" s="72" t="s">
        <v>481</v>
      </c>
      <c r="E61" s="72"/>
      <c r="F61" s="421"/>
      <c r="G61" s="421"/>
      <c r="H61" s="421"/>
      <c r="I61" s="50"/>
      <c r="K61" s="393"/>
      <c r="L61" s="394"/>
      <c r="M61" s="394"/>
      <c r="N61" s="394"/>
      <c r="O61" s="394"/>
      <c r="P61" s="394"/>
      <c r="Q61" s="394"/>
      <c r="R61" s="394"/>
      <c r="S61" s="394"/>
      <c r="T61" s="394"/>
      <c r="U61" s="394"/>
      <c r="V61" s="394"/>
      <c r="W61" s="394"/>
      <c r="X61" s="395"/>
    </row>
    <row r="62" spans="2:24" ht="22.95" customHeight="1">
      <c r="B62" s="48"/>
      <c r="C62" s="315"/>
      <c r="D62" s="72" t="s">
        <v>482</v>
      </c>
      <c r="E62" s="72"/>
      <c r="F62" s="421"/>
      <c r="G62" s="421"/>
      <c r="H62" s="421"/>
      <c r="I62" s="50"/>
      <c r="K62" s="393"/>
      <c r="L62" s="394"/>
      <c r="M62" s="394"/>
      <c r="N62" s="394"/>
      <c r="O62" s="394"/>
      <c r="P62" s="394"/>
      <c r="Q62" s="394"/>
      <c r="R62" s="394"/>
      <c r="S62" s="394"/>
      <c r="T62" s="394"/>
      <c r="U62" s="394"/>
      <c r="V62" s="394"/>
      <c r="W62" s="394"/>
      <c r="X62" s="395"/>
    </row>
    <row r="63" spans="2:24" ht="22.95" customHeight="1" thickBot="1">
      <c r="B63" s="48"/>
      <c r="C63" s="364" t="s">
        <v>457</v>
      </c>
      <c r="D63" s="83"/>
      <c r="E63" s="83"/>
      <c r="F63" s="335">
        <f>F45+F54</f>
        <v>-1963886.1499999997</v>
      </c>
      <c r="G63" s="335">
        <f>G45+G54</f>
        <v>-3120781.0100000007</v>
      </c>
      <c r="H63" s="335">
        <f>H45+H54</f>
        <v>-63944903.75</v>
      </c>
      <c r="I63" s="50"/>
      <c r="K63" s="393"/>
      <c r="L63" s="394"/>
      <c r="M63" s="394"/>
      <c r="N63" s="394"/>
      <c r="O63" s="394"/>
      <c r="P63" s="394"/>
      <c r="Q63" s="394"/>
      <c r="R63" s="394"/>
      <c r="S63" s="394"/>
      <c r="T63" s="394"/>
      <c r="U63" s="394"/>
      <c r="V63" s="394"/>
      <c r="W63" s="394"/>
      <c r="X63" s="395"/>
    </row>
    <row r="64" spans="2:24" ht="22.95" customHeight="1">
      <c r="B64" s="48"/>
      <c r="C64" s="315"/>
      <c r="D64" s="62"/>
      <c r="E64" s="62"/>
      <c r="F64" s="135"/>
      <c r="G64" s="135"/>
      <c r="H64" s="135"/>
      <c r="I64" s="50"/>
      <c r="K64" s="393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5"/>
    </row>
    <row r="65" spans="2:24" ht="22.95" customHeight="1">
      <c r="B65" s="48"/>
      <c r="C65" s="362" t="s">
        <v>458</v>
      </c>
      <c r="D65" s="86"/>
      <c r="E65" s="85"/>
      <c r="F65" s="135"/>
      <c r="G65" s="135"/>
      <c r="H65" s="135"/>
      <c r="I65" s="50"/>
      <c r="K65" s="393"/>
      <c r="L65" s="394"/>
      <c r="M65" s="394"/>
      <c r="N65" s="394"/>
      <c r="O65" s="394"/>
      <c r="P65" s="394"/>
      <c r="Q65" s="394"/>
      <c r="R65" s="394"/>
      <c r="S65" s="394"/>
      <c r="T65" s="394"/>
      <c r="U65" s="394"/>
      <c r="V65" s="394"/>
      <c r="W65" s="394"/>
      <c r="X65" s="395"/>
    </row>
    <row r="66" spans="2:24" ht="22.95" customHeight="1">
      <c r="B66" s="48"/>
      <c r="C66" s="363" t="s">
        <v>459</v>
      </c>
      <c r="D66" s="70"/>
      <c r="E66" s="69"/>
      <c r="F66" s="132">
        <f>SUM(F67:F71)</f>
        <v>10132385</v>
      </c>
      <c r="G66" s="132">
        <f>SUM(G67:G71)</f>
        <v>25883153.710000001</v>
      </c>
      <c r="H66" s="132">
        <f>SUM(H67:H71)</f>
        <v>1040285.71</v>
      </c>
      <c r="I66" s="50"/>
      <c r="K66" s="393"/>
      <c r="L66" s="394"/>
      <c r="M66" s="394"/>
      <c r="N66" s="394"/>
      <c r="O66" s="394"/>
      <c r="P66" s="394"/>
      <c r="Q66" s="394"/>
      <c r="R66" s="394"/>
      <c r="S66" s="394"/>
      <c r="T66" s="394"/>
      <c r="U66" s="394"/>
      <c r="V66" s="394"/>
      <c r="W66" s="394"/>
      <c r="X66" s="395"/>
    </row>
    <row r="67" spans="2:24" ht="22.95" customHeight="1">
      <c r="B67" s="48"/>
      <c r="C67" s="315"/>
      <c r="D67" s="72" t="s">
        <v>460</v>
      </c>
      <c r="E67" s="72"/>
      <c r="F67" s="421"/>
      <c r="G67" s="421">
        <v>24999977.300000001</v>
      </c>
      <c r="H67" s="421"/>
      <c r="I67" s="50"/>
      <c r="K67" s="393"/>
      <c r="L67" s="394"/>
      <c r="M67" s="394"/>
      <c r="N67" s="394"/>
      <c r="O67" s="394"/>
      <c r="P67" s="394"/>
      <c r="Q67" s="394"/>
      <c r="R67" s="394"/>
      <c r="S67" s="394"/>
      <c r="T67" s="394"/>
      <c r="U67" s="394"/>
      <c r="V67" s="394"/>
      <c r="W67" s="394"/>
      <c r="X67" s="395"/>
    </row>
    <row r="68" spans="2:24" ht="22.95" customHeight="1">
      <c r="B68" s="48"/>
      <c r="C68" s="315"/>
      <c r="D68" s="72" t="s">
        <v>461</v>
      </c>
      <c r="E68" s="72"/>
      <c r="F68" s="421"/>
      <c r="G68" s="421"/>
      <c r="H68" s="421"/>
      <c r="I68" s="50"/>
      <c r="K68" s="393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5"/>
    </row>
    <row r="69" spans="2:24" ht="22.95" customHeight="1">
      <c r="B69" s="48"/>
      <c r="C69" s="315"/>
      <c r="D69" s="511" t="s">
        <v>828</v>
      </c>
      <c r="E69" s="72"/>
      <c r="F69" s="421"/>
      <c r="G69" s="421"/>
      <c r="H69" s="421"/>
      <c r="I69" s="50"/>
      <c r="K69" s="393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394"/>
      <c r="W69" s="394"/>
      <c r="X69" s="395"/>
    </row>
    <row r="70" spans="2:24" ht="22.95" customHeight="1">
      <c r="B70" s="48"/>
      <c r="C70" s="315"/>
      <c r="D70" s="72" t="s">
        <v>462</v>
      </c>
      <c r="E70" s="72"/>
      <c r="F70" s="421"/>
      <c r="G70" s="421"/>
      <c r="H70" s="421"/>
      <c r="I70" s="50"/>
      <c r="K70" s="393"/>
      <c r="L70" s="394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4"/>
      <c r="X70" s="395"/>
    </row>
    <row r="71" spans="2:24" ht="22.95" customHeight="1">
      <c r="B71" s="48"/>
      <c r="C71" s="315"/>
      <c r="D71" s="72" t="s">
        <v>463</v>
      </c>
      <c r="E71" s="72"/>
      <c r="F71" s="421">
        <v>10132385</v>
      </c>
      <c r="G71" s="421">
        <v>883176.41</v>
      </c>
      <c r="H71" s="421">
        <v>1040285.71</v>
      </c>
      <c r="I71" s="50"/>
      <c r="K71" s="393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  <c r="W71" s="394"/>
      <c r="X71" s="395"/>
    </row>
    <row r="72" spans="2:24" ht="22.95" customHeight="1">
      <c r="B72" s="48"/>
      <c r="C72" s="363" t="s">
        <v>464</v>
      </c>
      <c r="D72" s="70"/>
      <c r="E72" s="69"/>
      <c r="F72" s="132">
        <f>+F73+F79</f>
        <v>-1206101.57</v>
      </c>
      <c r="G72" s="132">
        <f>+G73+G79</f>
        <v>0</v>
      </c>
      <c r="H72" s="132">
        <f>+H73+H79</f>
        <v>31463793.260000002</v>
      </c>
      <c r="I72" s="50"/>
      <c r="K72" s="393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  <c r="W72" s="394"/>
      <c r="X72" s="395"/>
    </row>
    <row r="73" spans="2:24" ht="22.95" customHeight="1">
      <c r="B73" s="48"/>
      <c r="C73" s="315"/>
      <c r="D73" s="72" t="s">
        <v>465</v>
      </c>
      <c r="E73" s="72"/>
      <c r="F73" s="134">
        <f>SUM(F74:F78)</f>
        <v>-1206101.57</v>
      </c>
      <c r="G73" s="134">
        <f>SUM(G74:G78)</f>
        <v>0</v>
      </c>
      <c r="H73" s="134">
        <f>SUM(H74:H78)</f>
        <v>31463793.260000002</v>
      </c>
      <c r="I73" s="50"/>
      <c r="K73" s="393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5"/>
    </row>
    <row r="74" spans="2:24" ht="22.95" customHeight="1">
      <c r="B74" s="48"/>
      <c r="C74" s="365"/>
      <c r="D74" s="87"/>
      <c r="E74" s="87" t="s">
        <v>466</v>
      </c>
      <c r="F74" s="429"/>
      <c r="G74" s="429"/>
      <c r="H74" s="429"/>
      <c r="I74" s="50"/>
      <c r="K74" s="393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5"/>
    </row>
    <row r="75" spans="2:24" ht="22.95" customHeight="1">
      <c r="B75" s="48"/>
      <c r="C75" s="365"/>
      <c r="D75" s="87"/>
      <c r="E75" s="87" t="s">
        <v>467</v>
      </c>
      <c r="F75" s="429">
        <v>-1206101.57</v>
      </c>
      <c r="G75" s="429"/>
      <c r="H75" s="429">
        <v>31463793.260000002</v>
      </c>
      <c r="I75" s="50"/>
      <c r="K75" s="393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5"/>
    </row>
    <row r="76" spans="2:24" ht="22.95" customHeight="1">
      <c r="B76" s="48"/>
      <c r="C76" s="365"/>
      <c r="D76" s="87"/>
      <c r="E76" s="87" t="s">
        <v>468</v>
      </c>
      <c r="F76" s="429"/>
      <c r="G76" s="429"/>
      <c r="H76" s="429"/>
      <c r="I76" s="50"/>
      <c r="K76" s="393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5"/>
    </row>
    <row r="77" spans="2:24" ht="22.95" customHeight="1">
      <c r="B77" s="48"/>
      <c r="C77" s="365"/>
      <c r="D77" s="87"/>
      <c r="E77" s="87" t="s">
        <v>469</v>
      </c>
      <c r="F77" s="429"/>
      <c r="G77" s="429"/>
      <c r="H77" s="429"/>
      <c r="I77" s="50"/>
      <c r="K77" s="393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5"/>
    </row>
    <row r="78" spans="2:24" ht="22.95" customHeight="1">
      <c r="B78" s="48"/>
      <c r="C78" s="365"/>
      <c r="D78" s="87"/>
      <c r="E78" s="87" t="s">
        <v>470</v>
      </c>
      <c r="F78" s="429"/>
      <c r="G78" s="429"/>
      <c r="H78" s="429"/>
      <c r="I78" s="50"/>
      <c r="K78" s="393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5"/>
    </row>
    <row r="79" spans="2:24" ht="22.95" customHeight="1">
      <c r="B79" s="48"/>
      <c r="C79" s="315"/>
      <c r="D79" s="73" t="s">
        <v>471</v>
      </c>
      <c r="E79" s="73"/>
      <c r="F79" s="333">
        <f>SUM(F80:F84)</f>
        <v>0</v>
      </c>
      <c r="G79" s="333">
        <f>SUM(G80:G84)</f>
        <v>0</v>
      </c>
      <c r="H79" s="333">
        <f>SUM(H80:H84)</f>
        <v>0</v>
      </c>
      <c r="I79" s="50"/>
      <c r="K79" s="393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5"/>
    </row>
    <row r="80" spans="2:24" ht="22.95" customHeight="1">
      <c r="B80" s="48"/>
      <c r="C80" s="365"/>
      <c r="D80" s="87"/>
      <c r="E80" s="87" t="s">
        <v>823</v>
      </c>
      <c r="F80" s="429"/>
      <c r="G80" s="429"/>
      <c r="H80" s="429"/>
      <c r="I80" s="50"/>
      <c r="K80" s="393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5"/>
    </row>
    <row r="81" spans="2:24" ht="22.95" customHeight="1">
      <c r="B81" s="48"/>
      <c r="C81" s="365"/>
      <c r="D81" s="87"/>
      <c r="E81" s="87" t="s">
        <v>824</v>
      </c>
      <c r="F81" s="429"/>
      <c r="G81" s="429"/>
      <c r="H81" s="429"/>
      <c r="I81" s="50"/>
      <c r="K81" s="393"/>
      <c r="L81" s="394"/>
      <c r="M81" s="394"/>
      <c r="N81" s="394"/>
      <c r="O81" s="394"/>
      <c r="P81" s="394"/>
      <c r="Q81" s="394"/>
      <c r="R81" s="394"/>
      <c r="S81" s="394"/>
      <c r="T81" s="394"/>
      <c r="U81" s="394"/>
      <c r="V81" s="394"/>
      <c r="W81" s="394"/>
      <c r="X81" s="395"/>
    </row>
    <row r="82" spans="2:24" ht="22.95" customHeight="1">
      <c r="B82" s="48"/>
      <c r="C82" s="365"/>
      <c r="D82" s="87"/>
      <c r="E82" s="87" t="s">
        <v>825</v>
      </c>
      <c r="F82" s="429"/>
      <c r="G82" s="429"/>
      <c r="H82" s="429"/>
      <c r="I82" s="50"/>
      <c r="K82" s="393"/>
      <c r="L82" s="394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4"/>
      <c r="X82" s="395"/>
    </row>
    <row r="83" spans="2:24" ht="22.95" customHeight="1">
      <c r="B83" s="48"/>
      <c r="C83" s="365"/>
      <c r="D83" s="87"/>
      <c r="E83" s="87" t="s">
        <v>826</v>
      </c>
      <c r="F83" s="429"/>
      <c r="G83" s="429"/>
      <c r="H83" s="429"/>
      <c r="I83" s="50"/>
      <c r="K83" s="393"/>
      <c r="L83" s="394"/>
      <c r="M83" s="394"/>
      <c r="N83" s="394"/>
      <c r="O83" s="394"/>
      <c r="P83" s="394"/>
      <c r="Q83" s="394"/>
      <c r="R83" s="394"/>
      <c r="S83" s="394"/>
      <c r="T83" s="394"/>
      <c r="U83" s="394"/>
      <c r="V83" s="394"/>
      <c r="W83" s="394"/>
      <c r="X83" s="395"/>
    </row>
    <row r="84" spans="2:24" ht="22.95" customHeight="1">
      <c r="B84" s="48"/>
      <c r="C84" s="365"/>
      <c r="D84" s="87"/>
      <c r="E84" s="87" t="s">
        <v>827</v>
      </c>
      <c r="F84" s="429"/>
      <c r="G84" s="429"/>
      <c r="H84" s="429"/>
      <c r="I84" s="50"/>
      <c r="K84" s="393"/>
      <c r="L84" s="394"/>
      <c r="M84" s="394"/>
      <c r="N84" s="394"/>
      <c r="O84" s="394"/>
      <c r="P84" s="394"/>
      <c r="Q84" s="394"/>
      <c r="R84" s="394"/>
      <c r="S84" s="394"/>
      <c r="T84" s="394"/>
      <c r="U84" s="394"/>
      <c r="V84" s="394"/>
      <c r="W84" s="394"/>
      <c r="X84" s="395"/>
    </row>
    <row r="85" spans="2:24" ht="22.95" customHeight="1">
      <c r="B85" s="48"/>
      <c r="C85" s="363" t="s">
        <v>472</v>
      </c>
      <c r="D85" s="70"/>
      <c r="E85" s="69"/>
      <c r="F85" s="132">
        <f>+SUM(F86:F87)</f>
        <v>0</v>
      </c>
      <c r="G85" s="132">
        <f>+SUM(G86:G87)</f>
        <v>0</v>
      </c>
      <c r="H85" s="132">
        <f>+SUM(H86:H87)</f>
        <v>0</v>
      </c>
      <c r="I85" s="50"/>
      <c r="K85" s="393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5"/>
    </row>
    <row r="86" spans="2:24" ht="22.95" customHeight="1">
      <c r="B86" s="48"/>
      <c r="C86" s="315"/>
      <c r="D86" s="72" t="s">
        <v>473</v>
      </c>
      <c r="E86" s="72"/>
      <c r="F86" s="421"/>
      <c r="G86" s="421"/>
      <c r="H86" s="421"/>
      <c r="I86" s="50"/>
      <c r="K86" s="393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5"/>
    </row>
    <row r="87" spans="2:24" ht="22.95" customHeight="1">
      <c r="B87" s="48"/>
      <c r="C87" s="315"/>
      <c r="D87" s="72" t="s">
        <v>474</v>
      </c>
      <c r="E87" s="72"/>
      <c r="F87" s="421"/>
      <c r="G87" s="421"/>
      <c r="H87" s="421"/>
      <c r="I87" s="50"/>
      <c r="K87" s="393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5"/>
    </row>
    <row r="88" spans="2:24" ht="22.95" customHeight="1" thickBot="1">
      <c r="B88" s="48"/>
      <c r="C88" s="364" t="s">
        <v>479</v>
      </c>
      <c r="D88" s="83"/>
      <c r="E88" s="83"/>
      <c r="F88" s="335">
        <f>+F66+F72+F85</f>
        <v>8926283.4299999997</v>
      </c>
      <c r="G88" s="335">
        <f>+G66+G72+G85</f>
        <v>25883153.710000001</v>
      </c>
      <c r="H88" s="335">
        <f>+H66+H72+H85</f>
        <v>32504078.970000003</v>
      </c>
      <c r="I88" s="50"/>
      <c r="K88" s="393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5"/>
    </row>
    <row r="89" spans="2:24" ht="22.95" customHeight="1">
      <c r="B89" s="48"/>
      <c r="C89" s="315"/>
      <c r="D89" s="62"/>
      <c r="E89" s="62"/>
      <c r="F89" s="135"/>
      <c r="G89" s="135"/>
      <c r="H89" s="135"/>
      <c r="I89" s="50"/>
      <c r="K89" s="393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5"/>
    </row>
    <row r="90" spans="2:24" ht="22.95" customHeight="1" thickBot="1">
      <c r="B90" s="48"/>
      <c r="C90" s="364" t="s">
        <v>475</v>
      </c>
      <c r="D90" s="83"/>
      <c r="E90" s="83"/>
      <c r="F90" s="335">
        <v>0</v>
      </c>
      <c r="G90" s="335">
        <v>0</v>
      </c>
      <c r="H90" s="335">
        <v>0</v>
      </c>
      <c r="I90" s="50"/>
      <c r="K90" s="393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5"/>
    </row>
    <row r="91" spans="2:24" ht="22.95" customHeight="1">
      <c r="B91" s="48"/>
      <c r="C91" s="315"/>
      <c r="D91" s="62"/>
      <c r="E91" s="62"/>
      <c r="F91" s="135"/>
      <c r="G91" s="135"/>
      <c r="H91" s="135"/>
      <c r="I91" s="50"/>
      <c r="K91" s="393"/>
      <c r="L91" s="394"/>
      <c r="M91" s="394"/>
      <c r="N91" s="394"/>
      <c r="O91" s="394"/>
      <c r="P91" s="394"/>
      <c r="Q91" s="394"/>
      <c r="R91" s="394"/>
      <c r="S91" s="394"/>
      <c r="T91" s="394"/>
      <c r="U91" s="394"/>
      <c r="V91" s="394"/>
      <c r="W91" s="394"/>
      <c r="X91" s="395"/>
    </row>
    <row r="92" spans="2:24" ht="22.95" customHeight="1" thickBot="1">
      <c r="B92" s="48"/>
      <c r="C92" s="364" t="s">
        <v>480</v>
      </c>
      <c r="D92" s="83"/>
      <c r="E92" s="83"/>
      <c r="F92" s="335">
        <f>+F42+F63+F88+F90</f>
        <v>7586953.8619999979</v>
      </c>
      <c r="G92" s="335">
        <f>+G42+G63+G88+G90</f>
        <v>23286725.68</v>
      </c>
      <c r="H92" s="335">
        <f>+H42+H63+H88+H90</f>
        <v>-26819733.629999992</v>
      </c>
      <c r="I92" s="50"/>
      <c r="K92" s="393"/>
      <c r="L92" s="394"/>
      <c r="M92" s="394"/>
      <c r="N92" s="394"/>
      <c r="O92" s="394"/>
      <c r="P92" s="394"/>
      <c r="Q92" s="394"/>
      <c r="R92" s="394"/>
      <c r="S92" s="394"/>
      <c r="T92" s="394"/>
      <c r="U92" s="394"/>
      <c r="V92" s="394"/>
      <c r="W92" s="394"/>
      <c r="X92" s="395"/>
    </row>
    <row r="93" spans="2:24" ht="22.95" customHeight="1">
      <c r="B93" s="48"/>
      <c r="C93" s="58"/>
      <c r="D93" s="58"/>
      <c r="E93" s="58"/>
      <c r="F93" s="58"/>
      <c r="G93" s="58"/>
      <c r="H93" s="58"/>
      <c r="I93" s="50"/>
      <c r="K93" s="393"/>
      <c r="L93" s="394"/>
      <c r="M93" s="394"/>
      <c r="N93" s="394"/>
      <c r="O93" s="394"/>
      <c r="P93" s="394"/>
      <c r="Q93" s="394"/>
      <c r="R93" s="394"/>
      <c r="S93" s="394"/>
      <c r="T93" s="394"/>
      <c r="U93" s="394"/>
      <c r="V93" s="394"/>
      <c r="W93" s="394"/>
      <c r="X93" s="395"/>
    </row>
    <row r="94" spans="2:24" ht="22.95" customHeight="1" thickBot="1">
      <c r="B94" s="48"/>
      <c r="C94" s="370" t="s">
        <v>9</v>
      </c>
      <c r="D94" s="371"/>
      <c r="E94" s="371"/>
      <c r="F94" s="430">
        <v>508001.2</v>
      </c>
      <c r="G94" s="332">
        <f>+F95</f>
        <v>8094955.0599999996</v>
      </c>
      <c r="H94" s="332">
        <f>+G95</f>
        <v>31381680.739999998</v>
      </c>
      <c r="I94" s="50"/>
      <c r="K94" s="393"/>
      <c r="L94" s="394"/>
      <c r="M94" s="394"/>
      <c r="N94" s="394"/>
      <c r="O94" s="394"/>
      <c r="P94" s="394"/>
      <c r="Q94" s="394"/>
      <c r="R94" s="394"/>
      <c r="S94" s="394"/>
      <c r="T94" s="394"/>
      <c r="U94" s="394"/>
      <c r="V94" s="394"/>
      <c r="W94" s="394"/>
      <c r="X94" s="395"/>
    </row>
    <row r="95" spans="2:24" ht="22.95" customHeight="1" thickBot="1">
      <c r="B95" s="48"/>
      <c r="C95" s="364" t="s">
        <v>476</v>
      </c>
      <c r="D95" s="83"/>
      <c r="E95" s="83"/>
      <c r="F95" s="335">
        <f>'FC-4_ACTIVO'!E90</f>
        <v>8094955.0599999996</v>
      </c>
      <c r="G95" s="335">
        <f>+'FC-4_ACTIVO'!F90</f>
        <v>31381680.739999998</v>
      </c>
      <c r="H95" s="335">
        <f>+'FC-4_ACTIVO'!G90</f>
        <v>4561947.1100000003</v>
      </c>
      <c r="I95" s="50"/>
      <c r="K95" s="393"/>
      <c r="L95" s="394"/>
      <c r="M95" s="394"/>
      <c r="N95" s="394"/>
      <c r="O95" s="394"/>
      <c r="P95" s="394"/>
      <c r="Q95" s="394"/>
      <c r="R95" s="394"/>
      <c r="S95" s="394"/>
      <c r="T95" s="394"/>
      <c r="U95" s="394"/>
      <c r="V95" s="394"/>
      <c r="W95" s="394"/>
      <c r="X95" s="395"/>
    </row>
    <row r="96" spans="2:24" ht="22.95" customHeight="1">
      <c r="B96" s="48"/>
      <c r="C96" s="834"/>
      <c r="D96" s="835"/>
      <c r="E96" s="835"/>
      <c r="F96" s="836"/>
      <c r="G96" s="836"/>
      <c r="H96" s="836"/>
      <c r="I96" s="50"/>
      <c r="K96" s="393"/>
      <c r="L96" s="394"/>
      <c r="M96" s="394"/>
      <c r="N96" s="394"/>
      <c r="O96" s="394"/>
      <c r="P96" s="394"/>
      <c r="Q96" s="394"/>
      <c r="R96" s="394"/>
      <c r="S96" s="394"/>
      <c r="T96" s="394"/>
      <c r="U96" s="394"/>
      <c r="V96" s="394"/>
      <c r="W96" s="394"/>
      <c r="X96" s="395"/>
    </row>
    <row r="97" spans="2:24" ht="22.95" customHeight="1">
      <c r="B97" s="48"/>
      <c r="C97" s="107" t="s">
        <v>892</v>
      </c>
      <c r="D97" s="835"/>
      <c r="E97" s="835"/>
      <c r="F97" s="836"/>
      <c r="G97" s="836"/>
      <c r="H97" s="836"/>
      <c r="I97" s="50"/>
      <c r="K97" s="393"/>
      <c r="L97" s="394"/>
      <c r="M97" s="394"/>
      <c r="N97" s="394"/>
      <c r="O97" s="394"/>
      <c r="P97" s="394"/>
      <c r="Q97" s="394"/>
      <c r="R97" s="394"/>
      <c r="S97" s="394"/>
      <c r="T97" s="394"/>
      <c r="U97" s="394"/>
      <c r="V97" s="394"/>
      <c r="W97" s="394"/>
      <c r="X97" s="395"/>
    </row>
    <row r="98" spans="2:24" ht="22.95" customHeight="1">
      <c r="B98" s="48"/>
      <c r="C98" s="837" t="s">
        <v>10</v>
      </c>
      <c r="D98" s="835"/>
      <c r="E98" s="835"/>
      <c r="F98" s="836"/>
      <c r="G98" s="836"/>
      <c r="H98" s="836"/>
      <c r="I98" s="50"/>
      <c r="K98" s="393"/>
      <c r="L98" s="394"/>
      <c r="M98" s="394"/>
      <c r="N98" s="394"/>
      <c r="O98" s="394"/>
      <c r="P98" s="394"/>
      <c r="Q98" s="394"/>
      <c r="R98" s="394"/>
      <c r="S98" s="394"/>
      <c r="T98" s="394"/>
      <c r="U98" s="394"/>
      <c r="V98" s="394"/>
      <c r="W98" s="394"/>
      <c r="X98" s="395"/>
    </row>
    <row r="99" spans="2:24" ht="22.95" customHeight="1">
      <c r="B99" s="48"/>
      <c r="C99" s="834"/>
      <c r="D99" s="835"/>
      <c r="E99" s="835"/>
      <c r="F99" s="836"/>
      <c r="G99" s="836"/>
      <c r="H99" s="836"/>
      <c r="I99" s="50"/>
      <c r="K99" s="393"/>
      <c r="L99" s="394"/>
      <c r="M99" s="394"/>
      <c r="N99" s="394"/>
      <c r="O99" s="394"/>
      <c r="P99" s="394"/>
      <c r="Q99" s="394"/>
      <c r="R99" s="394"/>
      <c r="S99" s="394"/>
      <c r="T99" s="394"/>
      <c r="U99" s="394"/>
      <c r="V99" s="394"/>
      <c r="W99" s="394"/>
      <c r="X99" s="395"/>
    </row>
    <row r="100" spans="2:24" ht="22.95" customHeight="1" thickBot="1">
      <c r="B100" s="52"/>
      <c r="C100" s="1003"/>
      <c r="D100" s="1003"/>
      <c r="E100" s="1003"/>
      <c r="F100" s="1003"/>
      <c r="G100" s="1003"/>
      <c r="H100" s="94"/>
      <c r="I100" s="55"/>
      <c r="K100" s="396"/>
      <c r="L100" s="397"/>
      <c r="M100" s="397"/>
      <c r="N100" s="397"/>
      <c r="O100" s="397"/>
      <c r="P100" s="397"/>
      <c r="Q100" s="397"/>
      <c r="R100" s="397"/>
      <c r="S100" s="397"/>
      <c r="T100" s="397"/>
      <c r="U100" s="397"/>
      <c r="V100" s="397"/>
      <c r="W100" s="397"/>
      <c r="X100" s="398"/>
    </row>
    <row r="101" spans="2:24" ht="22.95" customHeight="1">
      <c r="C101" s="44"/>
      <c r="D101" s="44"/>
      <c r="E101" s="44"/>
      <c r="F101" s="90"/>
      <c r="G101" s="90"/>
      <c r="H101" s="90"/>
    </row>
    <row r="102" spans="2:24" ht="13.2">
      <c r="C102" s="37" t="s">
        <v>174</v>
      </c>
      <c r="D102" s="44"/>
      <c r="E102" s="44"/>
      <c r="F102" s="90"/>
      <c r="G102" s="90"/>
      <c r="H102" s="95" t="s">
        <v>141</v>
      </c>
    </row>
    <row r="103" spans="2:24" ht="13.2">
      <c r="C103" s="38" t="s">
        <v>175</v>
      </c>
      <c r="D103" s="44"/>
      <c r="E103" s="44"/>
      <c r="F103" s="90"/>
      <c r="G103" s="90"/>
      <c r="H103" s="90"/>
    </row>
    <row r="104" spans="2:24" ht="13.2">
      <c r="C104" s="38" t="s">
        <v>176</v>
      </c>
      <c r="D104" s="44"/>
      <c r="E104" s="44"/>
      <c r="F104" s="90"/>
      <c r="G104" s="90"/>
      <c r="H104" s="90"/>
    </row>
    <row r="105" spans="2:24" ht="13.2">
      <c r="C105" s="38" t="s">
        <v>177</v>
      </c>
      <c r="D105" s="44"/>
      <c r="E105" s="44"/>
      <c r="F105" s="90"/>
      <c r="G105" s="90"/>
      <c r="H105" s="90"/>
    </row>
    <row r="106" spans="2:24" ht="13.2">
      <c r="C106" s="38" t="s">
        <v>178</v>
      </c>
      <c r="D106" s="44"/>
      <c r="E106" s="44"/>
      <c r="F106" s="90"/>
      <c r="G106" s="90"/>
      <c r="H106" s="90"/>
    </row>
    <row r="107" spans="2:24" ht="22.95" customHeight="1">
      <c r="C107" s="44"/>
      <c r="D107" s="44"/>
      <c r="E107" s="44"/>
      <c r="F107" s="90"/>
      <c r="G107" s="90"/>
      <c r="H107" s="90"/>
    </row>
    <row r="108" spans="2:24" ht="22.95" customHeight="1">
      <c r="C108" s="44"/>
      <c r="D108" s="44"/>
      <c r="E108" s="44"/>
      <c r="F108" s="90"/>
      <c r="G108" s="90"/>
      <c r="H108" s="90"/>
    </row>
    <row r="109" spans="2:24" ht="22.95" customHeight="1">
      <c r="C109" s="44"/>
      <c r="D109" s="44"/>
      <c r="E109" s="44"/>
      <c r="F109" s="90"/>
      <c r="G109" s="90"/>
      <c r="H109" s="90"/>
    </row>
    <row r="110" spans="2:24" ht="22.95" customHeight="1">
      <c r="C110" s="44"/>
      <c r="D110" s="44"/>
      <c r="E110" s="44"/>
      <c r="F110" s="90"/>
      <c r="G110" s="90"/>
      <c r="H110" s="90"/>
    </row>
    <row r="111" spans="2:24" ht="22.95" customHeight="1">
      <c r="G111" s="90"/>
      <c r="H111" s="90"/>
    </row>
  </sheetData>
  <sheetProtection password="E059" sheet="1" objects="1" scenarios="1"/>
  <mergeCells count="3">
    <mergeCell ref="H6:H7"/>
    <mergeCell ref="D9:H9"/>
    <mergeCell ref="C100:G100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7"/>
  <sheetViews>
    <sheetView zoomScale="40" zoomScaleNormal="40" workbookViewId="0">
      <selection activeCell="B1" sqref="B1:S63"/>
    </sheetView>
  </sheetViews>
  <sheetFormatPr baseColWidth="10" defaultColWidth="10.54296875" defaultRowHeight="22.95" customHeight="1"/>
  <cols>
    <col min="1" max="2" width="3.1796875" style="97" customWidth="1"/>
    <col min="3" max="3" width="13.54296875" style="97" customWidth="1"/>
    <col min="4" max="4" width="42.54296875" style="97" customWidth="1"/>
    <col min="5" max="6" width="12.54296875" style="98" customWidth="1"/>
    <col min="7" max="8" width="15.54296875" style="98" customWidth="1"/>
    <col min="9" max="9" width="13.08984375" style="98" customWidth="1"/>
    <col min="10" max="18" width="12.54296875" style="98" customWidth="1"/>
    <col min="19" max="19" width="3.453125" style="97" customWidth="1"/>
    <col min="20" max="16384" width="10.54296875" style="97"/>
  </cols>
  <sheetData>
    <row r="2" spans="2:34" ht="22.95" customHeight="1">
      <c r="D2" s="63" t="s">
        <v>477</v>
      </c>
    </row>
    <row r="3" spans="2:34" ht="22.95" customHeight="1">
      <c r="D3" s="63" t="s">
        <v>478</v>
      </c>
    </row>
    <row r="4" spans="2:34" ht="22.95" customHeight="1" thickBot="1"/>
    <row r="5" spans="2:34" ht="9" customHeight="1">
      <c r="B5" s="99"/>
      <c r="C5" s="100"/>
      <c r="D5" s="100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2"/>
      <c r="U5" s="377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8"/>
      <c r="AG5" s="378"/>
      <c r="AH5" s="379"/>
    </row>
    <row r="6" spans="2:34" ht="30" customHeight="1">
      <c r="B6" s="103"/>
      <c r="C6" s="67" t="s">
        <v>97</v>
      </c>
      <c r="D6" s="104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984">
        <f>ejercicio</f>
        <v>2018</v>
      </c>
      <c r="S6" s="106"/>
      <c r="U6" s="380"/>
      <c r="V6" s="381" t="s">
        <v>810</v>
      </c>
      <c r="W6" s="382"/>
      <c r="X6" s="382"/>
      <c r="Y6" s="382"/>
      <c r="Z6" s="382"/>
      <c r="AA6" s="382"/>
      <c r="AB6" s="382"/>
      <c r="AC6" s="382"/>
      <c r="AD6" s="382"/>
      <c r="AE6" s="382"/>
      <c r="AF6" s="382"/>
      <c r="AG6" s="382"/>
      <c r="AH6" s="383"/>
    </row>
    <row r="7" spans="2:34" ht="30" customHeight="1">
      <c r="B7" s="103"/>
      <c r="C7" s="67" t="s">
        <v>98</v>
      </c>
      <c r="D7" s="104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984"/>
      <c r="S7" s="106"/>
      <c r="U7" s="380"/>
      <c r="V7" s="382"/>
      <c r="W7" s="382"/>
      <c r="X7" s="382"/>
      <c r="Y7" s="382"/>
      <c r="Z7" s="382"/>
      <c r="AA7" s="382"/>
      <c r="AB7" s="382"/>
      <c r="AC7" s="382"/>
      <c r="AD7" s="382"/>
      <c r="AE7" s="382"/>
      <c r="AF7" s="382"/>
      <c r="AG7" s="382"/>
      <c r="AH7" s="383"/>
    </row>
    <row r="8" spans="2:34" ht="30" customHeight="1">
      <c r="B8" s="103"/>
      <c r="C8" s="107"/>
      <c r="D8" s="104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8"/>
      <c r="S8" s="106"/>
      <c r="U8" s="380"/>
      <c r="V8" s="382"/>
      <c r="W8" s="382"/>
      <c r="X8" s="382"/>
      <c r="Y8" s="382"/>
      <c r="Z8" s="382"/>
      <c r="AA8" s="382"/>
      <c r="AB8" s="382"/>
      <c r="AC8" s="382"/>
      <c r="AD8" s="382"/>
      <c r="AE8" s="382"/>
      <c r="AF8" s="382"/>
      <c r="AG8" s="382"/>
      <c r="AH8" s="383"/>
    </row>
    <row r="9" spans="2:34" s="65" customFormat="1" ht="30" customHeight="1">
      <c r="B9" s="109"/>
      <c r="C9" s="40" t="s">
        <v>99</v>
      </c>
      <c r="D9" s="1004" t="str">
        <f>Entidad</f>
        <v>INSTITUTO TECNOLÓGICO Y DE ENERGÍAS RENOVALBES S.A. (ITER)</v>
      </c>
      <c r="E9" s="1004"/>
      <c r="F9" s="1004"/>
      <c r="G9" s="1004"/>
      <c r="H9" s="1004"/>
      <c r="I9" s="1004"/>
      <c r="J9" s="1004"/>
      <c r="K9" s="1004"/>
      <c r="L9" s="1004"/>
      <c r="M9" s="1004"/>
      <c r="N9" s="1004"/>
      <c r="O9" s="1004"/>
      <c r="P9" s="1004"/>
      <c r="Q9" s="1004"/>
      <c r="R9" s="1004"/>
      <c r="S9" s="110"/>
      <c r="U9" s="384"/>
      <c r="V9" s="385"/>
      <c r="W9" s="385"/>
      <c r="X9" s="385"/>
      <c r="Y9" s="385"/>
      <c r="Z9" s="385"/>
      <c r="AA9" s="385"/>
      <c r="AB9" s="385"/>
      <c r="AC9" s="385"/>
      <c r="AD9" s="385"/>
      <c r="AE9" s="385"/>
      <c r="AF9" s="385"/>
      <c r="AG9" s="385"/>
      <c r="AH9" s="386"/>
    </row>
    <row r="10" spans="2:34" ht="7.2" customHeight="1">
      <c r="B10" s="103"/>
      <c r="C10" s="104"/>
      <c r="D10" s="104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6"/>
      <c r="U10" s="380"/>
      <c r="V10" s="382"/>
      <c r="W10" s="382"/>
      <c r="X10" s="382"/>
      <c r="Y10" s="382"/>
      <c r="Z10" s="382"/>
      <c r="AA10" s="382"/>
      <c r="AB10" s="382"/>
      <c r="AC10" s="382"/>
      <c r="AD10" s="382"/>
      <c r="AE10" s="382"/>
      <c r="AF10" s="382"/>
      <c r="AG10" s="382"/>
      <c r="AH10" s="383"/>
    </row>
    <row r="11" spans="2:34" s="115" customFormat="1" ht="30" customHeight="1">
      <c r="B11" s="111"/>
      <c r="C11" s="112" t="s">
        <v>896</v>
      </c>
      <c r="D11" s="112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4"/>
      <c r="U11" s="387"/>
      <c r="V11" s="388"/>
      <c r="W11" s="388"/>
      <c r="X11" s="388"/>
      <c r="Y11" s="388"/>
      <c r="Z11" s="388"/>
      <c r="AA11" s="388"/>
      <c r="AB11" s="388"/>
      <c r="AC11" s="388"/>
      <c r="AD11" s="388"/>
      <c r="AE11" s="388"/>
      <c r="AF11" s="388"/>
      <c r="AG11" s="388"/>
      <c r="AH11" s="389"/>
    </row>
    <row r="12" spans="2:34" s="115" customFormat="1" ht="30" customHeight="1">
      <c r="B12" s="111"/>
      <c r="C12" s="116"/>
      <c r="D12" s="11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114"/>
      <c r="U12" s="387"/>
      <c r="V12" s="388"/>
      <c r="W12" s="388"/>
      <c r="X12" s="388"/>
      <c r="Y12" s="388"/>
      <c r="Z12" s="388"/>
      <c r="AA12" s="388"/>
      <c r="AB12" s="388"/>
      <c r="AC12" s="388"/>
      <c r="AD12" s="388"/>
      <c r="AE12" s="388"/>
      <c r="AF12" s="388"/>
      <c r="AG12" s="388"/>
      <c r="AH12" s="389"/>
    </row>
    <row r="13" spans="2:34" s="119" customFormat="1" ht="19.2" customHeight="1">
      <c r="B13" s="117"/>
      <c r="C13" s="348"/>
      <c r="D13" s="348"/>
      <c r="E13" s="348"/>
      <c r="F13" s="348"/>
      <c r="G13" s="348"/>
      <c r="H13" s="349" t="s">
        <v>487</v>
      </c>
      <c r="I13" s="1026" t="s">
        <v>915</v>
      </c>
      <c r="J13" s="1027"/>
      <c r="K13" s="1027"/>
      <c r="L13" s="1027"/>
      <c r="M13" s="1028"/>
      <c r="N13" s="350"/>
      <c r="O13" s="351"/>
      <c r="P13" s="352" t="s">
        <v>490</v>
      </c>
      <c r="Q13" s="353">
        <f>ejercicio-1</f>
        <v>2017</v>
      </c>
      <c r="R13" s="795" t="s">
        <v>916</v>
      </c>
      <c r="S13" s="118"/>
      <c r="U13" s="380"/>
      <c r="V13" s="382"/>
      <c r="W13" s="382"/>
      <c r="X13" s="382"/>
      <c r="Y13" s="382"/>
      <c r="Z13" s="382"/>
      <c r="AA13" s="382"/>
      <c r="AB13" s="382"/>
      <c r="AC13" s="382"/>
      <c r="AD13" s="382"/>
      <c r="AE13" s="382"/>
      <c r="AF13" s="382"/>
      <c r="AG13" s="382"/>
      <c r="AH13" s="383"/>
    </row>
    <row r="14" spans="2:34" s="120" customFormat="1" ht="19.2" customHeight="1">
      <c r="B14" s="117"/>
      <c r="C14" s="354"/>
      <c r="D14" s="354"/>
      <c r="E14" s="354"/>
      <c r="F14" s="354"/>
      <c r="G14" s="354"/>
      <c r="H14" s="355" t="s">
        <v>488</v>
      </c>
      <c r="I14" s="356"/>
      <c r="J14" s="357"/>
      <c r="K14" s="357"/>
      <c r="L14" s="357"/>
      <c r="M14" s="358"/>
      <c r="N14" s="356"/>
      <c r="O14" s="357"/>
      <c r="P14" s="357"/>
      <c r="Q14" s="357"/>
      <c r="R14" s="358"/>
      <c r="S14" s="118"/>
      <c r="U14" s="380"/>
      <c r="V14" s="382"/>
      <c r="W14" s="382"/>
      <c r="X14" s="382"/>
      <c r="Y14" s="382"/>
      <c r="Z14" s="382"/>
      <c r="AA14" s="382"/>
      <c r="AB14" s="382"/>
      <c r="AC14" s="382"/>
      <c r="AD14" s="382"/>
      <c r="AE14" s="382"/>
      <c r="AF14" s="382"/>
      <c r="AG14" s="382"/>
      <c r="AH14" s="383"/>
    </row>
    <row r="15" spans="2:34" s="120" customFormat="1" ht="19.2" customHeight="1">
      <c r="B15" s="117"/>
      <c r="C15" s="359" t="s">
        <v>483</v>
      </c>
      <c r="D15" s="359" t="s">
        <v>484</v>
      </c>
      <c r="E15" s="359" t="s">
        <v>485</v>
      </c>
      <c r="F15" s="359" t="s">
        <v>486</v>
      </c>
      <c r="G15" s="359" t="s">
        <v>897</v>
      </c>
      <c r="H15" s="359">
        <f>ejercicio-1</f>
        <v>2017</v>
      </c>
      <c r="I15" s="359">
        <f>+ejercicio</f>
        <v>2018</v>
      </c>
      <c r="J15" s="359">
        <f>ejercicio+1</f>
        <v>2019</v>
      </c>
      <c r="K15" s="359">
        <f>ejercicio+2</f>
        <v>2020</v>
      </c>
      <c r="L15" s="359">
        <f>ejercicio+3</f>
        <v>2021</v>
      </c>
      <c r="M15" s="359" t="s">
        <v>489</v>
      </c>
      <c r="N15" s="359">
        <f>+ejercicio</f>
        <v>2018</v>
      </c>
      <c r="O15" s="359">
        <f>ejercicio+1</f>
        <v>2019</v>
      </c>
      <c r="P15" s="359">
        <f>ejercicio+2</f>
        <v>2020</v>
      </c>
      <c r="Q15" s="359">
        <f>ejercicio+3</f>
        <v>2021</v>
      </c>
      <c r="R15" s="359" t="s">
        <v>489</v>
      </c>
      <c r="S15" s="118"/>
      <c r="U15" s="380"/>
      <c r="V15" s="382"/>
      <c r="W15" s="382"/>
      <c r="X15" s="382"/>
      <c r="Y15" s="382"/>
      <c r="Z15" s="382"/>
      <c r="AA15" s="382"/>
      <c r="AB15" s="382"/>
      <c r="AC15" s="382"/>
      <c r="AD15" s="382"/>
      <c r="AE15" s="382"/>
      <c r="AF15" s="382"/>
      <c r="AG15" s="382"/>
      <c r="AH15" s="383"/>
    </row>
    <row r="16" spans="2:34" ht="22.95" customHeight="1">
      <c r="B16" s="117"/>
      <c r="C16" s="431"/>
      <c r="D16" s="434" t="s">
        <v>905</v>
      </c>
      <c r="E16" s="435">
        <v>2018</v>
      </c>
      <c r="F16" s="435">
        <v>2018</v>
      </c>
      <c r="G16" s="436">
        <v>45388.92</v>
      </c>
      <c r="H16" s="436"/>
      <c r="I16" s="436">
        <f>36190.48+9198.44</f>
        <v>45388.920000000006</v>
      </c>
      <c r="J16" s="432"/>
      <c r="K16" s="432"/>
      <c r="L16" s="432"/>
      <c r="M16" s="432"/>
      <c r="N16" s="432"/>
      <c r="O16" s="432"/>
      <c r="P16" s="432"/>
      <c r="Q16" s="432"/>
      <c r="R16" s="432"/>
      <c r="S16" s="106"/>
      <c r="U16" s="380"/>
      <c r="V16" s="382"/>
      <c r="W16" s="382"/>
      <c r="X16" s="382"/>
      <c r="Y16" s="382"/>
      <c r="Z16" s="382"/>
      <c r="AA16" s="382"/>
      <c r="AB16" s="382"/>
      <c r="AC16" s="382"/>
      <c r="AD16" s="382"/>
      <c r="AE16" s="382"/>
      <c r="AF16" s="382"/>
      <c r="AG16" s="382"/>
      <c r="AH16" s="383"/>
    </row>
    <row r="17" spans="2:34" ht="22.95" customHeight="1">
      <c r="B17" s="117"/>
      <c r="C17" s="433"/>
      <c r="D17" s="434" t="s">
        <v>906</v>
      </c>
      <c r="E17" s="435">
        <v>2016</v>
      </c>
      <c r="F17" s="435">
        <v>2018</v>
      </c>
      <c r="G17" s="436">
        <f>645402.44+598762.5</f>
        <v>1244164.94</v>
      </c>
      <c r="H17" s="436">
        <f>598762.5+570082.54</f>
        <v>1168845.04</v>
      </c>
      <c r="I17" s="436">
        <v>75319.899999999994</v>
      </c>
      <c r="J17" s="436"/>
      <c r="K17" s="436"/>
      <c r="L17" s="436"/>
      <c r="M17" s="436"/>
      <c r="N17" s="436"/>
      <c r="O17" s="436"/>
      <c r="P17" s="436"/>
      <c r="Q17" s="436"/>
      <c r="R17" s="436"/>
      <c r="S17" s="106"/>
      <c r="U17" s="380"/>
      <c r="V17" s="382"/>
      <c r="W17" s="382"/>
      <c r="X17" s="382"/>
      <c r="Y17" s="382"/>
      <c r="Z17" s="382"/>
      <c r="AA17" s="382"/>
      <c r="AB17" s="382"/>
      <c r="AC17" s="382"/>
      <c r="AD17" s="382"/>
      <c r="AE17" s="382"/>
      <c r="AF17" s="382"/>
      <c r="AG17" s="382"/>
      <c r="AH17" s="383"/>
    </row>
    <row r="18" spans="2:34" ht="22.95" customHeight="1">
      <c r="B18" s="117"/>
      <c r="C18" s="433"/>
      <c r="D18" s="434" t="s">
        <v>907</v>
      </c>
      <c r="E18" s="435">
        <v>2017</v>
      </c>
      <c r="F18" s="435">
        <v>2018</v>
      </c>
      <c r="G18" s="436">
        <v>376349.5</v>
      </c>
      <c r="H18" s="436">
        <f>+G18</f>
        <v>376349.5</v>
      </c>
      <c r="I18" s="436"/>
      <c r="J18" s="436"/>
      <c r="K18" s="436"/>
      <c r="L18" s="436"/>
      <c r="M18" s="436"/>
      <c r="N18" s="436"/>
      <c r="O18" s="436"/>
      <c r="P18" s="436"/>
      <c r="Q18" s="436"/>
      <c r="R18" s="436"/>
      <c r="S18" s="106"/>
      <c r="U18" s="380"/>
      <c r="V18" s="382"/>
      <c r="W18" s="382"/>
      <c r="X18" s="382"/>
      <c r="Y18" s="382"/>
      <c r="Z18" s="382"/>
      <c r="AA18" s="382"/>
      <c r="AB18" s="382"/>
      <c r="AC18" s="382"/>
      <c r="AD18" s="382"/>
      <c r="AE18" s="382"/>
      <c r="AF18" s="382"/>
      <c r="AG18" s="382"/>
      <c r="AH18" s="383"/>
    </row>
    <row r="19" spans="2:34" ht="22.95" customHeight="1">
      <c r="B19" s="117"/>
      <c r="C19" s="433"/>
      <c r="D19" s="434" t="s">
        <v>908</v>
      </c>
      <c r="E19" s="435">
        <v>2016</v>
      </c>
      <c r="F19" s="435">
        <v>2018</v>
      </c>
      <c r="G19" s="436">
        <v>59845149.340000004</v>
      </c>
      <c r="H19" s="436">
        <v>81078.34</v>
      </c>
      <c r="I19" s="436">
        <v>59764071</v>
      </c>
      <c r="J19" s="436"/>
      <c r="K19" s="436"/>
      <c r="L19" s="436"/>
      <c r="M19" s="436"/>
      <c r="N19" s="436"/>
      <c r="O19" s="436"/>
      <c r="P19" s="436"/>
      <c r="Q19" s="436"/>
      <c r="R19" s="436"/>
      <c r="S19" s="106"/>
      <c r="U19" s="380"/>
      <c r="V19" s="382"/>
      <c r="W19" s="382"/>
      <c r="X19" s="382"/>
      <c r="Y19" s="382"/>
      <c r="Z19" s="382"/>
      <c r="AA19" s="382"/>
      <c r="AB19" s="382"/>
      <c r="AC19" s="382"/>
      <c r="AD19" s="382"/>
      <c r="AE19" s="382"/>
      <c r="AF19" s="382"/>
      <c r="AG19" s="382"/>
      <c r="AH19" s="383"/>
    </row>
    <row r="20" spans="2:34" ht="22.95" customHeight="1">
      <c r="B20" s="117"/>
      <c r="C20" s="433"/>
      <c r="D20" s="434" t="s">
        <v>909</v>
      </c>
      <c r="E20" s="435">
        <v>2016</v>
      </c>
      <c r="F20" s="435">
        <v>2018</v>
      </c>
      <c r="G20" s="436">
        <v>8705635.0299999993</v>
      </c>
      <c r="H20" s="436">
        <v>4228619.96</v>
      </c>
      <c r="I20" s="436">
        <v>4477015.07</v>
      </c>
      <c r="J20" s="436"/>
      <c r="K20" s="436"/>
      <c r="L20" s="436"/>
      <c r="M20" s="436"/>
      <c r="N20" s="436"/>
      <c r="O20" s="436"/>
      <c r="P20" s="436"/>
      <c r="Q20" s="436"/>
      <c r="R20" s="436"/>
      <c r="S20" s="106"/>
      <c r="U20" s="380"/>
      <c r="V20" s="382"/>
      <c r="W20" s="382"/>
      <c r="X20" s="382"/>
      <c r="Y20" s="382"/>
      <c r="Z20" s="382"/>
      <c r="AA20" s="382"/>
      <c r="AB20" s="382"/>
      <c r="AC20" s="382"/>
      <c r="AD20" s="382"/>
      <c r="AE20" s="382"/>
      <c r="AF20" s="382"/>
      <c r="AG20" s="382"/>
      <c r="AH20" s="383"/>
    </row>
    <row r="21" spans="2:34" ht="22.95" customHeight="1">
      <c r="B21" s="117"/>
      <c r="C21" s="433"/>
      <c r="D21" s="434" t="s">
        <v>628</v>
      </c>
      <c r="E21" s="435">
        <v>2018</v>
      </c>
      <c r="F21" s="435">
        <v>2018</v>
      </c>
      <c r="G21" s="436">
        <v>83002.5</v>
      </c>
      <c r="H21" s="436"/>
      <c r="I21" s="436">
        <v>83002.5</v>
      </c>
      <c r="J21" s="436"/>
      <c r="K21" s="436"/>
      <c r="L21" s="436"/>
      <c r="M21" s="436"/>
      <c r="N21" s="436"/>
      <c r="O21" s="436"/>
      <c r="P21" s="436"/>
      <c r="Q21" s="436"/>
      <c r="R21" s="436"/>
      <c r="S21" s="106"/>
      <c r="U21" s="380"/>
      <c r="V21" s="382"/>
      <c r="W21" s="382"/>
      <c r="X21" s="382"/>
      <c r="Y21" s="382"/>
      <c r="Z21" s="382"/>
      <c r="AA21" s="382"/>
      <c r="AB21" s="382"/>
      <c r="AC21" s="382"/>
      <c r="AD21" s="382"/>
      <c r="AE21" s="382"/>
      <c r="AF21" s="382"/>
      <c r="AG21" s="382"/>
      <c r="AH21" s="383"/>
    </row>
    <row r="22" spans="2:34" ht="22.95" customHeight="1">
      <c r="B22" s="117"/>
      <c r="C22" s="433"/>
      <c r="D22" s="434" t="s">
        <v>911</v>
      </c>
      <c r="E22" s="435">
        <v>2018</v>
      </c>
      <c r="F22" s="435">
        <v>2018</v>
      </c>
      <c r="G22" s="436">
        <v>366200</v>
      </c>
      <c r="H22" s="436"/>
      <c r="I22" s="436">
        <v>366200</v>
      </c>
      <c r="J22" s="436"/>
      <c r="K22" s="436"/>
      <c r="L22" s="436"/>
      <c r="M22" s="436"/>
      <c r="N22" s="436"/>
      <c r="O22" s="436"/>
      <c r="P22" s="436"/>
      <c r="Q22" s="436"/>
      <c r="R22" s="436"/>
      <c r="S22" s="106"/>
      <c r="U22" s="380"/>
      <c r="V22" s="382"/>
      <c r="W22" s="382"/>
      <c r="X22" s="382"/>
      <c r="Y22" s="382"/>
      <c r="Z22" s="382"/>
      <c r="AA22" s="382"/>
      <c r="AB22" s="382"/>
      <c r="AC22" s="382"/>
      <c r="AD22" s="382"/>
      <c r="AE22" s="382"/>
      <c r="AF22" s="382"/>
      <c r="AG22" s="382"/>
      <c r="AH22" s="383"/>
    </row>
    <row r="23" spans="2:34" ht="22.95" customHeight="1">
      <c r="B23" s="117"/>
      <c r="C23" s="433"/>
      <c r="D23" s="434" t="s">
        <v>912</v>
      </c>
      <c r="E23" s="435">
        <v>2018</v>
      </c>
      <c r="F23" s="435">
        <v>2018</v>
      </c>
      <c r="G23" s="436">
        <v>500000</v>
      </c>
      <c r="H23" s="436"/>
      <c r="I23" s="436">
        <v>500000</v>
      </c>
      <c r="J23" s="436"/>
      <c r="K23" s="436"/>
      <c r="L23" s="436"/>
      <c r="M23" s="436"/>
      <c r="N23" s="436"/>
      <c r="O23" s="436"/>
      <c r="P23" s="436"/>
      <c r="Q23" s="436"/>
      <c r="R23" s="436"/>
      <c r="S23" s="106"/>
      <c r="U23" s="380"/>
      <c r="V23" s="382"/>
      <c r="W23" s="382"/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3"/>
    </row>
    <row r="24" spans="2:34" ht="22.95" customHeight="1">
      <c r="B24" s="117"/>
      <c r="C24" s="433"/>
      <c r="D24" s="434" t="s">
        <v>629</v>
      </c>
      <c r="E24" s="435">
        <v>2018</v>
      </c>
      <c r="F24" s="435">
        <v>2018</v>
      </c>
      <c r="G24" s="436">
        <v>100000</v>
      </c>
      <c r="H24" s="436"/>
      <c r="I24" s="436">
        <v>100000</v>
      </c>
      <c r="J24" s="436"/>
      <c r="K24" s="436"/>
      <c r="L24" s="436"/>
      <c r="M24" s="436"/>
      <c r="N24" s="436"/>
      <c r="O24" s="436"/>
      <c r="P24" s="436"/>
      <c r="Q24" s="436"/>
      <c r="R24" s="436"/>
      <c r="S24" s="106"/>
      <c r="U24" s="380"/>
      <c r="V24" s="382"/>
      <c r="W24" s="382"/>
      <c r="X24" s="382"/>
      <c r="Y24" s="382"/>
      <c r="Z24" s="382"/>
      <c r="AA24" s="382"/>
      <c r="AB24" s="382"/>
      <c r="AC24" s="382"/>
      <c r="AD24" s="382"/>
      <c r="AE24" s="382"/>
      <c r="AF24" s="382"/>
      <c r="AG24" s="382"/>
      <c r="AH24" s="383"/>
    </row>
    <row r="25" spans="2:34" ht="22.95" customHeight="1">
      <c r="B25" s="117"/>
      <c r="C25" s="433"/>
      <c r="D25" s="434" t="s">
        <v>913</v>
      </c>
      <c r="E25" s="435">
        <v>2018</v>
      </c>
      <c r="F25" s="435">
        <v>2018</v>
      </c>
      <c r="G25" s="436">
        <v>130000</v>
      </c>
      <c r="H25" s="436"/>
      <c r="I25" s="436">
        <v>130000</v>
      </c>
      <c r="J25" s="436"/>
      <c r="K25" s="436"/>
      <c r="L25" s="436"/>
      <c r="M25" s="436"/>
      <c r="N25" s="436"/>
      <c r="O25" s="436"/>
      <c r="P25" s="436"/>
      <c r="Q25" s="436"/>
      <c r="R25" s="436"/>
      <c r="S25" s="106"/>
      <c r="U25" s="380"/>
      <c r="V25" s="382"/>
      <c r="W25" s="382"/>
      <c r="X25" s="382"/>
      <c r="Y25" s="382"/>
      <c r="Z25" s="382"/>
      <c r="AA25" s="382"/>
      <c r="AB25" s="382"/>
      <c r="AC25" s="382"/>
      <c r="AD25" s="382"/>
      <c r="AE25" s="382"/>
      <c r="AF25" s="382"/>
      <c r="AG25" s="382"/>
      <c r="AH25" s="383"/>
    </row>
    <row r="26" spans="2:34" ht="22.95" customHeight="1">
      <c r="B26" s="117"/>
      <c r="C26" s="433"/>
      <c r="D26" s="434" t="s">
        <v>910</v>
      </c>
      <c r="E26" s="435">
        <v>2018</v>
      </c>
      <c r="F26" s="435">
        <v>2018</v>
      </c>
      <c r="G26" s="436">
        <f>200000-2305.77</f>
        <v>197694.23</v>
      </c>
      <c r="H26" s="436"/>
      <c r="I26" s="436">
        <f>200000-2305.77</f>
        <v>197694.23</v>
      </c>
      <c r="J26" s="436"/>
      <c r="K26" s="436"/>
      <c r="L26" s="436"/>
      <c r="M26" s="436"/>
      <c r="N26" s="436"/>
      <c r="O26" s="436"/>
      <c r="P26" s="436"/>
      <c r="Q26" s="436"/>
      <c r="R26" s="436"/>
      <c r="S26" s="106"/>
      <c r="U26" s="380"/>
      <c r="V26" s="382"/>
      <c r="W26" s="382"/>
      <c r="X26" s="382"/>
      <c r="Y26" s="382"/>
      <c r="Z26" s="382"/>
      <c r="AA26" s="382"/>
      <c r="AB26" s="382"/>
      <c r="AC26" s="382"/>
      <c r="AD26" s="382"/>
      <c r="AE26" s="382"/>
      <c r="AF26" s="382"/>
      <c r="AG26" s="382"/>
      <c r="AH26" s="383"/>
    </row>
    <row r="27" spans="2:34" ht="22.95" customHeight="1">
      <c r="B27" s="117"/>
      <c r="C27" s="433"/>
      <c r="D27" s="434"/>
      <c r="E27" s="435"/>
      <c r="F27" s="435"/>
      <c r="G27" s="436"/>
      <c r="H27" s="436"/>
      <c r="I27" s="436"/>
      <c r="J27" s="436"/>
      <c r="K27" s="436"/>
      <c r="L27" s="436"/>
      <c r="M27" s="436"/>
      <c r="N27" s="436"/>
      <c r="O27" s="436"/>
      <c r="P27" s="436"/>
      <c r="Q27" s="436"/>
      <c r="R27" s="436"/>
      <c r="S27" s="106"/>
      <c r="U27" s="380"/>
      <c r="V27" s="382"/>
      <c r="W27" s="382"/>
      <c r="X27" s="382"/>
      <c r="Y27" s="382"/>
      <c r="Z27" s="382"/>
      <c r="AA27" s="382"/>
      <c r="AB27" s="382"/>
      <c r="AC27" s="382"/>
      <c r="AD27" s="382"/>
      <c r="AE27" s="382"/>
      <c r="AF27" s="382"/>
      <c r="AG27" s="382"/>
      <c r="AH27" s="383"/>
    </row>
    <row r="28" spans="2:34" ht="22.95" customHeight="1">
      <c r="B28" s="117"/>
      <c r="C28" s="433"/>
      <c r="D28" s="434"/>
      <c r="E28" s="435"/>
      <c r="F28" s="435"/>
      <c r="G28" s="436"/>
      <c r="H28" s="436"/>
      <c r="I28" s="436"/>
      <c r="J28" s="436"/>
      <c r="K28" s="436"/>
      <c r="L28" s="436"/>
      <c r="M28" s="436"/>
      <c r="N28" s="436"/>
      <c r="O28" s="436"/>
      <c r="P28" s="436"/>
      <c r="Q28" s="436"/>
      <c r="R28" s="436"/>
      <c r="S28" s="106"/>
      <c r="U28" s="380"/>
      <c r="V28" s="382"/>
      <c r="W28" s="382"/>
      <c r="X28" s="382"/>
      <c r="Y28" s="382"/>
      <c r="Z28" s="382"/>
      <c r="AA28" s="382"/>
      <c r="AB28" s="382"/>
      <c r="AC28" s="382"/>
      <c r="AD28" s="382"/>
      <c r="AE28" s="382"/>
      <c r="AF28" s="382"/>
      <c r="AG28" s="382"/>
      <c r="AH28" s="383"/>
    </row>
    <row r="29" spans="2:34" ht="22.95" customHeight="1">
      <c r="B29" s="117"/>
      <c r="C29" s="433"/>
      <c r="D29" s="434"/>
      <c r="E29" s="435"/>
      <c r="F29" s="435"/>
      <c r="G29" s="436"/>
      <c r="H29" s="436"/>
      <c r="I29" s="436"/>
      <c r="J29" s="436"/>
      <c r="K29" s="436"/>
      <c r="L29" s="436"/>
      <c r="M29" s="436"/>
      <c r="N29" s="436"/>
      <c r="O29" s="436"/>
      <c r="P29" s="436"/>
      <c r="Q29" s="436"/>
      <c r="R29" s="436"/>
      <c r="S29" s="106"/>
      <c r="U29" s="380"/>
      <c r="V29" s="382"/>
      <c r="W29" s="382"/>
      <c r="X29" s="382"/>
      <c r="Y29" s="382"/>
      <c r="Z29" s="382"/>
      <c r="AA29" s="382"/>
      <c r="AB29" s="382"/>
      <c r="AC29" s="382"/>
      <c r="AD29" s="382"/>
      <c r="AE29" s="382"/>
      <c r="AF29" s="382"/>
      <c r="AG29" s="382"/>
      <c r="AH29" s="383"/>
    </row>
    <row r="30" spans="2:34" ht="22.95" customHeight="1">
      <c r="B30" s="117"/>
      <c r="C30" s="433"/>
      <c r="D30" s="434"/>
      <c r="E30" s="435"/>
      <c r="F30" s="435"/>
      <c r="G30" s="436"/>
      <c r="H30" s="436"/>
      <c r="I30" s="436"/>
      <c r="J30" s="436"/>
      <c r="K30" s="436"/>
      <c r="L30" s="436"/>
      <c r="M30" s="436"/>
      <c r="N30" s="436"/>
      <c r="O30" s="436"/>
      <c r="P30" s="436"/>
      <c r="Q30" s="436"/>
      <c r="R30" s="436"/>
      <c r="S30" s="106"/>
      <c r="U30" s="380"/>
      <c r="V30" s="382"/>
      <c r="W30" s="382"/>
      <c r="X30" s="382"/>
      <c r="Y30" s="382"/>
      <c r="Z30" s="382"/>
      <c r="AA30" s="382"/>
      <c r="AB30" s="382"/>
      <c r="AC30" s="382"/>
      <c r="AD30" s="382"/>
      <c r="AE30" s="382"/>
      <c r="AF30" s="382"/>
      <c r="AG30" s="382"/>
      <c r="AH30" s="383"/>
    </row>
    <row r="31" spans="2:34" ht="22.95" customHeight="1">
      <c r="B31" s="117"/>
      <c r="C31" s="433"/>
      <c r="D31" s="434"/>
      <c r="E31" s="435"/>
      <c r="F31" s="435"/>
      <c r="G31" s="436"/>
      <c r="H31" s="436"/>
      <c r="I31" s="436"/>
      <c r="J31" s="436"/>
      <c r="K31" s="436"/>
      <c r="L31" s="436"/>
      <c r="M31" s="436"/>
      <c r="N31" s="436"/>
      <c r="O31" s="436"/>
      <c r="P31" s="436"/>
      <c r="Q31" s="436"/>
      <c r="R31" s="436"/>
      <c r="S31" s="106"/>
      <c r="U31" s="390"/>
      <c r="V31" s="391"/>
      <c r="W31" s="391"/>
      <c r="X31" s="391"/>
      <c r="Y31" s="391"/>
      <c r="Z31" s="391"/>
      <c r="AA31" s="391"/>
      <c r="AB31" s="391"/>
      <c r="AC31" s="391"/>
      <c r="AD31" s="391"/>
      <c r="AE31" s="391"/>
      <c r="AF31" s="391"/>
      <c r="AG31" s="391"/>
      <c r="AH31" s="392"/>
    </row>
    <row r="32" spans="2:34" ht="22.95" customHeight="1">
      <c r="B32" s="117"/>
      <c r="C32" s="433"/>
      <c r="D32" s="434"/>
      <c r="E32" s="435"/>
      <c r="F32" s="435"/>
      <c r="G32" s="436"/>
      <c r="H32" s="436"/>
      <c r="I32" s="436"/>
      <c r="J32" s="436"/>
      <c r="K32" s="436"/>
      <c r="L32" s="436"/>
      <c r="M32" s="436"/>
      <c r="N32" s="436"/>
      <c r="O32" s="436"/>
      <c r="P32" s="436"/>
      <c r="Q32" s="436"/>
      <c r="R32" s="436"/>
      <c r="S32" s="106"/>
      <c r="U32" s="390"/>
      <c r="V32" s="391"/>
      <c r="W32" s="391"/>
      <c r="X32" s="391"/>
      <c r="Y32" s="391"/>
      <c r="Z32" s="391"/>
      <c r="AA32" s="391"/>
      <c r="AB32" s="391"/>
      <c r="AC32" s="391"/>
      <c r="AD32" s="391"/>
      <c r="AE32" s="391"/>
      <c r="AF32" s="391"/>
      <c r="AG32" s="391"/>
      <c r="AH32" s="392"/>
    </row>
    <row r="33" spans="2:34" ht="22.95" customHeight="1">
      <c r="B33" s="117"/>
      <c r="C33" s="433"/>
      <c r="D33" s="434"/>
      <c r="E33" s="435"/>
      <c r="F33" s="435"/>
      <c r="G33" s="436"/>
      <c r="H33" s="436"/>
      <c r="I33" s="436"/>
      <c r="J33" s="436"/>
      <c r="K33" s="436"/>
      <c r="L33" s="436"/>
      <c r="M33" s="436"/>
      <c r="N33" s="436"/>
      <c r="O33" s="436"/>
      <c r="P33" s="436"/>
      <c r="Q33" s="436"/>
      <c r="R33" s="436"/>
      <c r="S33" s="106"/>
      <c r="U33" s="380"/>
      <c r="V33" s="382"/>
      <c r="W33" s="382"/>
      <c r="X33" s="382"/>
      <c r="Y33" s="382"/>
      <c r="Z33" s="382"/>
      <c r="AA33" s="382"/>
      <c r="AB33" s="382"/>
      <c r="AC33" s="382"/>
      <c r="AD33" s="382"/>
      <c r="AE33" s="382"/>
      <c r="AF33" s="382"/>
      <c r="AG33" s="382"/>
      <c r="AH33" s="383"/>
    </row>
    <row r="34" spans="2:34" ht="22.95" customHeight="1">
      <c r="B34" s="117"/>
      <c r="C34" s="433"/>
      <c r="D34" s="434"/>
      <c r="E34" s="435"/>
      <c r="F34" s="435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  <c r="S34" s="106"/>
      <c r="U34" s="380"/>
      <c r="V34" s="382"/>
      <c r="W34" s="382"/>
      <c r="X34" s="382"/>
      <c r="Y34" s="382"/>
      <c r="Z34" s="382"/>
      <c r="AA34" s="382"/>
      <c r="AB34" s="382"/>
      <c r="AC34" s="382"/>
      <c r="AD34" s="382"/>
      <c r="AE34" s="382"/>
      <c r="AF34" s="382"/>
      <c r="AG34" s="382"/>
      <c r="AH34" s="383"/>
    </row>
    <row r="35" spans="2:34" ht="22.95" customHeight="1">
      <c r="B35" s="117"/>
      <c r="C35" s="433"/>
      <c r="D35" s="434"/>
      <c r="E35" s="435"/>
      <c r="F35" s="435"/>
      <c r="G35" s="436"/>
      <c r="H35" s="436"/>
      <c r="I35" s="436"/>
      <c r="J35" s="436"/>
      <c r="K35" s="436"/>
      <c r="L35" s="436"/>
      <c r="M35" s="436"/>
      <c r="N35" s="436"/>
      <c r="O35" s="436"/>
      <c r="P35" s="436"/>
      <c r="Q35" s="436"/>
      <c r="R35" s="436"/>
      <c r="S35" s="106"/>
      <c r="U35" s="380"/>
      <c r="V35" s="382"/>
      <c r="W35" s="382"/>
      <c r="X35" s="382"/>
      <c r="Y35" s="382"/>
      <c r="Z35" s="382"/>
      <c r="AA35" s="382"/>
      <c r="AB35" s="382"/>
      <c r="AC35" s="382"/>
      <c r="AD35" s="382"/>
      <c r="AE35" s="382"/>
      <c r="AF35" s="382"/>
      <c r="AG35" s="382"/>
      <c r="AH35" s="383"/>
    </row>
    <row r="36" spans="2:34" ht="22.95" customHeight="1">
      <c r="B36" s="117"/>
      <c r="C36" s="433"/>
      <c r="D36" s="434"/>
      <c r="E36" s="435"/>
      <c r="F36" s="435"/>
      <c r="G36" s="436"/>
      <c r="H36" s="436"/>
      <c r="I36" s="436"/>
      <c r="J36" s="436"/>
      <c r="K36" s="436"/>
      <c r="L36" s="436"/>
      <c r="M36" s="436"/>
      <c r="N36" s="436"/>
      <c r="O36" s="436"/>
      <c r="P36" s="436"/>
      <c r="Q36" s="436"/>
      <c r="R36" s="436"/>
      <c r="S36" s="106"/>
      <c r="U36" s="380"/>
      <c r="V36" s="382"/>
      <c r="W36" s="382"/>
      <c r="X36" s="382"/>
      <c r="Y36" s="382"/>
      <c r="Z36" s="382"/>
      <c r="AA36" s="382"/>
      <c r="AB36" s="382"/>
      <c r="AC36" s="382"/>
      <c r="AD36" s="382"/>
      <c r="AE36" s="382"/>
      <c r="AF36" s="382"/>
      <c r="AG36" s="382"/>
      <c r="AH36" s="383"/>
    </row>
    <row r="37" spans="2:34" ht="22.95" customHeight="1">
      <c r="B37" s="117"/>
      <c r="C37" s="433"/>
      <c r="D37" s="434"/>
      <c r="E37" s="435"/>
      <c r="F37" s="435"/>
      <c r="G37" s="436"/>
      <c r="H37" s="436"/>
      <c r="I37" s="436"/>
      <c r="J37" s="436"/>
      <c r="K37" s="436"/>
      <c r="L37" s="436"/>
      <c r="M37" s="436"/>
      <c r="N37" s="436"/>
      <c r="O37" s="436"/>
      <c r="P37" s="436"/>
      <c r="Q37" s="436"/>
      <c r="R37" s="436"/>
      <c r="S37" s="106"/>
      <c r="U37" s="393"/>
      <c r="V37" s="394"/>
      <c r="W37" s="394"/>
      <c r="X37" s="394"/>
      <c r="Y37" s="394"/>
      <c r="Z37" s="394"/>
      <c r="AA37" s="394"/>
      <c r="AB37" s="394"/>
      <c r="AC37" s="394"/>
      <c r="AD37" s="394"/>
      <c r="AE37" s="394"/>
      <c r="AF37" s="394"/>
      <c r="AG37" s="394"/>
      <c r="AH37" s="395"/>
    </row>
    <row r="38" spans="2:34" ht="22.95" customHeight="1">
      <c r="B38" s="117"/>
      <c r="C38" s="433"/>
      <c r="D38" s="434"/>
      <c r="E38" s="435"/>
      <c r="F38" s="435"/>
      <c r="G38" s="436"/>
      <c r="H38" s="436"/>
      <c r="I38" s="436"/>
      <c r="J38" s="436"/>
      <c r="K38" s="436"/>
      <c r="L38" s="436"/>
      <c r="M38" s="436"/>
      <c r="N38" s="436"/>
      <c r="O38" s="436"/>
      <c r="P38" s="436"/>
      <c r="Q38" s="436"/>
      <c r="R38" s="436"/>
      <c r="S38" s="106"/>
      <c r="U38" s="393"/>
      <c r="V38" s="394"/>
      <c r="W38" s="394"/>
      <c r="X38" s="394"/>
      <c r="Y38" s="394"/>
      <c r="Z38" s="394"/>
      <c r="AA38" s="394"/>
      <c r="AB38" s="394"/>
      <c r="AC38" s="394"/>
      <c r="AD38" s="394"/>
      <c r="AE38" s="394"/>
      <c r="AF38" s="394"/>
      <c r="AG38" s="394"/>
      <c r="AH38" s="395"/>
    </row>
    <row r="39" spans="2:34" ht="22.95" customHeight="1">
      <c r="B39" s="117"/>
      <c r="C39" s="433"/>
      <c r="D39" s="434"/>
      <c r="E39" s="435"/>
      <c r="F39" s="435"/>
      <c r="G39" s="436"/>
      <c r="H39" s="436"/>
      <c r="I39" s="436"/>
      <c r="J39" s="436"/>
      <c r="K39" s="436"/>
      <c r="L39" s="436"/>
      <c r="M39" s="436"/>
      <c r="N39" s="436"/>
      <c r="O39" s="436"/>
      <c r="P39" s="436"/>
      <c r="Q39" s="436"/>
      <c r="R39" s="436"/>
      <c r="S39" s="106"/>
      <c r="U39" s="393"/>
      <c r="V39" s="394"/>
      <c r="W39" s="394"/>
      <c r="X39" s="394"/>
      <c r="Y39" s="394"/>
      <c r="Z39" s="394"/>
      <c r="AA39" s="394"/>
      <c r="AB39" s="394"/>
      <c r="AC39" s="394"/>
      <c r="AD39" s="394"/>
      <c r="AE39" s="394"/>
      <c r="AF39" s="394"/>
      <c r="AG39" s="394"/>
      <c r="AH39" s="395"/>
    </row>
    <row r="40" spans="2:34" ht="22.95" customHeight="1">
      <c r="B40" s="117"/>
      <c r="C40" s="433"/>
      <c r="D40" s="434"/>
      <c r="E40" s="435"/>
      <c r="F40" s="435"/>
      <c r="G40" s="436"/>
      <c r="H40" s="436"/>
      <c r="I40" s="436"/>
      <c r="J40" s="436"/>
      <c r="K40" s="436"/>
      <c r="L40" s="436"/>
      <c r="M40" s="436"/>
      <c r="N40" s="436"/>
      <c r="O40" s="436"/>
      <c r="P40" s="436"/>
      <c r="Q40" s="436"/>
      <c r="R40" s="436"/>
      <c r="S40" s="106"/>
      <c r="U40" s="393"/>
      <c r="V40" s="394"/>
      <c r="W40" s="394"/>
      <c r="X40" s="394"/>
      <c r="Y40" s="394"/>
      <c r="Z40" s="394"/>
      <c r="AA40" s="394"/>
      <c r="AB40" s="394"/>
      <c r="AC40" s="394"/>
      <c r="AD40" s="394"/>
      <c r="AE40" s="394"/>
      <c r="AF40" s="394"/>
      <c r="AG40" s="394"/>
      <c r="AH40" s="395"/>
    </row>
    <row r="41" spans="2:34" ht="22.95" customHeight="1">
      <c r="B41" s="117"/>
      <c r="C41" s="433"/>
      <c r="D41" s="434"/>
      <c r="E41" s="435"/>
      <c r="F41" s="435"/>
      <c r="G41" s="436"/>
      <c r="H41" s="436"/>
      <c r="I41" s="436"/>
      <c r="J41" s="436"/>
      <c r="K41" s="436"/>
      <c r="L41" s="436"/>
      <c r="M41" s="436"/>
      <c r="N41" s="436"/>
      <c r="O41" s="436"/>
      <c r="P41" s="436"/>
      <c r="Q41" s="436"/>
      <c r="R41" s="436"/>
      <c r="S41" s="106"/>
      <c r="U41" s="393"/>
      <c r="V41" s="394"/>
      <c r="W41" s="394"/>
      <c r="X41" s="394"/>
      <c r="Y41" s="394"/>
      <c r="Z41" s="394"/>
      <c r="AA41" s="394"/>
      <c r="AB41" s="394"/>
      <c r="AC41" s="394"/>
      <c r="AD41" s="394"/>
      <c r="AE41" s="394"/>
      <c r="AF41" s="394"/>
      <c r="AG41" s="394"/>
      <c r="AH41" s="395"/>
    </row>
    <row r="42" spans="2:34" ht="22.95" customHeight="1">
      <c r="B42" s="117"/>
      <c r="C42" s="433"/>
      <c r="D42" s="434"/>
      <c r="E42" s="435"/>
      <c r="F42" s="435"/>
      <c r="G42" s="436"/>
      <c r="H42" s="436"/>
      <c r="I42" s="436"/>
      <c r="J42" s="436"/>
      <c r="K42" s="436"/>
      <c r="L42" s="436"/>
      <c r="M42" s="436"/>
      <c r="N42" s="436"/>
      <c r="O42" s="436"/>
      <c r="P42" s="436"/>
      <c r="Q42" s="436"/>
      <c r="R42" s="436"/>
      <c r="S42" s="106"/>
      <c r="U42" s="393"/>
      <c r="V42" s="394"/>
      <c r="W42" s="394"/>
      <c r="X42" s="394"/>
      <c r="Y42" s="394"/>
      <c r="Z42" s="394"/>
      <c r="AA42" s="394"/>
      <c r="AB42" s="394"/>
      <c r="AC42" s="394"/>
      <c r="AD42" s="394"/>
      <c r="AE42" s="394"/>
      <c r="AF42" s="394"/>
      <c r="AG42" s="394"/>
      <c r="AH42" s="395"/>
    </row>
    <row r="43" spans="2:34" ht="22.95" customHeight="1">
      <c r="B43" s="117"/>
      <c r="C43" s="433"/>
      <c r="D43" s="434"/>
      <c r="E43" s="435"/>
      <c r="F43" s="435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106"/>
      <c r="U43" s="393"/>
      <c r="V43" s="394"/>
      <c r="W43" s="394"/>
      <c r="X43" s="394"/>
      <c r="Y43" s="394"/>
      <c r="Z43" s="394"/>
      <c r="AA43" s="394"/>
      <c r="AB43" s="394"/>
      <c r="AC43" s="394"/>
      <c r="AD43" s="394"/>
      <c r="AE43" s="394"/>
      <c r="AF43" s="394"/>
      <c r="AG43" s="394"/>
      <c r="AH43" s="395"/>
    </row>
    <row r="44" spans="2:34" ht="22.95" customHeight="1">
      <c r="B44" s="117"/>
      <c r="C44" s="433"/>
      <c r="D44" s="434"/>
      <c r="E44" s="435"/>
      <c r="F44" s="435"/>
      <c r="G44" s="436"/>
      <c r="H44" s="436"/>
      <c r="I44" s="436"/>
      <c r="J44" s="436"/>
      <c r="K44" s="436"/>
      <c r="L44" s="436"/>
      <c r="M44" s="436"/>
      <c r="N44" s="436"/>
      <c r="O44" s="436"/>
      <c r="P44" s="436"/>
      <c r="Q44" s="436"/>
      <c r="R44" s="436"/>
      <c r="S44" s="106"/>
      <c r="U44" s="393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394"/>
      <c r="AG44" s="394"/>
      <c r="AH44" s="395"/>
    </row>
    <row r="45" spans="2:34" ht="22.95" customHeight="1">
      <c r="B45" s="117"/>
      <c r="C45" s="433"/>
      <c r="D45" s="434"/>
      <c r="E45" s="435"/>
      <c r="F45" s="435"/>
      <c r="G45" s="436"/>
      <c r="H45" s="436"/>
      <c r="I45" s="436"/>
      <c r="J45" s="436"/>
      <c r="K45" s="436"/>
      <c r="L45" s="436"/>
      <c r="M45" s="436"/>
      <c r="N45" s="436"/>
      <c r="O45" s="436"/>
      <c r="P45" s="436"/>
      <c r="Q45" s="436"/>
      <c r="R45" s="436"/>
      <c r="S45" s="106"/>
      <c r="U45" s="393"/>
      <c r="V45" s="394"/>
      <c r="W45" s="394"/>
      <c r="X45" s="394"/>
      <c r="Y45" s="394"/>
      <c r="Z45" s="394"/>
      <c r="AA45" s="394"/>
      <c r="AB45" s="394"/>
      <c r="AC45" s="394"/>
      <c r="AD45" s="394"/>
      <c r="AE45" s="394"/>
      <c r="AF45" s="394"/>
      <c r="AG45" s="394"/>
      <c r="AH45" s="395"/>
    </row>
    <row r="46" spans="2:34" ht="22.95" customHeight="1">
      <c r="B46" s="117"/>
      <c r="C46" s="433"/>
      <c r="D46" s="434"/>
      <c r="E46" s="435"/>
      <c r="F46" s="435"/>
      <c r="G46" s="436"/>
      <c r="H46" s="436"/>
      <c r="I46" s="436"/>
      <c r="J46" s="436"/>
      <c r="K46" s="436"/>
      <c r="L46" s="436"/>
      <c r="M46" s="436"/>
      <c r="N46" s="436"/>
      <c r="O46" s="436"/>
      <c r="P46" s="436"/>
      <c r="Q46" s="436"/>
      <c r="R46" s="436"/>
      <c r="S46" s="106"/>
      <c r="U46" s="393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5"/>
    </row>
    <row r="47" spans="2:34" s="129" customFormat="1" ht="22.95" customHeight="1" thickBot="1">
      <c r="B47" s="117"/>
      <c r="C47" s="1029" t="s">
        <v>491</v>
      </c>
      <c r="D47" s="1030"/>
      <c r="E47" s="126">
        <f>MIN(E16:E46)</f>
        <v>2016</v>
      </c>
      <c r="F47" s="126">
        <f>MAX(F16:F46)</f>
        <v>2018</v>
      </c>
      <c r="G47" s="127">
        <f t="shared" ref="G47:R47" si="0">SUM(G16:G46)</f>
        <v>71593584.460000008</v>
      </c>
      <c r="H47" s="127">
        <f t="shared" si="0"/>
        <v>5854892.8399999999</v>
      </c>
      <c r="I47" s="127">
        <f t="shared" si="0"/>
        <v>65738691.619999997</v>
      </c>
      <c r="J47" s="127">
        <f t="shared" si="0"/>
        <v>0</v>
      </c>
      <c r="K47" s="127">
        <f t="shared" si="0"/>
        <v>0</v>
      </c>
      <c r="L47" s="127">
        <f t="shared" si="0"/>
        <v>0</v>
      </c>
      <c r="M47" s="127">
        <f t="shared" si="0"/>
        <v>0</v>
      </c>
      <c r="N47" s="127">
        <f t="shared" si="0"/>
        <v>0</v>
      </c>
      <c r="O47" s="127">
        <f t="shared" si="0"/>
        <v>0</v>
      </c>
      <c r="P47" s="127">
        <f t="shared" si="0"/>
        <v>0</v>
      </c>
      <c r="Q47" s="127">
        <f t="shared" si="0"/>
        <v>0</v>
      </c>
      <c r="R47" s="127">
        <f t="shared" si="0"/>
        <v>0</v>
      </c>
      <c r="S47" s="128"/>
      <c r="U47" s="393"/>
      <c r="V47" s="394"/>
      <c r="W47" s="394"/>
      <c r="X47" s="394"/>
      <c r="Y47" s="394"/>
      <c r="Z47" s="394"/>
      <c r="AA47" s="394"/>
      <c r="AB47" s="394"/>
      <c r="AC47" s="394"/>
      <c r="AD47" s="394"/>
      <c r="AE47" s="394"/>
      <c r="AF47" s="394"/>
      <c r="AG47" s="394"/>
      <c r="AH47" s="395"/>
    </row>
    <row r="48" spans="2:34" s="129" customFormat="1" ht="22.95" customHeight="1">
      <c r="B48" s="117"/>
      <c r="C48" s="788"/>
      <c r="D48" s="788"/>
      <c r="E48" s="789"/>
      <c r="F48" s="789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128"/>
      <c r="U48" s="393"/>
      <c r="V48" s="394"/>
      <c r="W48" s="394"/>
      <c r="X48" s="394"/>
      <c r="Y48" s="394"/>
      <c r="Z48" s="394"/>
      <c r="AA48" s="394"/>
      <c r="AB48" s="394"/>
      <c r="AC48" s="394"/>
      <c r="AD48" s="394"/>
      <c r="AE48" s="394"/>
      <c r="AF48" s="394"/>
      <c r="AG48" s="394"/>
      <c r="AH48" s="395"/>
    </row>
    <row r="49" spans="2:34" s="129" customFormat="1" ht="22.95" customHeight="1">
      <c r="B49" s="117"/>
      <c r="C49" s="790" t="s">
        <v>892</v>
      </c>
      <c r="D49" s="788"/>
      <c r="E49" s="789"/>
      <c r="F49" s="789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128"/>
      <c r="U49" s="393"/>
      <c r="V49" s="394"/>
      <c r="W49" s="394"/>
      <c r="X49" s="394"/>
      <c r="Y49" s="394"/>
      <c r="Z49" s="394"/>
      <c r="AA49" s="394"/>
      <c r="AB49" s="394"/>
      <c r="AC49" s="394"/>
      <c r="AD49" s="394"/>
      <c r="AE49" s="394"/>
      <c r="AF49" s="394"/>
      <c r="AG49" s="394"/>
      <c r="AH49" s="395"/>
    </row>
    <row r="50" spans="2:34" s="129" customFormat="1" ht="22.95" customHeight="1">
      <c r="B50" s="117"/>
      <c r="C50" s="791" t="s">
        <v>893</v>
      </c>
      <c r="D50" s="788"/>
      <c r="E50" s="789"/>
      <c r="F50" s="792">
        <f>ejercicio-1</f>
        <v>2017</v>
      </c>
      <c r="G50" s="793" t="s">
        <v>894</v>
      </c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128"/>
      <c r="U50" s="393"/>
      <c r="V50" s="394"/>
      <c r="W50" s="394"/>
      <c r="X50" s="394"/>
      <c r="Y50" s="394"/>
      <c r="Z50" s="394"/>
      <c r="AA50" s="394"/>
      <c r="AB50" s="394"/>
      <c r="AC50" s="394"/>
      <c r="AD50" s="394"/>
      <c r="AE50" s="394"/>
      <c r="AF50" s="394"/>
      <c r="AG50" s="394"/>
      <c r="AH50" s="395"/>
    </row>
    <row r="51" spans="2:34" s="129" customFormat="1" ht="22.95" customHeight="1">
      <c r="B51" s="117"/>
      <c r="C51" s="794" t="s">
        <v>895</v>
      </c>
      <c r="D51" s="788"/>
      <c r="E51" s="789"/>
      <c r="F51" s="789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128"/>
      <c r="U51" s="393"/>
      <c r="V51" s="394"/>
      <c r="W51" s="394"/>
      <c r="X51" s="394"/>
      <c r="Y51" s="394"/>
      <c r="Z51" s="394"/>
      <c r="AA51" s="394"/>
      <c r="AB51" s="394"/>
      <c r="AC51" s="394"/>
      <c r="AD51" s="394"/>
      <c r="AE51" s="394"/>
      <c r="AF51" s="394"/>
      <c r="AG51" s="394"/>
      <c r="AH51" s="395"/>
    </row>
    <row r="52" spans="2:34" s="129" customFormat="1" ht="22.95" customHeight="1">
      <c r="B52" s="117"/>
      <c r="C52" s="791" t="s">
        <v>898</v>
      </c>
      <c r="D52" s="788"/>
      <c r="E52" s="789"/>
      <c r="F52" s="789"/>
      <c r="G52" s="792">
        <f>ejercicio-1</f>
        <v>2017</v>
      </c>
      <c r="H52" s="793" t="s">
        <v>899</v>
      </c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128"/>
      <c r="U52" s="393"/>
      <c r="V52" s="394"/>
      <c r="W52" s="394"/>
      <c r="X52" s="394"/>
      <c r="Y52" s="394"/>
      <c r="Z52" s="394"/>
      <c r="AA52" s="394"/>
      <c r="AB52" s="394"/>
      <c r="AC52" s="394"/>
      <c r="AD52" s="394"/>
      <c r="AE52" s="394"/>
      <c r="AF52" s="394"/>
      <c r="AG52" s="394"/>
      <c r="AH52" s="395"/>
    </row>
    <row r="53" spans="2:34" s="129" customFormat="1" ht="22.95" customHeight="1">
      <c r="B53" s="117"/>
      <c r="C53" s="791" t="s">
        <v>914</v>
      </c>
      <c r="D53" s="788"/>
      <c r="E53" s="789"/>
      <c r="F53" s="789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128"/>
      <c r="U53" s="393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5"/>
    </row>
    <row r="54" spans="2:34" s="129" customFormat="1" ht="22.95" customHeight="1">
      <c r="B54" s="117"/>
      <c r="C54" s="791" t="s">
        <v>918</v>
      </c>
      <c r="D54" s="788"/>
      <c r="E54" s="789"/>
      <c r="F54" s="789"/>
      <c r="G54" s="792">
        <f>ejercicio-1</f>
        <v>2017</v>
      </c>
      <c r="H54" s="793" t="s">
        <v>917</v>
      </c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128"/>
      <c r="U54" s="393"/>
      <c r="V54" s="394"/>
      <c r="W54" s="394"/>
      <c r="X54" s="394"/>
      <c r="Y54" s="394"/>
      <c r="Z54" s="394"/>
      <c r="AA54" s="394"/>
      <c r="AB54" s="394"/>
      <c r="AC54" s="394"/>
      <c r="AD54" s="394"/>
      <c r="AE54" s="394"/>
      <c r="AF54" s="394"/>
      <c r="AG54" s="394"/>
      <c r="AH54" s="395"/>
    </row>
    <row r="55" spans="2:34" s="129" customFormat="1" ht="22.95" customHeight="1">
      <c r="B55" s="117"/>
      <c r="C55" s="788"/>
      <c r="D55" s="788"/>
      <c r="E55" s="789"/>
      <c r="F55" s="789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128"/>
      <c r="U55" s="393"/>
      <c r="V55" s="394"/>
      <c r="W55" s="394"/>
      <c r="X55" s="394"/>
      <c r="Y55" s="394"/>
      <c r="Z55" s="394"/>
      <c r="AA55" s="394"/>
      <c r="AB55" s="394"/>
      <c r="AC55" s="394"/>
      <c r="AD55" s="394"/>
      <c r="AE55" s="394"/>
      <c r="AF55" s="394"/>
      <c r="AG55" s="394"/>
      <c r="AH55" s="395"/>
    </row>
    <row r="56" spans="2:34" ht="22.95" customHeight="1" thickBot="1">
      <c r="B56" s="121"/>
      <c r="C56" s="1003"/>
      <c r="D56" s="1003"/>
      <c r="E56" s="1003"/>
      <c r="F56" s="100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122"/>
      <c r="S56" s="123"/>
      <c r="U56" s="396"/>
      <c r="V56" s="397"/>
      <c r="W56" s="397"/>
      <c r="X56" s="397"/>
      <c r="Y56" s="397"/>
      <c r="Z56" s="397"/>
      <c r="AA56" s="397"/>
      <c r="AB56" s="397"/>
      <c r="AC56" s="397"/>
      <c r="AD56" s="397"/>
      <c r="AE56" s="397"/>
      <c r="AF56" s="397"/>
      <c r="AG56" s="397"/>
      <c r="AH56" s="398"/>
    </row>
    <row r="57" spans="2:34" ht="22.95" customHeight="1">
      <c r="C57" s="104"/>
      <c r="D57" s="104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</row>
    <row r="58" spans="2:34" ht="13.2">
      <c r="C58" s="124" t="s">
        <v>174</v>
      </c>
      <c r="D58" s="104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95" t="s">
        <v>143</v>
      </c>
    </row>
    <row r="59" spans="2:34" ht="13.2">
      <c r="C59" s="125" t="s">
        <v>175</v>
      </c>
      <c r="D59" s="104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</row>
    <row r="60" spans="2:34" ht="13.2">
      <c r="C60" s="125" t="s">
        <v>176</v>
      </c>
      <c r="D60" s="104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</row>
    <row r="61" spans="2:34" ht="13.2">
      <c r="C61" s="125" t="s">
        <v>177</v>
      </c>
      <c r="D61" s="104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</row>
    <row r="62" spans="2:34" ht="13.2">
      <c r="C62" s="125" t="s">
        <v>178</v>
      </c>
      <c r="D62" s="104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</row>
    <row r="63" spans="2:34" ht="22.95" customHeight="1">
      <c r="C63" s="104"/>
      <c r="D63" s="104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</row>
    <row r="64" spans="2:34" ht="22.95" customHeight="1">
      <c r="C64" s="104"/>
      <c r="D64" s="104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</row>
    <row r="65" spans="3:18" ht="22.95" customHeight="1">
      <c r="C65" s="104"/>
      <c r="D65" s="104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</row>
    <row r="66" spans="3:18" ht="22.95" customHeight="1">
      <c r="C66" s="104"/>
      <c r="D66" s="104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</row>
    <row r="67" spans="3:18" ht="22.95" customHeight="1"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</row>
  </sheetData>
  <sheetProtection password="E059" sheet="1" objects="1" scenarios="1" insertRows="0"/>
  <mergeCells count="5">
    <mergeCell ref="R6:R7"/>
    <mergeCell ref="D9:R9"/>
    <mergeCell ref="C56:F56"/>
    <mergeCell ref="I13:M13"/>
    <mergeCell ref="C47:D47"/>
  </mergeCells>
  <phoneticPr fontId="19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zoomScale="70" zoomScaleNormal="70" zoomScalePageLayoutView="125" workbookViewId="0">
      <selection activeCell="B1" sqref="B1:O53"/>
    </sheetView>
  </sheetViews>
  <sheetFormatPr baseColWidth="10" defaultColWidth="10.54296875" defaultRowHeight="22.95" customHeight="1"/>
  <cols>
    <col min="1" max="2" width="3.1796875" style="97" customWidth="1"/>
    <col min="3" max="3" width="13.54296875" style="97" customWidth="1"/>
    <col min="4" max="4" width="23.1796875" style="97" customWidth="1"/>
    <col min="5" max="12" width="13.453125" style="98" customWidth="1"/>
    <col min="13" max="13" width="14" style="98" bestFit="1" customWidth="1"/>
    <col min="14" max="14" width="40.54296875" style="98" customWidth="1"/>
    <col min="15" max="15" width="3.453125" style="97" customWidth="1"/>
    <col min="16" max="16384" width="10.54296875" style="97"/>
  </cols>
  <sheetData>
    <row r="2" spans="2:30" ht="22.95" customHeight="1">
      <c r="D2" s="63" t="s">
        <v>477</v>
      </c>
    </row>
    <row r="3" spans="2:30" ht="22.95" customHeight="1">
      <c r="D3" s="63" t="s">
        <v>478</v>
      </c>
    </row>
    <row r="4" spans="2:30" ht="22.95" customHeight="1" thickBot="1"/>
    <row r="5" spans="2:30" ht="9" customHeight="1">
      <c r="B5" s="99"/>
      <c r="C5" s="100"/>
      <c r="D5" s="100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2"/>
      <c r="Q5" s="377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9"/>
    </row>
    <row r="6" spans="2:30" ht="30" customHeight="1">
      <c r="B6" s="103"/>
      <c r="C6" s="67" t="s">
        <v>97</v>
      </c>
      <c r="D6" s="104"/>
      <c r="E6" s="105"/>
      <c r="F6" s="105"/>
      <c r="G6" s="105"/>
      <c r="H6" s="105"/>
      <c r="I6" s="105"/>
      <c r="J6" s="105"/>
      <c r="K6" s="105"/>
      <c r="L6" s="105"/>
      <c r="M6" s="105"/>
      <c r="N6" s="984">
        <f>ejercicio</f>
        <v>2018</v>
      </c>
      <c r="O6" s="106"/>
      <c r="Q6" s="380"/>
      <c r="R6" s="381" t="s">
        <v>810</v>
      </c>
      <c r="S6" s="382"/>
      <c r="T6" s="382"/>
      <c r="U6" s="382"/>
      <c r="V6" s="382"/>
      <c r="W6" s="382"/>
      <c r="X6" s="382"/>
      <c r="Y6" s="382"/>
      <c r="Z6" s="382"/>
      <c r="AA6" s="382"/>
      <c r="AB6" s="382"/>
      <c r="AC6" s="382"/>
      <c r="AD6" s="383"/>
    </row>
    <row r="7" spans="2:30" ht="30" customHeight="1">
      <c r="B7" s="103"/>
      <c r="C7" s="67" t="s">
        <v>98</v>
      </c>
      <c r="D7" s="104"/>
      <c r="E7" s="105"/>
      <c r="F7" s="105"/>
      <c r="G7" s="105"/>
      <c r="H7" s="105"/>
      <c r="I7" s="105"/>
      <c r="J7" s="105"/>
      <c r="K7" s="105"/>
      <c r="L7" s="105"/>
      <c r="M7" s="105"/>
      <c r="N7" s="984"/>
      <c r="O7" s="106"/>
      <c r="Q7" s="380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3"/>
    </row>
    <row r="8" spans="2:30" ht="30" customHeight="1">
      <c r="B8" s="103"/>
      <c r="C8" s="107"/>
      <c r="D8" s="104"/>
      <c r="E8" s="105"/>
      <c r="F8" s="105"/>
      <c r="G8" s="105"/>
      <c r="H8" s="105"/>
      <c r="I8" s="105"/>
      <c r="J8" s="105"/>
      <c r="K8" s="105"/>
      <c r="L8" s="105"/>
      <c r="M8" s="105"/>
      <c r="N8" s="108"/>
      <c r="O8" s="106"/>
      <c r="Q8" s="380"/>
      <c r="R8" s="382"/>
      <c r="S8" s="382"/>
      <c r="T8" s="382"/>
      <c r="U8" s="382"/>
      <c r="V8" s="382"/>
      <c r="W8" s="382"/>
      <c r="X8" s="382"/>
      <c r="Y8" s="382"/>
      <c r="Z8" s="382"/>
      <c r="AA8" s="382"/>
      <c r="AB8" s="382"/>
      <c r="AC8" s="382"/>
      <c r="AD8" s="383"/>
    </row>
    <row r="9" spans="2:30" s="65" customFormat="1" ht="30" customHeight="1">
      <c r="B9" s="109"/>
      <c r="C9" s="40" t="s">
        <v>99</v>
      </c>
      <c r="D9" s="1004" t="str">
        <f>Entidad</f>
        <v>INSTITUTO TECNOLÓGICO Y DE ENERGÍAS RENOVALBES S.A. (ITER)</v>
      </c>
      <c r="E9" s="1004"/>
      <c r="F9" s="1004"/>
      <c r="G9" s="1004"/>
      <c r="H9" s="1004"/>
      <c r="I9" s="1004"/>
      <c r="J9" s="1004"/>
      <c r="K9" s="1004"/>
      <c r="L9" s="1004"/>
      <c r="M9" s="1004"/>
      <c r="N9" s="1004"/>
      <c r="O9" s="110"/>
      <c r="Q9" s="384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6"/>
    </row>
    <row r="10" spans="2:30" ht="7.2" customHeight="1">
      <c r="B10" s="103"/>
      <c r="C10" s="104"/>
      <c r="D10" s="104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6"/>
      <c r="Q10" s="380"/>
      <c r="R10" s="382"/>
      <c r="S10" s="382"/>
      <c r="T10" s="382"/>
      <c r="U10" s="382"/>
      <c r="V10" s="382"/>
      <c r="W10" s="382"/>
      <c r="X10" s="382"/>
      <c r="Y10" s="382"/>
      <c r="Z10" s="382"/>
      <c r="AA10" s="382"/>
      <c r="AB10" s="382"/>
      <c r="AC10" s="382"/>
      <c r="AD10" s="383"/>
    </row>
    <row r="11" spans="2:30" s="115" customFormat="1" ht="30" customHeight="1">
      <c r="B11" s="111"/>
      <c r="C11" s="112" t="s">
        <v>518</v>
      </c>
      <c r="D11" s="112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4"/>
      <c r="Q11" s="387"/>
      <c r="R11" s="388"/>
      <c r="S11" s="388"/>
      <c r="T11" s="388"/>
      <c r="U11" s="388"/>
      <c r="V11" s="388"/>
      <c r="W11" s="388"/>
      <c r="X11" s="388"/>
      <c r="Y11" s="388"/>
      <c r="Z11" s="388"/>
      <c r="AA11" s="388"/>
      <c r="AB11" s="388"/>
      <c r="AC11" s="388"/>
      <c r="AD11" s="389"/>
    </row>
    <row r="12" spans="2:30" s="115" customFormat="1" ht="30" customHeight="1">
      <c r="B12" s="111"/>
      <c r="C12" s="116"/>
      <c r="D12" s="11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114"/>
      <c r="Q12" s="387"/>
      <c r="R12" s="388"/>
      <c r="S12" s="388"/>
      <c r="T12" s="388"/>
      <c r="U12" s="388"/>
      <c r="V12" s="388"/>
      <c r="W12" s="388"/>
      <c r="X12" s="388"/>
      <c r="Y12" s="388"/>
      <c r="Z12" s="388"/>
      <c r="AA12" s="388"/>
      <c r="AB12" s="388"/>
      <c r="AC12" s="388"/>
      <c r="AD12" s="389"/>
    </row>
    <row r="13" spans="2:30" s="119" customFormat="1" ht="22.95" customHeight="1">
      <c r="B13" s="117"/>
      <c r="C13" s="1031"/>
      <c r="D13" s="1032"/>
      <c r="E13" s="192" t="s">
        <v>515</v>
      </c>
      <c r="F13" s="1035" t="s">
        <v>505</v>
      </c>
      <c r="G13" s="1036"/>
      <c r="H13" s="1036"/>
      <c r="I13" s="1036"/>
      <c r="J13" s="1036"/>
      <c r="K13" s="1036"/>
      <c r="L13" s="1037"/>
      <c r="M13" s="192" t="s">
        <v>516</v>
      </c>
      <c r="N13" s="1033" t="s">
        <v>517</v>
      </c>
      <c r="O13" s="118"/>
      <c r="Q13" s="380"/>
      <c r="R13" s="382"/>
      <c r="S13" s="382"/>
      <c r="T13" s="382"/>
      <c r="U13" s="382"/>
      <c r="V13" s="382"/>
      <c r="W13" s="382"/>
      <c r="X13" s="382"/>
      <c r="Y13" s="382"/>
      <c r="Z13" s="382"/>
      <c r="AA13" s="382"/>
      <c r="AB13" s="382"/>
      <c r="AC13" s="382"/>
      <c r="AD13" s="383"/>
    </row>
    <row r="14" spans="2:30" ht="49.2" customHeight="1">
      <c r="B14" s="103"/>
      <c r="C14" s="201" t="s">
        <v>512</v>
      </c>
      <c r="D14" s="199">
        <f>ejercicio-1</f>
        <v>2017</v>
      </c>
      <c r="E14" s="200">
        <f>ejercicio-1</f>
        <v>2017</v>
      </c>
      <c r="F14" s="196" t="s">
        <v>507</v>
      </c>
      <c r="G14" s="197" t="s">
        <v>506</v>
      </c>
      <c r="H14" s="197" t="s">
        <v>508</v>
      </c>
      <c r="I14" s="197" t="s">
        <v>509</v>
      </c>
      <c r="J14" s="197" t="s">
        <v>510</v>
      </c>
      <c r="K14" s="197" t="s">
        <v>511</v>
      </c>
      <c r="L14" s="198" t="s">
        <v>496</v>
      </c>
      <c r="M14" s="200">
        <f>ejercicio-1</f>
        <v>2017</v>
      </c>
      <c r="N14" s="1034"/>
      <c r="O14" s="106"/>
      <c r="Q14" s="380"/>
      <c r="R14" s="382"/>
      <c r="S14" s="382"/>
      <c r="T14" s="382"/>
      <c r="U14" s="382"/>
      <c r="V14" s="382"/>
      <c r="W14" s="382"/>
      <c r="X14" s="382"/>
      <c r="Y14" s="382"/>
      <c r="Z14" s="382"/>
      <c r="AA14" s="382"/>
      <c r="AB14" s="382"/>
      <c r="AC14" s="382"/>
      <c r="AD14" s="383"/>
    </row>
    <row r="15" spans="2:30" s="120" customFormat="1" ht="22.95" customHeight="1">
      <c r="B15" s="117"/>
      <c r="C15" s="151" t="s">
        <v>498</v>
      </c>
      <c r="D15" s="152"/>
      <c r="E15" s="437">
        <v>5816771.8300000001</v>
      </c>
      <c r="F15" s="438">
        <v>11332.4</v>
      </c>
      <c r="G15" s="439"/>
      <c r="H15" s="439"/>
      <c r="I15" s="439">
        <v>-654400.98</v>
      </c>
      <c r="J15" s="439"/>
      <c r="K15" s="439"/>
      <c r="L15" s="440"/>
      <c r="M15" s="167">
        <f>SUM(E15:L15)</f>
        <v>5173703.25</v>
      </c>
      <c r="N15" s="470"/>
      <c r="O15" s="118"/>
      <c r="Q15" s="380"/>
      <c r="R15" s="382"/>
      <c r="S15" s="382"/>
      <c r="T15" s="382"/>
      <c r="U15" s="382"/>
      <c r="V15" s="382"/>
      <c r="W15" s="382"/>
      <c r="X15" s="382"/>
      <c r="Y15" s="382"/>
      <c r="Z15" s="382"/>
      <c r="AA15" s="382"/>
      <c r="AB15" s="382"/>
      <c r="AC15" s="382"/>
      <c r="AD15" s="383"/>
    </row>
    <row r="16" spans="2:30" ht="22.95" customHeight="1">
      <c r="B16" s="117"/>
      <c r="C16" s="153" t="s">
        <v>501</v>
      </c>
      <c r="D16" s="154"/>
      <c r="E16" s="441">
        <v>983156.28</v>
      </c>
      <c r="F16" s="442"/>
      <c r="G16" s="443"/>
      <c r="H16" s="443"/>
      <c r="I16" s="443"/>
      <c r="J16" s="443"/>
      <c r="K16" s="443"/>
      <c r="L16" s="444"/>
      <c r="M16" s="170">
        <f>SUM(E16:L16)</f>
        <v>983156.28</v>
      </c>
      <c r="N16" s="455"/>
      <c r="O16" s="106"/>
      <c r="Q16" s="380"/>
      <c r="R16" s="382"/>
      <c r="S16" s="382"/>
      <c r="T16" s="382"/>
      <c r="U16" s="382"/>
      <c r="V16" s="382"/>
      <c r="W16" s="382"/>
      <c r="X16" s="382"/>
      <c r="Y16" s="382"/>
      <c r="Z16" s="382"/>
      <c r="AA16" s="382"/>
      <c r="AB16" s="382"/>
      <c r="AC16" s="382"/>
      <c r="AD16" s="383"/>
    </row>
    <row r="17" spans="2:30" ht="22.95" customHeight="1">
      <c r="B17" s="117"/>
      <c r="C17" s="153" t="s">
        <v>499</v>
      </c>
      <c r="D17" s="154"/>
      <c r="E17" s="441">
        <f>60437217.36-983156.28</f>
        <v>59454061.079999998</v>
      </c>
      <c r="F17" s="442">
        <f>5080965.61+511191.66</f>
        <v>5592157.2700000005</v>
      </c>
      <c r="G17" s="443"/>
      <c r="H17" s="443"/>
      <c r="I17" s="443">
        <v>-3256299.46</v>
      </c>
      <c r="J17" s="443"/>
      <c r="K17" s="443"/>
      <c r="L17" s="444"/>
      <c r="M17" s="170">
        <f>SUM(E17:L17)</f>
        <v>61789918.890000001</v>
      </c>
      <c r="N17" s="455"/>
      <c r="O17" s="106"/>
      <c r="Q17" s="380"/>
      <c r="R17" s="382"/>
      <c r="S17" s="382"/>
      <c r="T17" s="382"/>
      <c r="U17" s="382"/>
      <c r="V17" s="382"/>
      <c r="W17" s="382"/>
      <c r="X17" s="382"/>
      <c r="Y17" s="382"/>
      <c r="Z17" s="382"/>
      <c r="AA17" s="382"/>
      <c r="AB17" s="382"/>
      <c r="AC17" s="382"/>
      <c r="AD17" s="383"/>
    </row>
    <row r="18" spans="2:30" ht="22.95" customHeight="1">
      <c r="B18" s="117"/>
      <c r="C18" s="153" t="s">
        <v>502</v>
      </c>
      <c r="D18" s="154"/>
      <c r="E18" s="441"/>
      <c r="F18" s="442"/>
      <c r="G18" s="443"/>
      <c r="H18" s="443"/>
      <c r="I18" s="443"/>
      <c r="J18" s="443"/>
      <c r="K18" s="443"/>
      <c r="L18" s="444"/>
      <c r="M18" s="170">
        <f>SUM(E18:L18)</f>
        <v>0</v>
      </c>
      <c r="N18" s="455"/>
      <c r="O18" s="106"/>
      <c r="Q18" s="380"/>
      <c r="R18" s="382"/>
      <c r="S18" s="382"/>
      <c r="T18" s="382"/>
      <c r="U18" s="382"/>
      <c r="V18" s="382"/>
      <c r="W18" s="382"/>
      <c r="X18" s="382"/>
      <c r="Y18" s="382"/>
      <c r="Z18" s="382"/>
      <c r="AA18" s="382"/>
      <c r="AB18" s="382"/>
      <c r="AC18" s="382"/>
      <c r="AD18" s="383"/>
    </row>
    <row r="19" spans="2:30" ht="22.95" customHeight="1">
      <c r="B19" s="117"/>
      <c r="C19" s="155" t="s">
        <v>500</v>
      </c>
      <c r="D19" s="156"/>
      <c r="E19" s="445"/>
      <c r="F19" s="446"/>
      <c r="G19" s="447"/>
      <c r="H19" s="447"/>
      <c r="I19" s="447"/>
      <c r="J19" s="447"/>
      <c r="K19" s="447"/>
      <c r="L19" s="448"/>
      <c r="M19" s="171">
        <f>SUM(E19:L19)</f>
        <v>0</v>
      </c>
      <c r="N19" s="496"/>
      <c r="O19" s="106"/>
      <c r="Q19" s="380"/>
      <c r="R19" s="382"/>
      <c r="S19" s="382"/>
      <c r="T19" s="382"/>
      <c r="U19" s="382"/>
      <c r="V19" s="382"/>
      <c r="W19" s="382"/>
      <c r="X19" s="382"/>
      <c r="Y19" s="382"/>
      <c r="Z19" s="382"/>
      <c r="AA19" s="382"/>
      <c r="AB19" s="382"/>
      <c r="AC19" s="382"/>
      <c r="AD19" s="383"/>
    </row>
    <row r="20" spans="2:30" ht="22.95" customHeight="1" thickBot="1">
      <c r="B20" s="117"/>
      <c r="C20" s="157" t="s">
        <v>503</v>
      </c>
      <c r="D20" s="158"/>
      <c r="E20" s="127">
        <f>SUM(E15:E19)</f>
        <v>66253989.189999998</v>
      </c>
      <c r="F20" s="127">
        <f t="shared" ref="F20:M20" si="0">SUM(F15:F19)</f>
        <v>5603489.6700000009</v>
      </c>
      <c r="G20" s="127">
        <f t="shared" si="0"/>
        <v>0</v>
      </c>
      <c r="H20" s="127">
        <f t="shared" si="0"/>
        <v>0</v>
      </c>
      <c r="I20" s="127">
        <f t="shared" si="0"/>
        <v>-3910700.44</v>
      </c>
      <c r="J20" s="127">
        <f t="shared" si="0"/>
        <v>0</v>
      </c>
      <c r="K20" s="127">
        <f t="shared" si="0"/>
        <v>0</v>
      </c>
      <c r="L20" s="127">
        <f t="shared" si="0"/>
        <v>0</v>
      </c>
      <c r="M20" s="127">
        <f t="shared" si="0"/>
        <v>67946778.420000002</v>
      </c>
      <c r="N20" s="159"/>
      <c r="O20" s="106"/>
      <c r="Q20" s="380"/>
      <c r="R20" s="382"/>
      <c r="S20" s="382"/>
      <c r="T20" s="382"/>
      <c r="U20" s="382"/>
      <c r="V20" s="382"/>
      <c r="W20" s="382"/>
      <c r="X20" s="382"/>
      <c r="Y20" s="382"/>
      <c r="Z20" s="382"/>
      <c r="AA20" s="382"/>
      <c r="AB20" s="382"/>
      <c r="AC20" s="382"/>
      <c r="AD20" s="383"/>
    </row>
    <row r="21" spans="2:30" ht="7.95" customHeight="1">
      <c r="B21" s="117"/>
      <c r="C21" s="147"/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06"/>
      <c r="Q21" s="380"/>
      <c r="R21" s="382"/>
      <c r="S21" s="382"/>
      <c r="T21" s="382"/>
      <c r="U21" s="382"/>
      <c r="V21" s="382"/>
      <c r="W21" s="382"/>
      <c r="X21" s="382"/>
      <c r="Y21" s="382"/>
      <c r="Z21" s="382"/>
      <c r="AA21" s="382"/>
      <c r="AB21" s="382"/>
      <c r="AC21" s="382"/>
      <c r="AD21" s="383"/>
    </row>
    <row r="22" spans="2:30" ht="22.95" customHeight="1" thickBot="1">
      <c r="B22" s="117"/>
      <c r="C22" s="161" t="s">
        <v>504</v>
      </c>
      <c r="D22" s="162"/>
      <c r="E22" s="512">
        <v>1226365.92</v>
      </c>
      <c r="F22" s="513"/>
      <c r="G22" s="514"/>
      <c r="H22" s="514"/>
      <c r="I22" s="514"/>
      <c r="J22" s="514"/>
      <c r="K22" s="514">
        <v>-584.5</v>
      </c>
      <c r="L22" s="515">
        <f>-84945+164.5</f>
        <v>-84780.5</v>
      </c>
      <c r="M22" s="127">
        <f>SUM(E22:L22)</f>
        <v>1141000.92</v>
      </c>
      <c r="N22" s="838"/>
      <c r="O22" s="106"/>
      <c r="Q22" s="380"/>
      <c r="R22" s="382"/>
      <c r="S22" s="382"/>
      <c r="T22" s="382"/>
      <c r="U22" s="382"/>
      <c r="V22" s="382"/>
      <c r="W22" s="382"/>
      <c r="X22" s="382"/>
      <c r="Y22" s="382"/>
      <c r="Z22" s="382"/>
      <c r="AA22" s="382"/>
      <c r="AB22" s="382"/>
      <c r="AC22" s="382"/>
      <c r="AD22" s="383"/>
    </row>
    <row r="23" spans="2:30" ht="22.95" customHeight="1">
      <c r="B23" s="117"/>
      <c r="C23" s="116"/>
      <c r="D23" s="11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106"/>
      <c r="Q23" s="380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382"/>
      <c r="AD23" s="383"/>
    </row>
    <row r="24" spans="2:30" ht="22.95" customHeight="1">
      <c r="B24" s="117"/>
      <c r="C24" s="1031"/>
      <c r="D24" s="1032"/>
      <c r="E24" s="192" t="s">
        <v>515</v>
      </c>
      <c r="F24" s="1035" t="s">
        <v>505</v>
      </c>
      <c r="G24" s="1036"/>
      <c r="H24" s="1036"/>
      <c r="I24" s="1036"/>
      <c r="J24" s="1036"/>
      <c r="K24" s="1036"/>
      <c r="L24" s="1037"/>
      <c r="M24" s="192" t="s">
        <v>516</v>
      </c>
      <c r="N24" s="1033" t="s">
        <v>517</v>
      </c>
      <c r="O24" s="106"/>
      <c r="Q24" s="380"/>
      <c r="R24" s="382"/>
      <c r="S24" s="382"/>
      <c r="T24" s="382"/>
      <c r="U24" s="382"/>
      <c r="V24" s="382"/>
      <c r="W24" s="382"/>
      <c r="X24" s="382"/>
      <c r="Y24" s="382"/>
      <c r="Z24" s="382"/>
      <c r="AA24" s="382"/>
      <c r="AB24" s="382"/>
      <c r="AC24" s="382"/>
      <c r="AD24" s="383"/>
    </row>
    <row r="25" spans="2:30" ht="49.2" customHeight="1">
      <c r="B25" s="117"/>
      <c r="C25" s="201" t="s">
        <v>513</v>
      </c>
      <c r="D25" s="199">
        <f>ejercicio</f>
        <v>2018</v>
      </c>
      <c r="E25" s="200">
        <f>ejercicio</f>
        <v>2018</v>
      </c>
      <c r="F25" s="196" t="s">
        <v>507</v>
      </c>
      <c r="G25" s="197" t="s">
        <v>506</v>
      </c>
      <c r="H25" s="197" t="s">
        <v>508</v>
      </c>
      <c r="I25" s="197" t="s">
        <v>509</v>
      </c>
      <c r="J25" s="197" t="s">
        <v>510</v>
      </c>
      <c r="K25" s="197" t="s">
        <v>511</v>
      </c>
      <c r="L25" s="198" t="s">
        <v>496</v>
      </c>
      <c r="M25" s="200">
        <f>ejercicio</f>
        <v>2018</v>
      </c>
      <c r="N25" s="1034"/>
      <c r="O25" s="106"/>
      <c r="Q25" s="380"/>
      <c r="R25" s="382"/>
      <c r="S25" s="382"/>
      <c r="T25" s="382"/>
      <c r="U25" s="382"/>
      <c r="V25" s="382"/>
      <c r="W25" s="382"/>
      <c r="X25" s="382"/>
      <c r="Y25" s="382"/>
      <c r="Z25" s="382"/>
      <c r="AA25" s="382"/>
      <c r="AB25" s="382"/>
      <c r="AC25" s="382"/>
      <c r="AD25" s="383"/>
    </row>
    <row r="26" spans="2:30" ht="22.95" customHeight="1">
      <c r="B26" s="117"/>
      <c r="C26" s="151" t="s">
        <v>498</v>
      </c>
      <c r="D26" s="152"/>
      <c r="E26" s="167">
        <f>+M15</f>
        <v>5173703.25</v>
      </c>
      <c r="F26" s="438"/>
      <c r="G26" s="439"/>
      <c r="H26" s="439"/>
      <c r="I26" s="439">
        <v>-655286.74</v>
      </c>
      <c r="J26" s="439"/>
      <c r="K26" s="439"/>
      <c r="L26" s="440"/>
      <c r="M26" s="167">
        <f>SUM(E26:L26)</f>
        <v>4518416.51</v>
      </c>
      <c r="N26" s="470"/>
      <c r="O26" s="106"/>
      <c r="Q26" s="380"/>
      <c r="R26" s="382"/>
      <c r="S26" s="382"/>
      <c r="T26" s="382"/>
      <c r="U26" s="382"/>
      <c r="V26" s="382"/>
      <c r="W26" s="382"/>
      <c r="X26" s="382"/>
      <c r="Y26" s="382"/>
      <c r="Z26" s="382"/>
      <c r="AA26" s="382"/>
      <c r="AB26" s="382"/>
      <c r="AC26" s="382"/>
      <c r="AD26" s="383"/>
    </row>
    <row r="27" spans="2:30" ht="22.95" customHeight="1">
      <c r="B27" s="117"/>
      <c r="C27" s="153" t="s">
        <v>501</v>
      </c>
      <c r="D27" s="154"/>
      <c r="E27" s="170">
        <f>+M16</f>
        <v>983156.28</v>
      </c>
      <c r="F27" s="442"/>
      <c r="G27" s="443"/>
      <c r="H27" s="443"/>
      <c r="I27" s="443"/>
      <c r="J27" s="443"/>
      <c r="K27" s="443"/>
      <c r="L27" s="444"/>
      <c r="M27" s="170">
        <f>SUM(E27:L27)</f>
        <v>983156.28</v>
      </c>
      <c r="N27" s="455"/>
      <c r="O27" s="106"/>
      <c r="Q27" s="380"/>
      <c r="R27" s="382"/>
      <c r="S27" s="382"/>
      <c r="T27" s="382"/>
      <c r="U27" s="382"/>
      <c r="V27" s="382"/>
      <c r="W27" s="382"/>
      <c r="X27" s="382"/>
      <c r="Y27" s="382"/>
      <c r="Z27" s="382"/>
      <c r="AA27" s="382"/>
      <c r="AB27" s="382"/>
      <c r="AC27" s="382"/>
      <c r="AD27" s="383"/>
    </row>
    <row r="28" spans="2:30" ht="22.95" customHeight="1">
      <c r="B28" s="117"/>
      <c r="C28" s="153" t="s">
        <v>499</v>
      </c>
      <c r="D28" s="154"/>
      <c r="E28" s="170">
        <f>+M17</f>
        <v>61789918.890000001</v>
      </c>
      <c r="F28" s="951">
        <v>65738691.619999997</v>
      </c>
      <c r="G28" s="443"/>
      <c r="H28" s="443"/>
      <c r="I28" s="443">
        <v>-3361178.6</v>
      </c>
      <c r="J28" s="443"/>
      <c r="K28" s="443"/>
      <c r="L28" s="444"/>
      <c r="M28" s="170">
        <f>SUM(E28:L28)</f>
        <v>124167431.91</v>
      </c>
      <c r="N28" s="455"/>
      <c r="O28" s="106"/>
      <c r="Q28" s="380"/>
      <c r="R28" s="382"/>
      <c r="S28" s="382"/>
      <c r="T28" s="382"/>
      <c r="U28" s="382"/>
      <c r="V28" s="382"/>
      <c r="W28" s="382"/>
      <c r="X28" s="382"/>
      <c r="Y28" s="382"/>
      <c r="Z28" s="382"/>
      <c r="AA28" s="382"/>
      <c r="AB28" s="382"/>
      <c r="AC28" s="382"/>
      <c r="AD28" s="383"/>
    </row>
    <row r="29" spans="2:30" ht="22.95" customHeight="1">
      <c r="B29" s="117"/>
      <c r="C29" s="153" t="s">
        <v>502</v>
      </c>
      <c r="D29" s="154"/>
      <c r="E29" s="170">
        <f>+M18</f>
        <v>0</v>
      </c>
      <c r="F29" s="442"/>
      <c r="G29" s="443"/>
      <c r="H29" s="443"/>
      <c r="I29" s="443"/>
      <c r="J29" s="443"/>
      <c r="K29" s="443"/>
      <c r="L29" s="444"/>
      <c r="M29" s="170">
        <f>SUM(E29:L29)</f>
        <v>0</v>
      </c>
      <c r="N29" s="455"/>
      <c r="O29" s="106"/>
      <c r="Q29" s="380"/>
      <c r="R29" s="382"/>
      <c r="S29" s="382"/>
      <c r="T29" s="382"/>
      <c r="U29" s="382"/>
      <c r="V29" s="382"/>
      <c r="W29" s="382"/>
      <c r="X29" s="382"/>
      <c r="Y29" s="382"/>
      <c r="Z29" s="382"/>
      <c r="AA29" s="382"/>
      <c r="AB29" s="382"/>
      <c r="AC29" s="382"/>
      <c r="AD29" s="383"/>
    </row>
    <row r="30" spans="2:30" ht="22.95" customHeight="1">
      <c r="B30" s="117"/>
      <c r="C30" s="155" t="s">
        <v>500</v>
      </c>
      <c r="D30" s="156"/>
      <c r="E30" s="171">
        <f>+M19</f>
        <v>0</v>
      </c>
      <c r="F30" s="446"/>
      <c r="G30" s="447"/>
      <c r="H30" s="447"/>
      <c r="I30" s="447"/>
      <c r="J30" s="447"/>
      <c r="K30" s="447"/>
      <c r="L30" s="448"/>
      <c r="M30" s="171">
        <f>SUM(E30:L30)</f>
        <v>0</v>
      </c>
      <c r="N30" s="496"/>
      <c r="O30" s="106"/>
      <c r="Q30" s="390"/>
      <c r="R30" s="391"/>
      <c r="S30" s="391"/>
      <c r="T30" s="391"/>
      <c r="U30" s="391"/>
      <c r="V30" s="391"/>
      <c r="W30" s="391"/>
      <c r="X30" s="391"/>
      <c r="Y30" s="391"/>
      <c r="Z30" s="391"/>
      <c r="AA30" s="391"/>
      <c r="AB30" s="391"/>
      <c r="AC30" s="391"/>
      <c r="AD30" s="392"/>
    </row>
    <row r="31" spans="2:30" ht="22.95" customHeight="1" thickBot="1">
      <c r="B31" s="117"/>
      <c r="C31" s="157" t="s">
        <v>503</v>
      </c>
      <c r="D31" s="158"/>
      <c r="E31" s="127">
        <f t="shared" ref="E31:M31" si="1">SUM(E26:E30)</f>
        <v>67946778.420000002</v>
      </c>
      <c r="F31" s="127">
        <f t="shared" si="1"/>
        <v>65738691.619999997</v>
      </c>
      <c r="G31" s="127">
        <f t="shared" si="1"/>
        <v>0</v>
      </c>
      <c r="H31" s="127">
        <f t="shared" si="1"/>
        <v>0</v>
      </c>
      <c r="I31" s="127">
        <f t="shared" si="1"/>
        <v>-4016465.34</v>
      </c>
      <c r="J31" s="127">
        <f t="shared" si="1"/>
        <v>0</v>
      </c>
      <c r="K31" s="127">
        <f t="shared" si="1"/>
        <v>0</v>
      </c>
      <c r="L31" s="127">
        <f t="shared" si="1"/>
        <v>0</v>
      </c>
      <c r="M31" s="127">
        <f t="shared" si="1"/>
        <v>129669004.7</v>
      </c>
      <c r="N31" s="159"/>
      <c r="O31" s="106"/>
      <c r="Q31" s="390"/>
      <c r="R31" s="391"/>
      <c r="S31" s="391"/>
      <c r="T31" s="391"/>
      <c r="U31" s="391"/>
      <c r="V31" s="391"/>
      <c r="W31" s="391"/>
      <c r="X31" s="391"/>
      <c r="Y31" s="391"/>
      <c r="Z31" s="391"/>
      <c r="AA31" s="391"/>
      <c r="AB31" s="391"/>
      <c r="AC31" s="391"/>
      <c r="AD31" s="392"/>
    </row>
    <row r="32" spans="2:30" ht="9" customHeight="1">
      <c r="B32" s="117"/>
      <c r="C32" s="147"/>
      <c r="D32" s="147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06"/>
      <c r="Q32" s="380"/>
      <c r="R32" s="382"/>
      <c r="S32" s="382"/>
      <c r="T32" s="382"/>
      <c r="U32" s="382"/>
      <c r="V32" s="382"/>
      <c r="W32" s="382"/>
      <c r="X32" s="382"/>
      <c r="Y32" s="382"/>
      <c r="Z32" s="382"/>
      <c r="AA32" s="382"/>
      <c r="AB32" s="382"/>
      <c r="AC32" s="382"/>
      <c r="AD32" s="383"/>
    </row>
    <row r="33" spans="2:30" ht="22.95" customHeight="1" thickBot="1">
      <c r="B33" s="117"/>
      <c r="C33" s="161" t="s">
        <v>504</v>
      </c>
      <c r="D33" s="162"/>
      <c r="E33" s="127">
        <f>+M22</f>
        <v>1141000.92</v>
      </c>
      <c r="F33" s="513"/>
      <c r="G33" s="514"/>
      <c r="H33" s="514"/>
      <c r="I33" s="514"/>
      <c r="J33" s="514"/>
      <c r="K33" s="514">
        <v>-900</v>
      </c>
      <c r="L33" s="515"/>
      <c r="M33" s="127">
        <f>SUM(E33:L33)</f>
        <v>1140100.92</v>
      </c>
      <c r="N33" s="838"/>
      <c r="O33" s="106"/>
      <c r="Q33" s="380"/>
      <c r="R33" s="382"/>
      <c r="S33" s="382"/>
      <c r="T33" s="382"/>
      <c r="U33" s="382"/>
      <c r="V33" s="382"/>
      <c r="W33" s="382"/>
      <c r="X33" s="382"/>
      <c r="Y33" s="382"/>
      <c r="Z33" s="382"/>
      <c r="AA33" s="382"/>
      <c r="AB33" s="382"/>
      <c r="AC33" s="382"/>
      <c r="AD33" s="383"/>
    </row>
    <row r="34" spans="2:30" ht="22.95" customHeight="1">
      <c r="B34" s="117"/>
      <c r="C34" s="116"/>
      <c r="D34" s="11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106"/>
      <c r="Q34" s="380"/>
      <c r="R34" s="382"/>
      <c r="S34" s="382"/>
      <c r="T34" s="382"/>
      <c r="U34" s="382"/>
      <c r="V34" s="382"/>
      <c r="W34" s="382"/>
      <c r="X34" s="382"/>
      <c r="Y34" s="382"/>
      <c r="Z34" s="382"/>
      <c r="AA34" s="382"/>
      <c r="AB34" s="382"/>
      <c r="AC34" s="382"/>
      <c r="AD34" s="383"/>
    </row>
    <row r="35" spans="2:30" ht="22.95" customHeight="1">
      <c r="B35" s="117"/>
      <c r="C35" s="166" t="s">
        <v>514</v>
      </c>
      <c r="D35" s="164"/>
      <c r="E35" s="165"/>
      <c r="F35" s="165"/>
      <c r="G35" s="165"/>
      <c r="H35" s="165"/>
      <c r="I35" s="165"/>
      <c r="J35" s="165"/>
      <c r="K35" s="165"/>
      <c r="L35" s="165"/>
      <c r="M35" s="165"/>
      <c r="N35" s="96"/>
      <c r="O35" s="106"/>
      <c r="Q35" s="380"/>
      <c r="R35" s="382"/>
      <c r="S35" s="382"/>
      <c r="T35" s="382"/>
      <c r="U35" s="382"/>
      <c r="V35" s="382"/>
      <c r="W35" s="382"/>
      <c r="X35" s="382"/>
      <c r="Y35" s="382"/>
      <c r="Z35" s="382"/>
      <c r="AA35" s="382"/>
      <c r="AB35" s="382"/>
      <c r="AC35" s="382"/>
      <c r="AD35" s="383"/>
    </row>
    <row r="36" spans="2:30" ht="17.399999999999999">
      <c r="B36" s="117"/>
      <c r="C36" s="164" t="s">
        <v>930</v>
      </c>
      <c r="D36" s="164"/>
      <c r="E36" s="165"/>
      <c r="F36" s="165"/>
      <c r="G36" s="165"/>
      <c r="H36" s="165"/>
      <c r="I36" s="165"/>
      <c r="J36" s="165"/>
      <c r="K36" s="165"/>
      <c r="L36" s="165"/>
      <c r="M36" s="165"/>
      <c r="N36" s="96"/>
      <c r="O36" s="106"/>
      <c r="Q36" s="393"/>
      <c r="R36" s="394"/>
      <c r="S36" s="394"/>
      <c r="T36" s="394"/>
      <c r="U36" s="394"/>
      <c r="V36" s="394"/>
      <c r="W36" s="394"/>
      <c r="X36" s="394"/>
      <c r="Y36" s="394"/>
      <c r="Z36" s="394"/>
      <c r="AA36" s="394"/>
      <c r="AB36" s="394"/>
      <c r="AC36" s="394"/>
      <c r="AD36" s="395"/>
    </row>
    <row r="37" spans="2:30" ht="17.399999999999999">
      <c r="B37" s="117"/>
      <c r="C37" s="164" t="s">
        <v>992</v>
      </c>
      <c r="D37" s="164"/>
      <c r="E37" s="165"/>
      <c r="F37" s="165"/>
      <c r="G37" s="165"/>
      <c r="H37" s="165"/>
      <c r="I37" s="165"/>
      <c r="J37" s="165"/>
      <c r="K37" s="165"/>
      <c r="L37" s="165"/>
      <c r="M37" s="165"/>
      <c r="N37" s="96"/>
      <c r="O37" s="106"/>
      <c r="Q37" s="393"/>
      <c r="R37" s="394"/>
      <c r="S37" s="394"/>
      <c r="T37" s="394"/>
      <c r="U37" s="394"/>
      <c r="V37" s="394"/>
      <c r="W37" s="394"/>
      <c r="X37" s="394"/>
      <c r="Y37" s="394"/>
      <c r="Z37" s="394"/>
      <c r="AA37" s="394"/>
      <c r="AB37" s="394"/>
      <c r="AC37" s="394"/>
      <c r="AD37" s="395"/>
    </row>
    <row r="38" spans="2:30" ht="17.399999999999999">
      <c r="B38" s="117"/>
      <c r="C38" s="164" t="s">
        <v>993</v>
      </c>
      <c r="D38" s="164"/>
      <c r="E38" s="165"/>
      <c r="F38" s="165"/>
      <c r="G38" s="165"/>
      <c r="H38" s="165"/>
      <c r="I38" s="165"/>
      <c r="J38" s="165"/>
      <c r="K38" s="165"/>
      <c r="L38" s="165"/>
      <c r="M38" s="165"/>
      <c r="N38" s="96"/>
      <c r="O38" s="106"/>
      <c r="Q38" s="393"/>
      <c r="R38" s="394"/>
      <c r="S38" s="394"/>
      <c r="T38" s="394"/>
      <c r="U38" s="394"/>
      <c r="V38" s="394"/>
      <c r="W38" s="394"/>
      <c r="X38" s="394"/>
      <c r="Y38" s="394"/>
      <c r="Z38" s="394"/>
      <c r="AA38" s="394"/>
      <c r="AB38" s="394"/>
      <c r="AC38" s="394"/>
      <c r="AD38" s="395"/>
    </row>
    <row r="39" spans="2:30" ht="17.399999999999999">
      <c r="B39" s="117"/>
      <c r="C39" s="164" t="s">
        <v>994</v>
      </c>
      <c r="D39" s="164"/>
      <c r="E39" s="165"/>
      <c r="F39" s="165"/>
      <c r="G39" s="165"/>
      <c r="H39" s="165"/>
      <c r="I39" s="165"/>
      <c r="J39" s="165"/>
      <c r="K39" s="165"/>
      <c r="L39" s="165"/>
      <c r="M39" s="165"/>
      <c r="N39" s="96"/>
      <c r="O39" s="106"/>
      <c r="Q39" s="393"/>
      <c r="R39" s="394"/>
      <c r="S39" s="394"/>
      <c r="T39" s="394"/>
      <c r="U39" s="394"/>
      <c r="V39" s="394"/>
      <c r="W39" s="394"/>
      <c r="X39" s="394"/>
      <c r="Y39" s="394"/>
      <c r="Z39" s="394"/>
      <c r="AA39" s="394"/>
      <c r="AB39" s="394"/>
      <c r="AC39" s="394"/>
      <c r="AD39" s="395"/>
    </row>
    <row r="40" spans="2:30" ht="17.399999999999999">
      <c r="B40" s="117"/>
      <c r="C40" s="164" t="s">
        <v>1000</v>
      </c>
      <c r="D40" s="164"/>
      <c r="E40" s="165"/>
      <c r="F40" s="165"/>
      <c r="G40" s="165"/>
      <c r="H40" s="165"/>
      <c r="I40" s="165"/>
      <c r="J40" s="165"/>
      <c r="K40" s="165"/>
      <c r="L40" s="165"/>
      <c r="M40" s="165"/>
      <c r="N40" s="96"/>
      <c r="O40" s="106"/>
      <c r="Q40" s="393"/>
      <c r="R40" s="394"/>
      <c r="S40" s="394"/>
      <c r="T40" s="394"/>
      <c r="U40" s="394"/>
      <c r="V40" s="394"/>
      <c r="W40" s="394"/>
      <c r="X40" s="394"/>
      <c r="Y40" s="394"/>
      <c r="Z40" s="394"/>
      <c r="AA40" s="394"/>
      <c r="AB40" s="394"/>
      <c r="AC40" s="394"/>
      <c r="AD40" s="395"/>
    </row>
    <row r="41" spans="2:30" ht="17.399999999999999">
      <c r="B41" s="117"/>
      <c r="C41" s="164" t="s">
        <v>995</v>
      </c>
      <c r="D41" s="164"/>
      <c r="E41" s="165"/>
      <c r="F41" s="165"/>
      <c r="G41" s="165"/>
      <c r="H41" s="165"/>
      <c r="I41" s="165"/>
      <c r="J41" s="165"/>
      <c r="K41" s="165"/>
      <c r="L41" s="165"/>
      <c r="M41" s="165"/>
      <c r="N41" s="96"/>
      <c r="O41" s="106"/>
      <c r="Q41" s="393"/>
      <c r="R41" s="394"/>
      <c r="S41" s="394"/>
      <c r="T41" s="394"/>
      <c r="U41" s="394"/>
      <c r="V41" s="394"/>
      <c r="W41" s="394"/>
      <c r="X41" s="394"/>
      <c r="Y41" s="394"/>
      <c r="Z41" s="394"/>
      <c r="AA41" s="394"/>
      <c r="AB41" s="394"/>
      <c r="AC41" s="394"/>
      <c r="AD41" s="395"/>
    </row>
    <row r="42" spans="2:30" ht="17.399999999999999">
      <c r="B42" s="117"/>
      <c r="C42" s="164" t="s">
        <v>996</v>
      </c>
      <c r="D42" s="164"/>
      <c r="E42" s="165"/>
      <c r="F42" s="165"/>
      <c r="G42" s="165"/>
      <c r="H42" s="165"/>
      <c r="I42" s="165"/>
      <c r="J42" s="165"/>
      <c r="K42" s="165"/>
      <c r="L42" s="165"/>
      <c r="M42" s="165"/>
      <c r="N42" s="96"/>
      <c r="O42" s="106"/>
      <c r="Q42" s="393"/>
      <c r="R42" s="394"/>
      <c r="S42" s="394"/>
      <c r="T42" s="394"/>
      <c r="U42" s="394"/>
      <c r="V42" s="394"/>
      <c r="W42" s="394"/>
      <c r="X42" s="394"/>
      <c r="Y42" s="394"/>
      <c r="Z42" s="394"/>
      <c r="AA42" s="394"/>
      <c r="AB42" s="394"/>
      <c r="AC42" s="394"/>
      <c r="AD42" s="395"/>
    </row>
    <row r="43" spans="2:30" ht="17.399999999999999">
      <c r="B43" s="117"/>
      <c r="C43" s="164" t="s">
        <v>997</v>
      </c>
      <c r="D43" s="164"/>
      <c r="E43" s="165"/>
      <c r="F43" s="165"/>
      <c r="G43" s="165"/>
      <c r="H43" s="165"/>
      <c r="I43" s="165"/>
      <c r="J43" s="165"/>
      <c r="K43" s="165"/>
      <c r="L43" s="165"/>
      <c r="M43" s="165"/>
      <c r="N43" s="96"/>
      <c r="O43" s="106"/>
      <c r="Q43" s="393"/>
      <c r="R43" s="394"/>
      <c r="S43" s="394"/>
      <c r="T43" s="394"/>
      <c r="U43" s="394"/>
      <c r="V43" s="394"/>
      <c r="W43" s="394"/>
      <c r="X43" s="394"/>
      <c r="Y43" s="394"/>
      <c r="Z43" s="394"/>
      <c r="AA43" s="394"/>
      <c r="AB43" s="394"/>
      <c r="AC43" s="394"/>
      <c r="AD43" s="395"/>
    </row>
    <row r="44" spans="2:30" ht="17.399999999999999">
      <c r="B44" s="117"/>
      <c r="C44" s="164" t="s">
        <v>998</v>
      </c>
      <c r="D44" s="164"/>
      <c r="E44" s="165"/>
      <c r="F44" s="165"/>
      <c r="G44" s="165"/>
      <c r="H44" s="165"/>
      <c r="I44" s="165"/>
      <c r="J44" s="165"/>
      <c r="K44" s="165"/>
      <c r="L44" s="165"/>
      <c r="M44" s="165"/>
      <c r="N44" s="96"/>
      <c r="O44" s="106"/>
      <c r="Q44" s="393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4"/>
      <c r="AC44" s="394"/>
      <c r="AD44" s="395"/>
    </row>
    <row r="45" spans="2:30" ht="17.399999999999999">
      <c r="B45" s="117"/>
      <c r="C45" s="164" t="s">
        <v>999</v>
      </c>
      <c r="D45" s="164"/>
      <c r="E45" s="165"/>
      <c r="F45" s="165"/>
      <c r="G45" s="165"/>
      <c r="H45" s="165"/>
      <c r="I45" s="165"/>
      <c r="J45" s="165"/>
      <c r="K45" s="165"/>
      <c r="L45" s="165"/>
      <c r="M45" s="165"/>
      <c r="N45" s="96"/>
      <c r="O45" s="106"/>
      <c r="Q45" s="393"/>
      <c r="R45" s="394"/>
      <c r="S45" s="394"/>
      <c r="T45" s="394"/>
      <c r="U45" s="394"/>
      <c r="V45" s="394"/>
      <c r="W45" s="394"/>
      <c r="X45" s="394"/>
      <c r="Y45" s="394"/>
      <c r="Z45" s="394"/>
      <c r="AA45" s="394"/>
      <c r="AB45" s="394"/>
      <c r="AC45" s="394"/>
      <c r="AD45" s="395"/>
    </row>
    <row r="46" spans="2:30" ht="22.95" customHeight="1" thickBot="1">
      <c r="B46" s="121"/>
      <c r="C46" s="1003"/>
      <c r="D46" s="1003"/>
      <c r="E46" s="1003"/>
      <c r="F46" s="1003"/>
      <c r="G46" s="53"/>
      <c r="H46" s="53"/>
      <c r="I46" s="53"/>
      <c r="J46" s="53"/>
      <c r="K46" s="53"/>
      <c r="L46" s="53"/>
      <c r="M46" s="53"/>
      <c r="N46" s="122"/>
      <c r="O46" s="123"/>
      <c r="Q46" s="396"/>
      <c r="R46" s="397"/>
      <c r="S46" s="397"/>
      <c r="T46" s="397"/>
      <c r="U46" s="397"/>
      <c r="V46" s="397"/>
      <c r="W46" s="397"/>
      <c r="X46" s="397"/>
      <c r="Y46" s="397"/>
      <c r="Z46" s="397"/>
      <c r="AA46" s="397"/>
      <c r="AB46" s="397"/>
      <c r="AC46" s="397"/>
      <c r="AD46" s="398"/>
    </row>
    <row r="47" spans="2:30" ht="22.95" customHeight="1">
      <c r="C47" s="104"/>
      <c r="D47" s="104"/>
      <c r="E47" s="105"/>
      <c r="F47" s="105"/>
      <c r="G47" s="105"/>
      <c r="H47" s="105"/>
      <c r="I47" s="105"/>
      <c r="J47" s="105"/>
      <c r="K47" s="105"/>
      <c r="L47" s="105"/>
      <c r="M47" s="105"/>
      <c r="N47" s="105"/>
    </row>
    <row r="48" spans="2:30" ht="13.2">
      <c r="C48" s="124" t="s">
        <v>174</v>
      </c>
      <c r="D48" s="104"/>
      <c r="E48" s="105"/>
      <c r="F48" s="105"/>
      <c r="G48" s="105"/>
      <c r="H48" s="105"/>
      <c r="I48" s="105"/>
      <c r="J48" s="105"/>
      <c r="K48" s="105"/>
      <c r="L48" s="105"/>
      <c r="M48" s="105"/>
      <c r="N48" s="95" t="s">
        <v>147</v>
      </c>
    </row>
    <row r="49" spans="3:14" ht="13.2">
      <c r="C49" s="125" t="s">
        <v>175</v>
      </c>
      <c r="D49" s="104"/>
      <c r="E49" s="105"/>
      <c r="F49" s="105"/>
      <c r="G49" s="105"/>
      <c r="H49" s="105"/>
      <c r="I49" s="105"/>
      <c r="J49" s="105"/>
      <c r="K49" s="105"/>
      <c r="L49" s="105"/>
      <c r="M49" s="105"/>
      <c r="N49" s="105"/>
    </row>
    <row r="50" spans="3:14" ht="13.2">
      <c r="C50" s="125" t="s">
        <v>176</v>
      </c>
      <c r="D50" s="104"/>
      <c r="E50" s="105"/>
      <c r="F50" s="105"/>
      <c r="G50" s="105"/>
      <c r="H50" s="105"/>
      <c r="I50" s="105"/>
      <c r="J50" s="105"/>
      <c r="K50" s="105"/>
      <c r="L50" s="105"/>
      <c r="M50" s="105"/>
      <c r="N50" s="105"/>
    </row>
    <row r="51" spans="3:14" ht="13.2">
      <c r="C51" s="125" t="s">
        <v>177</v>
      </c>
      <c r="D51" s="104"/>
      <c r="E51" s="105"/>
      <c r="F51" s="105"/>
      <c r="G51" s="105"/>
      <c r="H51" s="105"/>
      <c r="I51" s="105"/>
      <c r="J51" s="105"/>
      <c r="K51" s="105"/>
      <c r="L51" s="105"/>
      <c r="M51" s="105"/>
      <c r="N51" s="105"/>
    </row>
    <row r="52" spans="3:14" ht="13.2">
      <c r="C52" s="125" t="s">
        <v>178</v>
      </c>
      <c r="D52" s="104"/>
      <c r="E52" s="105"/>
      <c r="F52" s="105"/>
      <c r="G52" s="105"/>
      <c r="H52" s="105"/>
      <c r="I52" s="105"/>
      <c r="J52" s="105"/>
      <c r="K52" s="105"/>
      <c r="L52" s="105"/>
      <c r="M52" s="105"/>
      <c r="N52" s="105"/>
    </row>
    <row r="53" spans="3:14" ht="22.95" customHeight="1">
      <c r="C53" s="104"/>
      <c r="D53" s="104"/>
      <c r="E53" s="105"/>
      <c r="F53" s="105"/>
      <c r="G53" s="105"/>
      <c r="H53" s="105"/>
      <c r="I53" s="105"/>
      <c r="J53" s="105"/>
      <c r="K53" s="105"/>
      <c r="L53" s="105"/>
      <c r="M53" s="105"/>
      <c r="N53" s="105"/>
    </row>
    <row r="54" spans="3:14" ht="22.95" customHeight="1">
      <c r="C54" s="104"/>
      <c r="D54" s="104"/>
      <c r="E54" s="105"/>
      <c r="F54" s="105"/>
      <c r="G54" s="105"/>
      <c r="H54" s="105"/>
      <c r="I54" s="105"/>
      <c r="J54" s="105"/>
      <c r="K54" s="105"/>
      <c r="L54" s="105"/>
      <c r="M54" s="105"/>
      <c r="N54" s="105"/>
    </row>
    <row r="55" spans="3:14" ht="22.95" customHeight="1">
      <c r="C55" s="104"/>
      <c r="D55" s="104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3:14" ht="22.95" customHeight="1">
      <c r="C56" s="104"/>
      <c r="D56" s="104"/>
      <c r="E56" s="105"/>
      <c r="F56" s="105"/>
      <c r="G56" s="105"/>
      <c r="H56" s="105"/>
      <c r="I56" s="105"/>
      <c r="J56" s="105"/>
      <c r="K56" s="105"/>
      <c r="L56" s="105"/>
      <c r="M56" s="105"/>
      <c r="N56" s="105"/>
    </row>
    <row r="57" spans="3:14" ht="22.95" customHeight="1">
      <c r="F57" s="105"/>
      <c r="G57" s="105"/>
      <c r="H57" s="105"/>
      <c r="I57" s="105"/>
      <c r="J57" s="105"/>
      <c r="K57" s="105"/>
      <c r="L57" s="105"/>
      <c r="M57" s="105"/>
      <c r="N57" s="105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zoomScale="81" zoomScaleNormal="125" zoomScalePageLayoutView="125" workbookViewId="0">
      <selection activeCell="B1" sqref="B1:N77"/>
    </sheetView>
  </sheetViews>
  <sheetFormatPr baseColWidth="10" defaultColWidth="10.54296875" defaultRowHeight="22.95" customHeight="1"/>
  <cols>
    <col min="1" max="2" width="3.1796875" style="97" customWidth="1"/>
    <col min="3" max="3" width="13.54296875" style="97" customWidth="1"/>
    <col min="4" max="4" width="23.1796875" style="97" customWidth="1"/>
    <col min="5" max="12" width="13.453125" style="98" customWidth="1"/>
    <col min="13" max="13" width="25.81640625" style="98" customWidth="1"/>
    <col min="14" max="14" width="3.453125" style="97" customWidth="1"/>
    <col min="15" max="16384" width="10.54296875" style="97"/>
  </cols>
  <sheetData>
    <row r="2" spans="2:29" ht="22.95" customHeight="1">
      <c r="D2" s="63" t="s">
        <v>477</v>
      </c>
    </row>
    <row r="3" spans="2:29" ht="22.95" customHeight="1">
      <c r="D3" s="63" t="s">
        <v>478</v>
      </c>
    </row>
    <row r="4" spans="2:29" ht="22.95" customHeight="1" thickBot="1"/>
    <row r="5" spans="2:29" ht="9" customHeight="1">
      <c r="B5" s="99"/>
      <c r="C5" s="100"/>
      <c r="D5" s="100"/>
      <c r="E5" s="101"/>
      <c r="F5" s="101"/>
      <c r="G5" s="101"/>
      <c r="H5" s="101"/>
      <c r="I5" s="101"/>
      <c r="J5" s="101"/>
      <c r="K5" s="101"/>
      <c r="L5" s="101"/>
      <c r="M5" s="101"/>
      <c r="N5" s="102"/>
      <c r="P5" s="377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9"/>
    </row>
    <row r="6" spans="2:29" ht="30" customHeight="1">
      <c r="B6" s="103"/>
      <c r="C6" s="67" t="s">
        <v>97</v>
      </c>
      <c r="D6" s="104"/>
      <c r="E6" s="105"/>
      <c r="F6" s="105"/>
      <c r="G6" s="105"/>
      <c r="H6" s="105"/>
      <c r="I6" s="105"/>
      <c r="J6" s="105"/>
      <c r="K6" s="105"/>
      <c r="L6" s="105"/>
      <c r="M6" s="984">
        <f>ejercicio</f>
        <v>2018</v>
      </c>
      <c r="N6" s="106"/>
      <c r="P6" s="380"/>
      <c r="Q6" s="381" t="s">
        <v>810</v>
      </c>
      <c r="R6" s="382"/>
      <c r="S6" s="382"/>
      <c r="T6" s="382"/>
      <c r="U6" s="382"/>
      <c r="V6" s="382"/>
      <c r="W6" s="382"/>
      <c r="X6" s="382"/>
      <c r="Y6" s="382"/>
      <c r="Z6" s="382"/>
      <c r="AA6" s="382"/>
      <c r="AB6" s="382"/>
      <c r="AC6" s="383"/>
    </row>
    <row r="7" spans="2:29" ht="30" customHeight="1">
      <c r="B7" s="103"/>
      <c r="C7" s="67" t="s">
        <v>98</v>
      </c>
      <c r="D7" s="104"/>
      <c r="E7" s="105"/>
      <c r="F7" s="105"/>
      <c r="G7" s="105"/>
      <c r="H7" s="105"/>
      <c r="I7" s="105"/>
      <c r="J7" s="105"/>
      <c r="K7" s="105"/>
      <c r="L7" s="105"/>
      <c r="M7" s="984"/>
      <c r="N7" s="106"/>
      <c r="P7" s="380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3"/>
    </row>
    <row r="8" spans="2:29" ht="30" customHeight="1">
      <c r="B8" s="103"/>
      <c r="C8" s="107"/>
      <c r="D8" s="104"/>
      <c r="E8" s="105"/>
      <c r="F8" s="105"/>
      <c r="G8" s="105"/>
      <c r="H8" s="105"/>
      <c r="I8" s="105"/>
      <c r="J8" s="105"/>
      <c r="K8" s="105"/>
      <c r="L8" s="105"/>
      <c r="M8" s="108"/>
      <c r="N8" s="106"/>
      <c r="P8" s="380"/>
      <c r="Q8" s="382"/>
      <c r="R8" s="382"/>
      <c r="S8" s="382"/>
      <c r="T8" s="382"/>
      <c r="U8" s="382"/>
      <c r="V8" s="382"/>
      <c r="W8" s="382"/>
      <c r="X8" s="382"/>
      <c r="Y8" s="382"/>
      <c r="Z8" s="382"/>
      <c r="AA8" s="382"/>
      <c r="AB8" s="382"/>
      <c r="AC8" s="383"/>
    </row>
    <row r="9" spans="2:29" s="65" customFormat="1" ht="30" customHeight="1">
      <c r="B9" s="109"/>
      <c r="C9" s="40" t="s">
        <v>99</v>
      </c>
      <c r="D9" s="1004" t="str">
        <f>Entidad</f>
        <v>INSTITUTO TECNOLÓGICO Y DE ENERGÍAS RENOVALBES S.A. (ITER)</v>
      </c>
      <c r="E9" s="1004"/>
      <c r="F9" s="1004"/>
      <c r="G9" s="1004"/>
      <c r="H9" s="1004"/>
      <c r="I9" s="1004"/>
      <c r="J9" s="1004"/>
      <c r="K9" s="1004"/>
      <c r="L9" s="1004"/>
      <c r="M9" s="1004"/>
      <c r="N9" s="110"/>
      <c r="P9" s="384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6"/>
    </row>
    <row r="10" spans="2:29" ht="7.2" customHeight="1">
      <c r="B10" s="103"/>
      <c r="C10" s="104"/>
      <c r="D10" s="104"/>
      <c r="E10" s="105"/>
      <c r="F10" s="105"/>
      <c r="G10" s="105"/>
      <c r="H10" s="105"/>
      <c r="I10" s="105"/>
      <c r="J10" s="105"/>
      <c r="K10" s="105"/>
      <c r="L10" s="105"/>
      <c r="M10" s="105"/>
      <c r="N10" s="106"/>
      <c r="P10" s="380"/>
      <c r="Q10" s="382"/>
      <c r="R10" s="382"/>
      <c r="S10" s="382"/>
      <c r="T10" s="382"/>
      <c r="U10" s="382"/>
      <c r="V10" s="382"/>
      <c r="W10" s="382"/>
      <c r="X10" s="382"/>
      <c r="Y10" s="382"/>
      <c r="Z10" s="382"/>
      <c r="AA10" s="382"/>
      <c r="AB10" s="382"/>
      <c r="AC10" s="383"/>
    </row>
    <row r="11" spans="2:29" s="115" customFormat="1" ht="30" customHeight="1">
      <c r="B11" s="111"/>
      <c r="C11" s="112" t="s">
        <v>519</v>
      </c>
      <c r="D11" s="112"/>
      <c r="E11" s="113"/>
      <c r="F11" s="113"/>
      <c r="G11" s="113"/>
      <c r="H11" s="113"/>
      <c r="I11" s="113"/>
      <c r="J11" s="113"/>
      <c r="K11" s="113"/>
      <c r="L11" s="113"/>
      <c r="M11" s="113"/>
      <c r="N11" s="114"/>
      <c r="P11" s="387"/>
      <c r="Q11" s="388"/>
      <c r="R11" s="388"/>
      <c r="S11" s="388"/>
      <c r="T11" s="388"/>
      <c r="U11" s="388"/>
      <c r="V11" s="388"/>
      <c r="W11" s="388"/>
      <c r="X11" s="388"/>
      <c r="Y11" s="388"/>
      <c r="Z11" s="388"/>
      <c r="AA11" s="388"/>
      <c r="AB11" s="388"/>
      <c r="AC11" s="389"/>
    </row>
    <row r="12" spans="2:29" s="115" customFormat="1" ht="30" customHeight="1">
      <c r="B12" s="111"/>
      <c r="C12" s="1043"/>
      <c r="D12" s="1043"/>
      <c r="E12" s="96"/>
      <c r="F12" s="96"/>
      <c r="G12" s="96"/>
      <c r="H12" s="96"/>
      <c r="I12" s="96"/>
      <c r="J12" s="96"/>
      <c r="K12" s="96"/>
      <c r="L12" s="96"/>
      <c r="M12" s="96"/>
      <c r="N12" s="114"/>
      <c r="P12" s="387"/>
      <c r="Q12" s="388"/>
      <c r="R12" s="388"/>
      <c r="S12" s="388"/>
      <c r="T12" s="388"/>
      <c r="U12" s="388"/>
      <c r="V12" s="388"/>
      <c r="W12" s="388"/>
      <c r="X12" s="388"/>
      <c r="Y12" s="388"/>
      <c r="Z12" s="388"/>
      <c r="AA12" s="388"/>
      <c r="AB12" s="388"/>
      <c r="AC12" s="389"/>
    </row>
    <row r="13" spans="2:29" s="115" customFormat="1" ht="30" customHeight="1">
      <c r="B13" s="111"/>
      <c r="C13" s="66" t="s">
        <v>530</v>
      </c>
      <c r="D13" s="22"/>
      <c r="E13" s="96"/>
      <c r="F13" s="96"/>
      <c r="G13" s="96"/>
      <c r="H13" s="96"/>
      <c r="I13" s="96"/>
      <c r="J13" s="96"/>
      <c r="K13" s="96"/>
      <c r="L13" s="96"/>
      <c r="M13" s="96"/>
      <c r="N13" s="114"/>
      <c r="P13" s="380"/>
      <c r="Q13" s="382"/>
      <c r="R13" s="382"/>
      <c r="S13" s="382"/>
      <c r="T13" s="382"/>
      <c r="U13" s="382"/>
      <c r="V13" s="382"/>
      <c r="W13" s="382"/>
      <c r="X13" s="382"/>
      <c r="Y13" s="382"/>
      <c r="Z13" s="382"/>
      <c r="AA13" s="382"/>
      <c r="AB13" s="382"/>
      <c r="AC13" s="383"/>
    </row>
    <row r="14" spans="2:29" s="115" customFormat="1" ht="30" customHeight="1">
      <c r="B14" s="111"/>
      <c r="C14" s="22"/>
      <c r="D14" s="22"/>
      <c r="E14" s="96"/>
      <c r="F14" s="96"/>
      <c r="G14" s="96"/>
      <c r="H14" s="96"/>
      <c r="I14" s="96"/>
      <c r="J14" s="96"/>
      <c r="K14" s="96"/>
      <c r="L14" s="96"/>
      <c r="M14" s="96"/>
      <c r="N14" s="114"/>
      <c r="P14" s="380"/>
      <c r="Q14" s="382"/>
      <c r="R14" s="382"/>
      <c r="S14" s="382"/>
      <c r="T14" s="382"/>
      <c r="U14" s="382"/>
      <c r="V14" s="382"/>
      <c r="W14" s="382"/>
      <c r="X14" s="382"/>
      <c r="Y14" s="382"/>
      <c r="Z14" s="382"/>
      <c r="AA14" s="382"/>
      <c r="AB14" s="382"/>
      <c r="AC14" s="383"/>
    </row>
    <row r="15" spans="2:29" s="119" customFormat="1" ht="22.95" customHeight="1">
      <c r="B15" s="117"/>
      <c r="C15" s="190"/>
      <c r="D15" s="191"/>
      <c r="E15" s="192" t="s">
        <v>521</v>
      </c>
      <c r="F15" s="192" t="s">
        <v>497</v>
      </c>
      <c r="G15" s="1035" t="s">
        <v>505</v>
      </c>
      <c r="H15" s="1036"/>
      <c r="I15" s="1036"/>
      <c r="J15" s="192" t="s">
        <v>516</v>
      </c>
      <c r="K15" s="192" t="s">
        <v>526</v>
      </c>
      <c r="L15" s="192" t="s">
        <v>527</v>
      </c>
      <c r="M15" s="1033" t="s">
        <v>1002</v>
      </c>
      <c r="N15" s="118"/>
      <c r="P15" s="380"/>
      <c r="Q15" s="382"/>
      <c r="R15" s="382"/>
      <c r="S15" s="382"/>
      <c r="T15" s="382"/>
      <c r="U15" s="382"/>
      <c r="V15" s="382"/>
      <c r="W15" s="382"/>
      <c r="X15" s="382"/>
      <c r="Y15" s="382"/>
      <c r="Z15" s="382"/>
      <c r="AA15" s="382"/>
      <c r="AB15" s="382"/>
      <c r="AC15" s="383"/>
    </row>
    <row r="16" spans="2:29" ht="49.2" customHeight="1">
      <c r="B16" s="103"/>
      <c r="C16" s="193" t="s">
        <v>520</v>
      </c>
      <c r="D16" s="194"/>
      <c r="E16" s="195" t="s">
        <v>522</v>
      </c>
      <c r="F16" s="195">
        <f>ejercicio</f>
        <v>2018</v>
      </c>
      <c r="G16" s="196" t="s">
        <v>523</v>
      </c>
      <c r="H16" s="197" t="s">
        <v>524</v>
      </c>
      <c r="I16" s="198" t="s">
        <v>525</v>
      </c>
      <c r="J16" s="195">
        <f>ejercicio</f>
        <v>2018</v>
      </c>
      <c r="K16" s="195" t="s">
        <v>1001</v>
      </c>
      <c r="L16" s="195">
        <f>ejercicio</f>
        <v>2018</v>
      </c>
      <c r="M16" s="1034"/>
      <c r="N16" s="106"/>
      <c r="P16" s="380"/>
      <c r="Q16" s="382"/>
      <c r="R16" s="382"/>
      <c r="S16" s="382"/>
      <c r="T16" s="382"/>
      <c r="U16" s="382"/>
      <c r="V16" s="382"/>
      <c r="W16" s="382"/>
      <c r="X16" s="382"/>
      <c r="Y16" s="382"/>
      <c r="Z16" s="382"/>
      <c r="AA16" s="382"/>
      <c r="AB16" s="382"/>
      <c r="AC16" s="383"/>
    </row>
    <row r="17" spans="2:29" ht="30" customHeight="1" thickBot="1">
      <c r="B17" s="103"/>
      <c r="C17" s="1042" t="s">
        <v>528</v>
      </c>
      <c r="D17" s="1042"/>
      <c r="E17" s="1042"/>
      <c r="F17" s="1042"/>
      <c r="G17" s="1042"/>
      <c r="H17" s="1042"/>
      <c r="I17" s="1042"/>
      <c r="J17" s="1042"/>
      <c r="K17" s="1042"/>
      <c r="L17" s="1042"/>
      <c r="M17" s="1042"/>
      <c r="N17" s="106"/>
      <c r="P17" s="380"/>
      <c r="Q17" s="382"/>
      <c r="R17" s="382"/>
      <c r="S17" s="382"/>
      <c r="T17" s="382"/>
      <c r="U17" s="382"/>
      <c r="V17" s="382"/>
      <c r="W17" s="382"/>
      <c r="X17" s="382"/>
      <c r="Y17" s="382"/>
      <c r="Z17" s="382"/>
      <c r="AA17" s="382"/>
      <c r="AB17" s="382"/>
      <c r="AC17" s="383"/>
    </row>
    <row r="18" spans="2:29" s="120" customFormat="1" ht="22.95" customHeight="1">
      <c r="B18" s="117"/>
      <c r="C18" s="1038" t="s">
        <v>931</v>
      </c>
      <c r="D18" s="1039"/>
      <c r="E18" s="847">
        <v>2403</v>
      </c>
      <c r="F18" s="449">
        <v>10676000</v>
      </c>
      <c r="G18" s="450"/>
      <c r="H18" s="450"/>
      <c r="I18" s="450"/>
      <c r="J18" s="179">
        <f t="shared" ref="J18:J24" si="0">SUM(F18:I18)</f>
        <v>10676000</v>
      </c>
      <c r="K18" s="457"/>
      <c r="L18" s="458"/>
      <c r="M18" s="843"/>
      <c r="N18" s="118"/>
      <c r="P18" s="380"/>
      <c r="Q18" s="382"/>
      <c r="R18" s="382"/>
      <c r="S18" s="382"/>
      <c r="T18" s="382"/>
      <c r="U18" s="382"/>
      <c r="V18" s="382"/>
      <c r="W18" s="382"/>
      <c r="X18" s="382"/>
      <c r="Y18" s="382"/>
      <c r="Z18" s="382"/>
      <c r="AA18" s="382"/>
      <c r="AB18" s="382"/>
      <c r="AC18" s="383"/>
    </row>
    <row r="19" spans="2:29" ht="22.95" customHeight="1">
      <c r="B19" s="117"/>
      <c r="C19" s="1040" t="s">
        <v>932</v>
      </c>
      <c r="D19" s="1041"/>
      <c r="E19" s="848">
        <v>2403</v>
      </c>
      <c r="F19" s="442">
        <v>60200</v>
      </c>
      <c r="G19" s="443"/>
      <c r="H19" s="443"/>
      <c r="I19" s="443"/>
      <c r="J19" s="170">
        <f t="shared" si="0"/>
        <v>60200</v>
      </c>
      <c r="K19" s="459"/>
      <c r="L19" s="460"/>
      <c r="M19" s="844"/>
      <c r="N19" s="106"/>
      <c r="P19" s="380"/>
      <c r="Q19" s="382"/>
      <c r="R19" s="382"/>
      <c r="S19" s="382"/>
      <c r="T19" s="382"/>
      <c r="U19" s="382"/>
      <c r="V19" s="382"/>
      <c r="W19" s="382"/>
      <c r="X19" s="382"/>
      <c r="Y19" s="382"/>
      <c r="Z19" s="382"/>
      <c r="AA19" s="382"/>
      <c r="AB19" s="382"/>
      <c r="AC19" s="383"/>
    </row>
    <row r="20" spans="2:29" ht="22.95" customHeight="1">
      <c r="B20" s="117"/>
      <c r="C20" s="1040" t="s">
        <v>933</v>
      </c>
      <c r="D20" s="1041"/>
      <c r="E20" s="848">
        <v>2403</v>
      </c>
      <c r="F20" s="442">
        <v>210354.24</v>
      </c>
      <c r="G20" s="443"/>
      <c r="H20" s="443"/>
      <c r="I20" s="443"/>
      <c r="J20" s="170">
        <f t="shared" si="0"/>
        <v>210354.24</v>
      </c>
      <c r="K20" s="459"/>
      <c r="L20" s="460"/>
      <c r="M20" s="844"/>
      <c r="N20" s="106"/>
      <c r="P20" s="380"/>
      <c r="Q20" s="382"/>
      <c r="R20" s="382"/>
      <c r="S20" s="382"/>
      <c r="T20" s="382"/>
      <c r="U20" s="382"/>
      <c r="V20" s="382"/>
      <c r="W20" s="382"/>
      <c r="X20" s="382"/>
      <c r="Y20" s="382"/>
      <c r="Z20" s="382"/>
      <c r="AA20" s="382"/>
      <c r="AB20" s="382"/>
      <c r="AC20" s="383"/>
    </row>
    <row r="21" spans="2:29" ht="22.95" customHeight="1">
      <c r="B21" s="117"/>
      <c r="C21" s="1040" t="s">
        <v>934</v>
      </c>
      <c r="D21" s="1041" t="s">
        <v>934</v>
      </c>
      <c r="E21" s="848">
        <v>2404</v>
      </c>
      <c r="F21" s="442">
        <v>1626810</v>
      </c>
      <c r="G21" s="443"/>
      <c r="H21" s="443"/>
      <c r="I21" s="443"/>
      <c r="J21" s="170">
        <f t="shared" si="0"/>
        <v>1626810</v>
      </c>
      <c r="K21" s="459"/>
      <c r="L21" s="460"/>
      <c r="M21" s="844"/>
      <c r="N21" s="106"/>
      <c r="P21" s="380"/>
      <c r="Q21" s="382"/>
      <c r="R21" s="382"/>
      <c r="S21" s="382"/>
      <c r="T21" s="382"/>
      <c r="U21" s="382"/>
      <c r="V21" s="382"/>
      <c r="W21" s="382"/>
      <c r="X21" s="382"/>
      <c r="Y21" s="382"/>
      <c r="Z21" s="382"/>
      <c r="AA21" s="382"/>
      <c r="AB21" s="382"/>
      <c r="AC21" s="383"/>
    </row>
    <row r="22" spans="2:29" ht="22.95" customHeight="1">
      <c r="B22" s="117"/>
      <c r="C22" s="1040" t="s">
        <v>935</v>
      </c>
      <c r="D22" s="1041" t="s">
        <v>935</v>
      </c>
      <c r="E22" s="849">
        <v>2404</v>
      </c>
      <c r="F22" s="451">
        <v>2250000</v>
      </c>
      <c r="G22" s="452"/>
      <c r="H22" s="452">
        <v>-680680</v>
      </c>
      <c r="I22" s="452"/>
      <c r="J22" s="170">
        <f t="shared" si="0"/>
        <v>1569320</v>
      </c>
      <c r="K22" s="461"/>
      <c r="L22" s="462"/>
      <c r="M22" s="845"/>
      <c r="N22" s="106"/>
      <c r="P22" s="380"/>
      <c r="Q22" s="382"/>
      <c r="R22" s="382"/>
      <c r="S22" s="382"/>
      <c r="T22" s="382"/>
      <c r="U22" s="382"/>
      <c r="V22" s="382"/>
      <c r="W22" s="382"/>
      <c r="X22" s="382"/>
      <c r="Y22" s="382"/>
      <c r="Z22" s="382"/>
      <c r="AA22" s="382"/>
      <c r="AB22" s="382"/>
      <c r="AC22" s="383"/>
    </row>
    <row r="23" spans="2:29" ht="22.95" customHeight="1">
      <c r="B23" s="117"/>
      <c r="C23" s="1040" t="s">
        <v>936</v>
      </c>
      <c r="D23" s="1041" t="s">
        <v>936</v>
      </c>
      <c r="E23" s="849">
        <v>2404</v>
      </c>
      <c r="F23" s="451">
        <v>1812412.1</v>
      </c>
      <c r="G23" s="452"/>
      <c r="H23" s="452"/>
      <c r="I23" s="452"/>
      <c r="J23" s="170">
        <f t="shared" si="0"/>
        <v>1812412.1</v>
      </c>
      <c r="K23" s="461"/>
      <c r="L23" s="462"/>
      <c r="M23" s="845"/>
      <c r="N23" s="106"/>
      <c r="P23" s="380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383"/>
    </row>
    <row r="24" spans="2:29" ht="22.95" customHeight="1">
      <c r="B24" s="117"/>
      <c r="C24" s="453" t="s">
        <v>937</v>
      </c>
      <c r="D24" s="454"/>
      <c r="E24" s="850">
        <v>2404</v>
      </c>
      <c r="F24" s="446">
        <v>0</v>
      </c>
      <c r="G24" s="447"/>
      <c r="H24" s="447"/>
      <c r="I24" s="447"/>
      <c r="J24" s="171">
        <f t="shared" si="0"/>
        <v>0</v>
      </c>
      <c r="K24" s="463"/>
      <c r="L24" s="464"/>
      <c r="M24" s="846" t="s">
        <v>938</v>
      </c>
      <c r="N24" s="106"/>
      <c r="P24" s="380"/>
      <c r="Q24" s="382"/>
      <c r="R24" s="382"/>
      <c r="S24" s="382"/>
      <c r="T24" s="382"/>
      <c r="U24" s="382"/>
      <c r="V24" s="382"/>
      <c r="W24" s="382"/>
      <c r="X24" s="382"/>
      <c r="Y24" s="382"/>
      <c r="Z24" s="382"/>
      <c r="AA24" s="382"/>
      <c r="AB24" s="382"/>
      <c r="AC24" s="383"/>
    </row>
    <row r="25" spans="2:29" ht="22.95" customHeight="1" thickBot="1">
      <c r="B25" s="117"/>
      <c r="C25" s="157" t="s">
        <v>503</v>
      </c>
      <c r="D25" s="158"/>
      <c r="E25" s="127"/>
      <c r="F25" s="127">
        <f>SUM(F18:F24)</f>
        <v>16635776.34</v>
      </c>
      <c r="G25" s="127">
        <f>SUM(G18:G24)</f>
        <v>0</v>
      </c>
      <c r="H25" s="127">
        <f>SUM(H18:H24)</f>
        <v>-680680</v>
      </c>
      <c r="I25" s="127">
        <f>SUM(I18:I24)</f>
        <v>0</v>
      </c>
      <c r="J25" s="127">
        <f>SUM(J18:J24)</f>
        <v>15955096.34</v>
      </c>
      <c r="K25" s="174"/>
      <c r="L25" s="127">
        <f>SUM(L18:L24)</f>
        <v>0</v>
      </c>
      <c r="M25" s="159"/>
      <c r="N25" s="106"/>
      <c r="P25" s="380"/>
      <c r="Q25" s="382"/>
      <c r="R25" s="382"/>
      <c r="S25" s="382"/>
      <c r="T25" s="382"/>
      <c r="U25" s="382"/>
      <c r="V25" s="382"/>
      <c r="W25" s="382"/>
      <c r="X25" s="382"/>
      <c r="Y25" s="382"/>
      <c r="Z25" s="382"/>
      <c r="AA25" s="382"/>
      <c r="AB25" s="382"/>
      <c r="AC25" s="383"/>
    </row>
    <row r="26" spans="2:29" ht="30" customHeight="1" thickBot="1">
      <c r="B26" s="103"/>
      <c r="C26" s="1046" t="s">
        <v>529</v>
      </c>
      <c r="D26" s="1046"/>
      <c r="E26" s="1046"/>
      <c r="F26" s="1046"/>
      <c r="G26" s="1046"/>
      <c r="H26" s="1046"/>
      <c r="I26" s="1046"/>
      <c r="J26" s="1046"/>
      <c r="K26" s="1046"/>
      <c r="L26" s="1046"/>
      <c r="M26" s="1046"/>
      <c r="N26" s="106"/>
      <c r="P26" s="380"/>
      <c r="Q26" s="382"/>
      <c r="R26" s="382"/>
      <c r="S26" s="382"/>
      <c r="T26" s="382"/>
      <c r="U26" s="382"/>
      <c r="V26" s="382"/>
      <c r="W26" s="382"/>
      <c r="X26" s="382"/>
      <c r="Y26" s="382"/>
      <c r="Z26" s="382"/>
      <c r="AA26" s="382"/>
      <c r="AB26" s="382"/>
      <c r="AC26" s="383"/>
    </row>
    <row r="27" spans="2:29" ht="22.95" customHeight="1">
      <c r="B27" s="117"/>
      <c r="C27" s="1040" t="s">
        <v>945</v>
      </c>
      <c r="D27" s="1041"/>
      <c r="E27" s="849">
        <v>5523.5523999999996</v>
      </c>
      <c r="F27" s="981">
        <v>160002.97</v>
      </c>
      <c r="G27" s="982">
        <v>96786.16</v>
      </c>
      <c r="H27" s="450"/>
      <c r="I27" s="450"/>
      <c r="J27" s="179">
        <f t="shared" ref="J27:J33" si="1">SUM(F27:I27)</f>
        <v>256789.13</v>
      </c>
      <c r="K27" s="457"/>
      <c r="L27" s="458"/>
      <c r="M27" s="843"/>
      <c r="N27" s="118"/>
      <c r="P27" s="380"/>
      <c r="Q27" s="382"/>
      <c r="R27" s="382"/>
      <c r="S27" s="382"/>
      <c r="T27" s="382"/>
      <c r="U27" s="382"/>
      <c r="V27" s="382"/>
      <c r="W27" s="382"/>
      <c r="X27" s="382"/>
      <c r="Y27" s="382"/>
      <c r="Z27" s="382"/>
      <c r="AA27" s="382"/>
      <c r="AB27" s="382"/>
      <c r="AC27" s="383"/>
    </row>
    <row r="28" spans="2:29" ht="22.95" customHeight="1">
      <c r="B28" s="117"/>
      <c r="C28" s="1044" t="s">
        <v>944</v>
      </c>
      <c r="D28" s="1045"/>
      <c r="E28" s="850">
        <v>5328</v>
      </c>
      <c r="F28" s="446">
        <v>1989424.84</v>
      </c>
      <c r="G28" s="443"/>
      <c r="H28" s="443">
        <v>-400000</v>
      </c>
      <c r="I28" s="443"/>
      <c r="J28" s="170">
        <f t="shared" si="1"/>
        <v>1589424.84</v>
      </c>
      <c r="K28" s="459"/>
      <c r="L28" s="460"/>
      <c r="M28" s="844"/>
      <c r="N28" s="106"/>
      <c r="P28" s="380"/>
      <c r="Q28" s="382"/>
      <c r="R28" s="382"/>
      <c r="S28" s="382"/>
      <c r="T28" s="382"/>
      <c r="U28" s="382"/>
      <c r="V28" s="382"/>
      <c r="W28" s="382"/>
      <c r="X28" s="382"/>
      <c r="Y28" s="382"/>
      <c r="Z28" s="382"/>
      <c r="AA28" s="382"/>
      <c r="AB28" s="382"/>
      <c r="AC28" s="383"/>
    </row>
    <row r="29" spans="2:29" ht="22.95" customHeight="1">
      <c r="B29" s="117"/>
      <c r="C29" s="943"/>
      <c r="D29" s="944"/>
      <c r="E29" s="848"/>
      <c r="F29" s="442"/>
      <c r="G29" s="443"/>
      <c r="H29" s="443"/>
      <c r="I29" s="443"/>
      <c r="J29" s="170">
        <f t="shared" si="1"/>
        <v>0</v>
      </c>
      <c r="K29" s="459"/>
      <c r="L29" s="460"/>
      <c r="M29" s="844"/>
      <c r="N29" s="106"/>
      <c r="P29" s="380"/>
      <c r="Q29" s="382"/>
      <c r="R29" s="382"/>
      <c r="S29" s="382"/>
      <c r="T29" s="382"/>
      <c r="U29" s="382"/>
      <c r="V29" s="382"/>
      <c r="W29" s="382"/>
      <c r="X29" s="382"/>
      <c r="Y29" s="382"/>
      <c r="Z29" s="382"/>
      <c r="AA29" s="382"/>
      <c r="AB29" s="382"/>
      <c r="AC29" s="383"/>
    </row>
    <row r="30" spans="2:29" ht="22.95" customHeight="1">
      <c r="B30" s="117"/>
      <c r="C30" s="943"/>
      <c r="D30" s="944"/>
      <c r="E30" s="849"/>
      <c r="F30" s="451"/>
      <c r="G30" s="443"/>
      <c r="H30" s="443"/>
      <c r="I30" s="443"/>
      <c r="J30" s="170">
        <f t="shared" si="1"/>
        <v>0</v>
      </c>
      <c r="K30" s="459"/>
      <c r="L30" s="460"/>
      <c r="M30" s="844"/>
      <c r="N30" s="106"/>
      <c r="P30" s="390"/>
      <c r="Q30" s="391"/>
      <c r="R30" s="391"/>
      <c r="S30" s="391"/>
      <c r="T30" s="391"/>
      <c r="U30" s="391"/>
      <c r="V30" s="391"/>
      <c r="W30" s="391"/>
      <c r="X30" s="391"/>
      <c r="Y30" s="391"/>
      <c r="Z30" s="391"/>
      <c r="AA30" s="391"/>
      <c r="AB30" s="391"/>
      <c r="AC30" s="392"/>
    </row>
    <row r="31" spans="2:29" ht="22.95" customHeight="1">
      <c r="B31" s="117"/>
      <c r="C31" s="1040"/>
      <c r="D31" s="1041"/>
      <c r="E31" s="849"/>
      <c r="F31" s="451"/>
      <c r="G31" s="452"/>
      <c r="H31" s="452"/>
      <c r="I31" s="452"/>
      <c r="J31" s="170">
        <f t="shared" si="1"/>
        <v>0</v>
      </c>
      <c r="K31" s="461"/>
      <c r="L31" s="462"/>
      <c r="M31" s="845"/>
      <c r="N31" s="106"/>
      <c r="P31" s="390"/>
      <c r="Q31" s="391"/>
      <c r="R31" s="391"/>
      <c r="S31" s="391"/>
      <c r="T31" s="391"/>
      <c r="U31" s="391"/>
      <c r="V31" s="391"/>
      <c r="W31" s="391"/>
      <c r="X31" s="391"/>
      <c r="Y31" s="391"/>
      <c r="Z31" s="391"/>
      <c r="AA31" s="391"/>
      <c r="AB31" s="391"/>
      <c r="AC31" s="392"/>
    </row>
    <row r="32" spans="2:29" ht="22.95" customHeight="1">
      <c r="B32" s="117"/>
      <c r="C32" s="1040"/>
      <c r="D32" s="1041"/>
      <c r="E32" s="849"/>
      <c r="F32" s="451"/>
      <c r="G32" s="452"/>
      <c r="H32" s="452"/>
      <c r="I32" s="452"/>
      <c r="J32" s="170">
        <f t="shared" si="1"/>
        <v>0</v>
      </c>
      <c r="K32" s="461"/>
      <c r="L32" s="462"/>
      <c r="M32" s="845"/>
      <c r="N32" s="106"/>
      <c r="P32" s="380"/>
      <c r="Q32" s="382"/>
      <c r="R32" s="382"/>
      <c r="S32" s="382"/>
      <c r="T32" s="382"/>
      <c r="U32" s="382"/>
      <c r="V32" s="382"/>
      <c r="W32" s="382"/>
      <c r="X32" s="382"/>
      <c r="Y32" s="382"/>
      <c r="Z32" s="382"/>
      <c r="AA32" s="382"/>
      <c r="AB32" s="382"/>
      <c r="AC32" s="383"/>
    </row>
    <row r="33" spans="2:29" ht="22.95" customHeight="1">
      <c r="B33" s="117"/>
      <c r="C33" s="1044"/>
      <c r="D33" s="1045"/>
      <c r="E33" s="850"/>
      <c r="F33" s="446"/>
      <c r="G33" s="447"/>
      <c r="H33" s="447"/>
      <c r="I33" s="447"/>
      <c r="J33" s="171">
        <f t="shared" si="1"/>
        <v>0</v>
      </c>
      <c r="K33" s="463"/>
      <c r="L33" s="464"/>
      <c r="M33" s="846"/>
      <c r="N33" s="106"/>
      <c r="P33" s="380"/>
      <c r="Q33" s="382"/>
      <c r="R33" s="382"/>
      <c r="S33" s="382"/>
      <c r="T33" s="382"/>
      <c r="U33" s="382"/>
      <c r="V33" s="382"/>
      <c r="W33" s="382"/>
      <c r="X33" s="382"/>
      <c r="Y33" s="382"/>
      <c r="Z33" s="382"/>
      <c r="AA33" s="382"/>
      <c r="AB33" s="382"/>
      <c r="AC33" s="383"/>
    </row>
    <row r="34" spans="2:29" ht="22.95" customHeight="1" thickBot="1">
      <c r="B34" s="117"/>
      <c r="C34" s="157" t="s">
        <v>503</v>
      </c>
      <c r="D34" s="158"/>
      <c r="E34" s="127"/>
      <c r="F34" s="127">
        <f>SUM(F27:F33)</f>
        <v>2149427.81</v>
      </c>
      <c r="G34" s="127">
        <f>SUM(G27:G33)</f>
        <v>96786.16</v>
      </c>
      <c r="H34" s="127">
        <f>SUM(H27:H33)</f>
        <v>-400000</v>
      </c>
      <c r="I34" s="127">
        <f>SUM(I27:I33)</f>
        <v>0</v>
      </c>
      <c r="J34" s="127">
        <f>SUM(J27:J33)</f>
        <v>1846213.9700000002</v>
      </c>
      <c r="K34" s="174"/>
      <c r="L34" s="127">
        <f>SUM(L27:L33)</f>
        <v>0</v>
      </c>
      <c r="M34" s="159"/>
      <c r="N34" s="106"/>
      <c r="P34" s="380"/>
      <c r="Q34" s="382"/>
      <c r="R34" s="382"/>
      <c r="S34" s="382"/>
      <c r="T34" s="382"/>
      <c r="U34" s="382"/>
      <c r="V34" s="382"/>
      <c r="W34" s="382"/>
      <c r="X34" s="382"/>
      <c r="Y34" s="382"/>
      <c r="Z34" s="382"/>
      <c r="AA34" s="382"/>
      <c r="AB34" s="382"/>
      <c r="AC34" s="383"/>
    </row>
    <row r="35" spans="2:29" ht="22.95" customHeight="1">
      <c r="B35" s="117"/>
      <c r="C35" s="1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106"/>
      <c r="P35" s="380"/>
      <c r="Q35" s="382"/>
      <c r="R35" s="382"/>
      <c r="S35" s="382"/>
      <c r="T35" s="382"/>
      <c r="U35" s="382"/>
      <c r="V35" s="382"/>
      <c r="W35" s="382"/>
      <c r="X35" s="382"/>
      <c r="Y35" s="382"/>
      <c r="Z35" s="382"/>
      <c r="AA35" s="382"/>
      <c r="AB35" s="382"/>
      <c r="AC35" s="383"/>
    </row>
    <row r="36" spans="2:29" ht="22.95" customHeight="1">
      <c r="B36" s="117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148"/>
      <c r="N36" s="106"/>
      <c r="P36" s="393"/>
      <c r="Q36" s="394"/>
      <c r="R36" s="394"/>
      <c r="S36" s="394"/>
      <c r="T36" s="394"/>
      <c r="U36" s="394"/>
      <c r="V36" s="394"/>
      <c r="W36" s="394"/>
      <c r="X36" s="394"/>
      <c r="Y36" s="394"/>
      <c r="Z36" s="394"/>
      <c r="AA36" s="394"/>
      <c r="AB36" s="394"/>
      <c r="AC36" s="395"/>
    </row>
    <row r="37" spans="2:29" ht="22.95" customHeight="1">
      <c r="B37" s="117"/>
      <c r="C37" s="66" t="s">
        <v>531</v>
      </c>
      <c r="D37" s="22"/>
      <c r="E37" s="96"/>
      <c r="F37" s="96"/>
      <c r="G37" s="96"/>
      <c r="H37" s="96"/>
      <c r="I37" s="96"/>
      <c r="J37" s="96"/>
      <c r="K37" s="96"/>
      <c r="L37" s="96"/>
      <c r="M37" s="96"/>
      <c r="N37" s="106"/>
      <c r="P37" s="393"/>
      <c r="Q37" s="394"/>
      <c r="R37" s="394"/>
      <c r="S37" s="394"/>
      <c r="T37" s="394"/>
      <c r="U37" s="394"/>
      <c r="V37" s="394"/>
      <c r="W37" s="394"/>
      <c r="X37" s="394"/>
      <c r="Y37" s="394"/>
      <c r="Z37" s="394"/>
      <c r="AA37" s="394"/>
      <c r="AB37" s="394"/>
      <c r="AC37" s="395"/>
    </row>
    <row r="38" spans="2:29" ht="22.95" customHeight="1">
      <c r="B38" s="117"/>
      <c r="C38" s="22"/>
      <c r="D38" s="22"/>
      <c r="E38" s="96"/>
      <c r="F38" s="96"/>
      <c r="G38" s="96"/>
      <c r="H38" s="96"/>
      <c r="I38" s="96"/>
      <c r="J38" s="96"/>
      <c r="K38" s="96"/>
      <c r="L38" s="96"/>
      <c r="M38" s="96"/>
      <c r="N38" s="106"/>
      <c r="P38" s="393"/>
      <c r="Q38" s="394"/>
      <c r="R38" s="394"/>
      <c r="S38" s="394"/>
      <c r="T38" s="394"/>
      <c r="U38" s="394"/>
      <c r="V38" s="394"/>
      <c r="W38" s="394"/>
      <c r="X38" s="394"/>
      <c r="Y38" s="394"/>
      <c r="Z38" s="394"/>
      <c r="AA38" s="394"/>
      <c r="AB38" s="394"/>
      <c r="AC38" s="395"/>
    </row>
    <row r="39" spans="2:29" ht="22.95" customHeight="1">
      <c r="B39" s="117"/>
      <c r="C39" s="190"/>
      <c r="D39" s="191"/>
      <c r="E39" s="192" t="s">
        <v>521</v>
      </c>
      <c r="F39" s="192" t="s">
        <v>497</v>
      </c>
      <c r="G39" s="1035" t="s">
        <v>505</v>
      </c>
      <c r="H39" s="1036"/>
      <c r="I39" s="1036"/>
      <c r="J39" s="192" t="s">
        <v>516</v>
      </c>
      <c r="K39" s="192" t="s">
        <v>526</v>
      </c>
      <c r="L39" s="192" t="s">
        <v>527</v>
      </c>
      <c r="M39" s="1033" t="s">
        <v>1005</v>
      </c>
      <c r="N39" s="106"/>
      <c r="P39" s="393"/>
      <c r="Q39" s="394"/>
      <c r="R39" s="394"/>
      <c r="S39" s="394"/>
      <c r="T39" s="394"/>
      <c r="U39" s="394"/>
      <c r="V39" s="394"/>
      <c r="W39" s="394"/>
      <c r="X39" s="394"/>
      <c r="Y39" s="394"/>
      <c r="Z39" s="394"/>
      <c r="AA39" s="394"/>
      <c r="AB39" s="394"/>
      <c r="AC39" s="395"/>
    </row>
    <row r="40" spans="2:29" ht="49.2" customHeight="1">
      <c r="B40" s="117"/>
      <c r="C40" s="193" t="s">
        <v>520</v>
      </c>
      <c r="D40" s="194"/>
      <c r="E40" s="195" t="s">
        <v>522</v>
      </c>
      <c r="F40" s="195">
        <f>ejercicio</f>
        <v>2018</v>
      </c>
      <c r="G40" s="196" t="s">
        <v>523</v>
      </c>
      <c r="H40" s="197" t="s">
        <v>524</v>
      </c>
      <c r="I40" s="198" t="s">
        <v>525</v>
      </c>
      <c r="J40" s="195">
        <f>ejercicio</f>
        <v>2018</v>
      </c>
      <c r="K40" s="195" t="s">
        <v>1004</v>
      </c>
      <c r="L40" s="195">
        <f>ejercicio</f>
        <v>2018</v>
      </c>
      <c r="M40" s="1034"/>
      <c r="N40" s="106"/>
      <c r="P40" s="393"/>
      <c r="Q40" s="394"/>
      <c r="R40" s="394"/>
      <c r="S40" s="394"/>
      <c r="T40" s="394"/>
      <c r="U40" s="394"/>
      <c r="V40" s="394"/>
      <c r="W40" s="394"/>
      <c r="X40" s="394"/>
      <c r="Y40" s="394"/>
      <c r="Z40" s="394"/>
      <c r="AA40" s="394"/>
      <c r="AB40" s="394"/>
      <c r="AC40" s="395"/>
    </row>
    <row r="41" spans="2:29" ht="30" customHeight="1" thickBot="1">
      <c r="B41" s="117"/>
      <c r="C41" s="1042" t="s">
        <v>532</v>
      </c>
      <c r="D41" s="1042"/>
      <c r="E41" s="1042"/>
      <c r="F41" s="1042"/>
      <c r="G41" s="1042"/>
      <c r="H41" s="1042"/>
      <c r="I41" s="1042"/>
      <c r="J41" s="1042"/>
      <c r="K41" s="1042"/>
      <c r="L41" s="1042"/>
      <c r="M41" s="1042"/>
      <c r="N41" s="106"/>
      <c r="P41" s="393"/>
      <c r="Q41" s="394"/>
      <c r="R41" s="394"/>
      <c r="S41" s="394"/>
      <c r="T41" s="394"/>
      <c r="U41" s="394"/>
      <c r="V41" s="394"/>
      <c r="W41" s="394"/>
      <c r="X41" s="394"/>
      <c r="Y41" s="394"/>
      <c r="Z41" s="394"/>
      <c r="AA41" s="394"/>
      <c r="AB41" s="394"/>
      <c r="AC41" s="395"/>
    </row>
    <row r="42" spans="2:29" ht="22.95" customHeight="1">
      <c r="B42" s="117"/>
      <c r="C42" s="1038" t="s">
        <v>939</v>
      </c>
      <c r="D42" s="1039"/>
      <c r="E42" s="847">
        <v>250</v>
      </c>
      <c r="F42" s="449">
        <v>20734.919999999998</v>
      </c>
      <c r="G42" s="450"/>
      <c r="H42" s="450"/>
      <c r="I42" s="450"/>
      <c r="J42" s="179">
        <f t="shared" ref="J42:J48" si="2">SUM(F42:I42)</f>
        <v>20734.919999999998</v>
      </c>
      <c r="K42" s="457"/>
      <c r="L42" s="839"/>
      <c r="M42" s="843"/>
      <c r="N42" s="106"/>
      <c r="P42" s="393"/>
      <c r="Q42" s="394"/>
      <c r="R42" s="394"/>
      <c r="S42" s="394"/>
      <c r="T42" s="394"/>
      <c r="U42" s="394"/>
      <c r="V42" s="394"/>
      <c r="W42" s="394"/>
      <c r="X42" s="394"/>
      <c r="Y42" s="394"/>
      <c r="Z42" s="394"/>
      <c r="AA42" s="394"/>
      <c r="AB42" s="394"/>
      <c r="AC42" s="395"/>
    </row>
    <row r="43" spans="2:29" ht="22.95" customHeight="1">
      <c r="B43" s="117"/>
      <c r="C43" s="1040" t="s">
        <v>940</v>
      </c>
      <c r="D43" s="1041"/>
      <c r="E43" s="848">
        <v>250</v>
      </c>
      <c r="F43" s="442">
        <v>15866.4</v>
      </c>
      <c r="G43" s="443"/>
      <c r="H43" s="443"/>
      <c r="I43" s="443"/>
      <c r="J43" s="170">
        <f t="shared" si="2"/>
        <v>15866.4</v>
      </c>
      <c r="K43" s="459"/>
      <c r="L43" s="840"/>
      <c r="M43" s="844"/>
      <c r="N43" s="106"/>
      <c r="P43" s="393"/>
      <c r="Q43" s="394"/>
      <c r="R43" s="394"/>
      <c r="S43" s="394"/>
      <c r="T43" s="394"/>
      <c r="U43" s="394"/>
      <c r="V43" s="394"/>
      <c r="W43" s="394"/>
      <c r="X43" s="394"/>
      <c r="Y43" s="394"/>
      <c r="Z43" s="394"/>
      <c r="AA43" s="394"/>
      <c r="AB43" s="394"/>
      <c r="AC43" s="395"/>
    </row>
    <row r="44" spans="2:29" ht="22.95" customHeight="1">
      <c r="B44" s="117"/>
      <c r="C44" s="943" t="s">
        <v>941</v>
      </c>
      <c r="D44" s="944"/>
      <c r="E44" s="848">
        <v>250</v>
      </c>
      <c r="F44" s="442">
        <v>27318.76</v>
      </c>
      <c r="G44" s="443"/>
      <c r="H44" s="443"/>
      <c r="I44" s="443"/>
      <c r="J44" s="170">
        <f t="shared" si="2"/>
        <v>27318.76</v>
      </c>
      <c r="K44" s="459"/>
      <c r="L44" s="840"/>
      <c r="M44" s="844"/>
      <c r="N44" s="106"/>
      <c r="P44" s="393"/>
      <c r="Q44" s="394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4"/>
      <c r="AC44" s="395"/>
    </row>
    <row r="45" spans="2:29" ht="22.95" customHeight="1">
      <c r="B45" s="117"/>
      <c r="C45" s="1040"/>
      <c r="D45" s="1041"/>
      <c r="E45" s="848"/>
      <c r="F45" s="442"/>
      <c r="G45" s="443"/>
      <c r="H45" s="443"/>
      <c r="I45" s="443"/>
      <c r="J45" s="170">
        <f t="shared" si="2"/>
        <v>0</v>
      </c>
      <c r="K45" s="459"/>
      <c r="L45" s="840"/>
      <c r="M45" s="844"/>
      <c r="N45" s="106"/>
      <c r="P45" s="393"/>
      <c r="Q45" s="394"/>
      <c r="R45" s="394"/>
      <c r="S45" s="394"/>
      <c r="T45" s="394"/>
      <c r="U45" s="394"/>
      <c r="V45" s="394"/>
      <c r="W45" s="394"/>
      <c r="X45" s="394"/>
      <c r="Y45" s="394"/>
      <c r="Z45" s="394"/>
      <c r="AA45" s="394"/>
      <c r="AB45" s="394"/>
      <c r="AC45" s="395"/>
    </row>
    <row r="46" spans="2:29" ht="22.95" customHeight="1">
      <c r="B46" s="117"/>
      <c r="C46" s="1040"/>
      <c r="D46" s="1041"/>
      <c r="E46" s="849"/>
      <c r="F46" s="451"/>
      <c r="G46" s="452"/>
      <c r="H46" s="452"/>
      <c r="I46" s="452"/>
      <c r="J46" s="170">
        <f t="shared" si="2"/>
        <v>0</v>
      </c>
      <c r="K46" s="461"/>
      <c r="L46" s="841"/>
      <c r="M46" s="845"/>
      <c r="N46" s="106"/>
      <c r="P46" s="393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5"/>
    </row>
    <row r="47" spans="2:29" ht="22.95" customHeight="1">
      <c r="B47" s="117"/>
      <c r="C47" s="1040"/>
      <c r="D47" s="1041"/>
      <c r="E47" s="849"/>
      <c r="F47" s="451"/>
      <c r="G47" s="452"/>
      <c r="H47" s="452"/>
      <c r="I47" s="452"/>
      <c r="J47" s="170">
        <f t="shared" si="2"/>
        <v>0</v>
      </c>
      <c r="K47" s="461"/>
      <c r="L47" s="841"/>
      <c r="M47" s="845"/>
      <c r="N47" s="106"/>
      <c r="P47" s="393"/>
      <c r="Q47" s="394"/>
      <c r="R47" s="394"/>
      <c r="S47" s="394"/>
      <c r="T47" s="394"/>
      <c r="U47" s="394"/>
      <c r="V47" s="394"/>
      <c r="W47" s="394"/>
      <c r="X47" s="394"/>
      <c r="Y47" s="394"/>
      <c r="Z47" s="394"/>
      <c r="AA47" s="394"/>
      <c r="AB47" s="394"/>
      <c r="AC47" s="395"/>
    </row>
    <row r="48" spans="2:29" ht="22.95" customHeight="1">
      <c r="B48" s="117"/>
      <c r="C48" s="1044"/>
      <c r="D48" s="1045"/>
      <c r="E48" s="850"/>
      <c r="F48" s="446"/>
      <c r="G48" s="447"/>
      <c r="H48" s="447"/>
      <c r="I48" s="447"/>
      <c r="J48" s="171">
        <f t="shared" si="2"/>
        <v>0</v>
      </c>
      <c r="K48" s="463"/>
      <c r="L48" s="842"/>
      <c r="M48" s="846"/>
      <c r="N48" s="106"/>
      <c r="P48" s="393"/>
      <c r="Q48" s="394"/>
      <c r="R48" s="394"/>
      <c r="S48" s="394"/>
      <c r="T48" s="394"/>
      <c r="U48" s="394"/>
      <c r="V48" s="394"/>
      <c r="W48" s="394"/>
      <c r="X48" s="394"/>
      <c r="Y48" s="394"/>
      <c r="Z48" s="394"/>
      <c r="AA48" s="394"/>
      <c r="AB48" s="394"/>
      <c r="AC48" s="395"/>
    </row>
    <row r="49" spans="2:29" ht="22.95" customHeight="1" thickBot="1">
      <c r="B49" s="117"/>
      <c r="C49" s="157" t="s">
        <v>503</v>
      </c>
      <c r="D49" s="158"/>
      <c r="E49" s="127"/>
      <c r="F49" s="127">
        <f>SUM(F42:F48)</f>
        <v>63920.08</v>
      </c>
      <c r="G49" s="127">
        <f>SUM(G42:G48)</f>
        <v>0</v>
      </c>
      <c r="H49" s="127">
        <f>SUM(H42:H48)</f>
        <v>0</v>
      </c>
      <c r="I49" s="127">
        <f>SUM(I42:I48)</f>
        <v>0</v>
      </c>
      <c r="J49" s="127">
        <f>SUM(J42:J48)</f>
        <v>63920.08</v>
      </c>
      <c r="K49" s="465"/>
      <c r="L49" s="127">
        <f>SUM(L42:L48)</f>
        <v>0</v>
      </c>
      <c r="M49" s="159"/>
      <c r="N49" s="106"/>
      <c r="P49" s="393"/>
      <c r="Q49" s="394"/>
      <c r="R49" s="394"/>
      <c r="S49" s="394"/>
      <c r="T49" s="394"/>
      <c r="U49" s="394"/>
      <c r="V49" s="394"/>
      <c r="W49" s="394"/>
      <c r="X49" s="394"/>
      <c r="Y49" s="394"/>
      <c r="Z49" s="394"/>
      <c r="AA49" s="394"/>
      <c r="AB49" s="394"/>
      <c r="AC49" s="395"/>
    </row>
    <row r="50" spans="2:29" ht="28.95" customHeight="1" thickBot="1">
      <c r="B50" s="117"/>
      <c r="C50" s="1046" t="s">
        <v>533</v>
      </c>
      <c r="D50" s="1046"/>
      <c r="E50" s="1046"/>
      <c r="F50" s="1046"/>
      <c r="G50" s="1046"/>
      <c r="H50" s="1046"/>
      <c r="I50" s="1046"/>
      <c r="J50" s="1046"/>
      <c r="K50" s="1046"/>
      <c r="L50" s="1046"/>
      <c r="M50" s="1046"/>
      <c r="N50" s="106"/>
      <c r="P50" s="393"/>
      <c r="Q50" s="394"/>
      <c r="R50" s="394"/>
      <c r="S50" s="394"/>
      <c r="T50" s="394"/>
      <c r="U50" s="394"/>
      <c r="V50" s="394"/>
      <c r="W50" s="394"/>
      <c r="X50" s="394"/>
      <c r="Y50" s="394"/>
      <c r="Z50" s="394"/>
      <c r="AA50" s="394"/>
      <c r="AB50" s="394"/>
      <c r="AC50" s="395"/>
    </row>
    <row r="51" spans="2:29" ht="22.95" customHeight="1">
      <c r="B51" s="117"/>
      <c r="C51" s="943" t="s">
        <v>942</v>
      </c>
      <c r="D51" s="944"/>
      <c r="E51" s="849">
        <v>252</v>
      </c>
      <c r="F51" s="451">
        <v>1334</v>
      </c>
      <c r="G51" s="450"/>
      <c r="H51" s="450"/>
      <c r="I51" s="450"/>
      <c r="J51" s="179">
        <f t="shared" ref="J51:J57" si="3">SUM(F51:I51)</f>
        <v>1334</v>
      </c>
      <c r="K51" s="457"/>
      <c r="L51" s="458"/>
      <c r="M51" s="843"/>
      <c r="N51" s="106"/>
      <c r="P51" s="393"/>
      <c r="Q51" s="394"/>
      <c r="R51" s="394"/>
      <c r="S51" s="394"/>
      <c r="T51" s="394"/>
      <c r="U51" s="394"/>
      <c r="V51" s="394"/>
      <c r="W51" s="394"/>
      <c r="X51" s="394"/>
      <c r="Y51" s="394"/>
      <c r="Z51" s="394"/>
      <c r="AA51" s="394"/>
      <c r="AB51" s="394"/>
      <c r="AC51" s="395"/>
    </row>
    <row r="52" spans="2:29" ht="22.95" customHeight="1">
      <c r="B52" s="117"/>
      <c r="C52" s="1040" t="s">
        <v>943</v>
      </c>
      <c r="D52" s="1041"/>
      <c r="E52" s="849">
        <v>260</v>
      </c>
      <c r="F52" s="451">
        <v>16491.68</v>
      </c>
      <c r="G52" s="443"/>
      <c r="H52" s="443"/>
      <c r="I52" s="443"/>
      <c r="J52" s="170">
        <f t="shared" si="3"/>
        <v>16491.68</v>
      </c>
      <c r="K52" s="459"/>
      <c r="L52" s="460"/>
      <c r="M52" s="844"/>
      <c r="N52" s="106"/>
      <c r="P52" s="393"/>
      <c r="Q52" s="394"/>
      <c r="R52" s="394"/>
      <c r="S52" s="394"/>
      <c r="T52" s="394"/>
      <c r="U52" s="394"/>
      <c r="V52" s="394"/>
      <c r="W52" s="394"/>
      <c r="X52" s="394"/>
      <c r="Y52" s="394"/>
      <c r="Z52" s="394"/>
      <c r="AA52" s="394"/>
      <c r="AB52" s="394"/>
      <c r="AC52" s="395"/>
    </row>
    <row r="53" spans="2:29" ht="22.95" customHeight="1">
      <c r="B53" s="117"/>
      <c r="C53" s="1040" t="s">
        <v>52</v>
      </c>
      <c r="D53" s="1041"/>
      <c r="E53" s="848">
        <v>542.54700000000003</v>
      </c>
      <c r="F53" s="442">
        <v>25689589.960000001</v>
      </c>
      <c r="G53" s="443">
        <v>476585.7</v>
      </c>
      <c r="H53" s="443">
        <v>-2376497.5</v>
      </c>
      <c r="I53" s="443"/>
      <c r="J53" s="170">
        <f t="shared" si="3"/>
        <v>23789678.16</v>
      </c>
      <c r="K53" s="459"/>
      <c r="L53" s="460"/>
      <c r="M53" s="844"/>
      <c r="N53" s="106"/>
      <c r="P53" s="393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5"/>
    </row>
    <row r="54" spans="2:29" ht="22.95" customHeight="1">
      <c r="B54" s="117"/>
      <c r="C54" s="1040" t="s">
        <v>50</v>
      </c>
      <c r="D54" s="1041"/>
      <c r="E54" s="848">
        <v>541</v>
      </c>
      <c r="F54" s="442">
        <v>4400</v>
      </c>
      <c r="G54" s="443"/>
      <c r="H54" s="443"/>
      <c r="I54" s="443"/>
      <c r="J54" s="170">
        <f t="shared" si="3"/>
        <v>4400</v>
      </c>
      <c r="K54" s="459"/>
      <c r="L54" s="460"/>
      <c r="M54" s="844"/>
      <c r="N54" s="106"/>
      <c r="P54" s="393"/>
      <c r="Q54" s="394"/>
      <c r="R54" s="394"/>
      <c r="S54" s="394"/>
      <c r="T54" s="394"/>
      <c r="U54" s="394"/>
      <c r="V54" s="394"/>
      <c r="W54" s="394"/>
      <c r="X54" s="394"/>
      <c r="Y54" s="394"/>
      <c r="Z54" s="394"/>
      <c r="AA54" s="394"/>
      <c r="AB54" s="394"/>
      <c r="AC54" s="395"/>
    </row>
    <row r="55" spans="2:29" ht="22.95" customHeight="1">
      <c r="B55" s="117"/>
      <c r="C55" s="1040" t="s">
        <v>51</v>
      </c>
      <c r="D55" s="1041"/>
      <c r="E55" s="849">
        <v>552.56500000000005</v>
      </c>
      <c r="F55" s="981">
        <v>6065.87</v>
      </c>
      <c r="G55" s="983"/>
      <c r="H55" s="983">
        <v>-6065.87</v>
      </c>
      <c r="I55" s="452"/>
      <c r="J55" s="170">
        <f t="shared" si="3"/>
        <v>0</v>
      </c>
      <c r="K55" s="461"/>
      <c r="L55" s="462"/>
      <c r="M55" s="845"/>
      <c r="N55" s="106"/>
      <c r="P55" s="393"/>
      <c r="Q55" s="394"/>
      <c r="R55" s="394"/>
      <c r="S55" s="394"/>
      <c r="T55" s="394"/>
      <c r="U55" s="394"/>
      <c r="V55" s="394"/>
      <c r="W55" s="394"/>
      <c r="X55" s="394"/>
      <c r="Y55" s="394"/>
      <c r="Z55" s="394"/>
      <c r="AA55" s="394"/>
      <c r="AB55" s="394"/>
      <c r="AC55" s="395"/>
    </row>
    <row r="56" spans="2:29" ht="22.95" customHeight="1">
      <c r="B56" s="117"/>
      <c r="C56" s="1047"/>
      <c r="D56" s="1041"/>
      <c r="E56" s="849"/>
      <c r="F56" s="451"/>
      <c r="G56" s="452"/>
      <c r="H56" s="452"/>
      <c r="I56" s="452"/>
      <c r="J56" s="170">
        <f t="shared" si="3"/>
        <v>0</v>
      </c>
      <c r="K56" s="461"/>
      <c r="L56" s="462"/>
      <c r="M56" s="845"/>
      <c r="N56" s="106"/>
      <c r="P56" s="393"/>
      <c r="Q56" s="394"/>
      <c r="R56" s="394"/>
      <c r="S56" s="394"/>
      <c r="T56" s="394"/>
      <c r="U56" s="394"/>
      <c r="V56" s="394"/>
      <c r="W56" s="394"/>
      <c r="X56" s="394"/>
      <c r="Y56" s="394"/>
      <c r="Z56" s="394"/>
      <c r="AA56" s="394"/>
      <c r="AB56" s="394"/>
      <c r="AC56" s="395"/>
    </row>
    <row r="57" spans="2:29" ht="22.95" customHeight="1">
      <c r="B57" s="117"/>
      <c r="C57" s="1044"/>
      <c r="D57" s="1045"/>
      <c r="E57" s="850"/>
      <c r="F57" s="446"/>
      <c r="G57" s="447"/>
      <c r="H57" s="447"/>
      <c r="I57" s="447"/>
      <c r="J57" s="171">
        <f t="shared" si="3"/>
        <v>0</v>
      </c>
      <c r="K57" s="463"/>
      <c r="L57" s="464"/>
      <c r="M57" s="846"/>
      <c r="N57" s="106"/>
      <c r="P57" s="393"/>
      <c r="Q57" s="394"/>
      <c r="R57" s="394"/>
      <c r="S57" s="394"/>
      <c r="T57" s="394"/>
      <c r="U57" s="394"/>
      <c r="V57" s="394"/>
      <c r="W57" s="394"/>
      <c r="X57" s="394"/>
      <c r="Y57" s="394"/>
      <c r="Z57" s="394"/>
      <c r="AA57" s="394"/>
      <c r="AB57" s="394"/>
      <c r="AC57" s="395"/>
    </row>
    <row r="58" spans="2:29" ht="22.95" customHeight="1" thickBot="1">
      <c r="B58" s="117"/>
      <c r="C58" s="157" t="s">
        <v>503</v>
      </c>
      <c r="D58" s="158"/>
      <c r="E58" s="127"/>
      <c r="F58" s="127">
        <f>SUM(F51:F57)</f>
        <v>25717881.510000002</v>
      </c>
      <c r="G58" s="127">
        <f>SUM(G51:G57)</f>
        <v>476585.7</v>
      </c>
      <c r="H58" s="127">
        <f>SUM(H51:H57)</f>
        <v>-2382563.37</v>
      </c>
      <c r="I58" s="127">
        <f>SUM(I51:I57)</f>
        <v>0</v>
      </c>
      <c r="J58" s="127">
        <f>SUM(J51:J57)</f>
        <v>23811903.84</v>
      </c>
      <c r="K58" s="174"/>
      <c r="L58" s="127">
        <f>SUM(L51:L57)</f>
        <v>0</v>
      </c>
      <c r="M58" s="159"/>
      <c r="N58" s="106"/>
      <c r="P58" s="393"/>
      <c r="Q58" s="394"/>
      <c r="R58" s="394"/>
      <c r="S58" s="394"/>
      <c r="T58" s="394"/>
      <c r="U58" s="394"/>
      <c r="V58" s="394"/>
      <c r="W58" s="394"/>
      <c r="X58" s="394"/>
      <c r="Y58" s="394"/>
      <c r="Z58" s="394"/>
      <c r="AA58" s="394"/>
      <c r="AB58" s="394"/>
      <c r="AC58" s="395"/>
    </row>
    <row r="59" spans="2:29" ht="22.95" customHeight="1">
      <c r="B59" s="117"/>
      <c r="C59" s="147"/>
      <c r="D59" s="147"/>
      <c r="E59" s="148"/>
      <c r="F59" s="148"/>
      <c r="G59" s="148"/>
      <c r="H59" s="148"/>
      <c r="I59" s="148"/>
      <c r="J59" s="148"/>
      <c r="K59" s="148"/>
      <c r="L59" s="148"/>
      <c r="M59" s="148"/>
      <c r="N59" s="106"/>
      <c r="P59" s="393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5"/>
    </row>
    <row r="60" spans="2:29" ht="22.95" customHeight="1">
      <c r="B60" s="117"/>
      <c r="C60" s="166" t="s">
        <v>514</v>
      </c>
      <c r="D60" s="164"/>
      <c r="E60" s="165"/>
      <c r="F60" s="165"/>
      <c r="G60" s="165"/>
      <c r="H60" s="165"/>
      <c r="I60" s="165"/>
      <c r="J60" s="165"/>
      <c r="K60" s="165"/>
      <c r="L60" s="165"/>
      <c r="M60" s="96"/>
      <c r="N60" s="106"/>
      <c r="P60" s="393"/>
      <c r="Q60" s="394"/>
      <c r="R60" s="394"/>
      <c r="S60" s="394"/>
      <c r="T60" s="394"/>
      <c r="U60" s="394"/>
      <c r="V60" s="394"/>
      <c r="W60" s="394"/>
      <c r="X60" s="394"/>
      <c r="Y60" s="394"/>
      <c r="Z60" s="394"/>
      <c r="AA60" s="394"/>
      <c r="AB60" s="394"/>
      <c r="AC60" s="395"/>
    </row>
    <row r="61" spans="2:29" ht="17.399999999999999">
      <c r="B61" s="117"/>
      <c r="C61" s="164" t="s">
        <v>534</v>
      </c>
      <c r="D61" s="164"/>
      <c r="E61" s="165"/>
      <c r="F61" s="165"/>
      <c r="G61" s="165"/>
      <c r="H61" s="165"/>
      <c r="I61" s="165"/>
      <c r="J61" s="165"/>
      <c r="K61" s="165"/>
      <c r="L61" s="165"/>
      <c r="M61" s="96"/>
      <c r="N61" s="106"/>
      <c r="P61" s="393"/>
      <c r="Q61" s="394"/>
      <c r="R61" s="394"/>
      <c r="S61" s="394"/>
      <c r="T61" s="394"/>
      <c r="U61" s="394"/>
      <c r="V61" s="394"/>
      <c r="W61" s="394"/>
      <c r="X61" s="394"/>
      <c r="Y61" s="394"/>
      <c r="Z61" s="394"/>
      <c r="AA61" s="394"/>
      <c r="AB61" s="394"/>
      <c r="AC61" s="395"/>
    </row>
    <row r="62" spans="2:29" ht="17.399999999999999">
      <c r="B62" s="117"/>
      <c r="C62" s="164" t="s">
        <v>535</v>
      </c>
      <c r="D62" s="164"/>
      <c r="E62" s="165"/>
      <c r="F62" s="165"/>
      <c r="G62" s="165"/>
      <c r="H62" s="165"/>
      <c r="I62" s="165"/>
      <c r="J62" s="165"/>
      <c r="K62" s="165"/>
      <c r="L62" s="165"/>
      <c r="M62" s="96"/>
      <c r="N62" s="106"/>
      <c r="P62" s="393"/>
      <c r="Q62" s="394"/>
      <c r="R62" s="394"/>
      <c r="S62" s="394"/>
      <c r="T62" s="394"/>
      <c r="U62" s="394"/>
      <c r="V62" s="394"/>
      <c r="W62" s="394"/>
      <c r="X62" s="394"/>
      <c r="Y62" s="394"/>
      <c r="Z62" s="394"/>
      <c r="AA62" s="394"/>
      <c r="AB62" s="394"/>
      <c r="AC62" s="395"/>
    </row>
    <row r="63" spans="2:29" ht="17.399999999999999">
      <c r="B63" s="117"/>
      <c r="C63" s="164" t="s">
        <v>536</v>
      </c>
      <c r="D63" s="164"/>
      <c r="E63" s="165"/>
      <c r="F63" s="165"/>
      <c r="G63" s="165"/>
      <c r="H63" s="165"/>
      <c r="I63" s="165"/>
      <c r="J63" s="165"/>
      <c r="K63" s="165"/>
      <c r="L63" s="165"/>
      <c r="M63" s="96"/>
      <c r="N63" s="106"/>
      <c r="P63" s="393"/>
      <c r="Q63" s="394"/>
      <c r="R63" s="394"/>
      <c r="S63" s="394"/>
      <c r="T63" s="394"/>
      <c r="U63" s="394"/>
      <c r="V63" s="394"/>
      <c r="W63" s="394"/>
      <c r="X63" s="394"/>
      <c r="Y63" s="394"/>
      <c r="Z63" s="394"/>
      <c r="AA63" s="394"/>
      <c r="AB63" s="394"/>
      <c r="AC63" s="395"/>
    </row>
    <row r="64" spans="2:29" ht="17.399999999999999">
      <c r="B64" s="117"/>
      <c r="C64" s="164" t="s">
        <v>537</v>
      </c>
      <c r="D64" s="164"/>
      <c r="E64" s="165"/>
      <c r="F64" s="165"/>
      <c r="G64" s="165"/>
      <c r="H64" s="165"/>
      <c r="I64" s="165"/>
      <c r="J64" s="165"/>
      <c r="K64" s="165"/>
      <c r="L64" s="165"/>
      <c r="M64" s="96"/>
      <c r="N64" s="106"/>
      <c r="P64" s="393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5"/>
    </row>
    <row r="65" spans="2:29" ht="17.399999999999999">
      <c r="B65" s="117"/>
      <c r="C65" s="164" t="s">
        <v>538</v>
      </c>
      <c r="D65" s="164"/>
      <c r="E65" s="165"/>
      <c r="F65" s="165"/>
      <c r="G65" s="165"/>
      <c r="H65" s="165"/>
      <c r="I65" s="165"/>
      <c r="J65" s="165"/>
      <c r="K65" s="165"/>
      <c r="L65" s="165"/>
      <c r="M65" s="96"/>
      <c r="N65" s="106"/>
      <c r="P65" s="393"/>
      <c r="Q65" s="394"/>
      <c r="R65" s="394"/>
      <c r="S65" s="394"/>
      <c r="T65" s="394"/>
      <c r="U65" s="394"/>
      <c r="V65" s="394"/>
      <c r="W65" s="394"/>
      <c r="X65" s="394"/>
      <c r="Y65" s="394"/>
      <c r="Z65" s="394"/>
      <c r="AA65" s="394"/>
      <c r="AB65" s="394"/>
      <c r="AC65" s="395"/>
    </row>
    <row r="66" spans="2:29" ht="17.399999999999999">
      <c r="B66" s="117"/>
      <c r="C66" s="164" t="s">
        <v>1003</v>
      </c>
      <c r="D66" s="164"/>
      <c r="E66" s="165"/>
      <c r="F66" s="165"/>
      <c r="G66" s="165"/>
      <c r="H66" s="165"/>
      <c r="I66" s="165"/>
      <c r="J66" s="165"/>
      <c r="K66" s="165"/>
      <c r="L66" s="165"/>
      <c r="M66" s="96"/>
      <c r="N66" s="106"/>
      <c r="P66" s="393"/>
      <c r="Q66" s="394"/>
      <c r="R66" s="394"/>
      <c r="S66" s="394"/>
      <c r="T66" s="394"/>
      <c r="U66" s="394"/>
      <c r="V66" s="394"/>
      <c r="W66" s="394"/>
      <c r="X66" s="394"/>
      <c r="Y66" s="394"/>
      <c r="Z66" s="394"/>
      <c r="AA66" s="394"/>
      <c r="AB66" s="394"/>
      <c r="AC66" s="395"/>
    </row>
    <row r="67" spans="2:29" ht="17.399999999999999">
      <c r="B67" s="117"/>
      <c r="C67" s="164" t="s">
        <v>831</v>
      </c>
      <c r="D67" s="164"/>
      <c r="E67" s="165"/>
      <c r="F67" s="165"/>
      <c r="G67" s="165"/>
      <c r="H67" s="165"/>
      <c r="I67" s="165"/>
      <c r="J67" s="165"/>
      <c r="K67" s="165"/>
      <c r="L67" s="165"/>
      <c r="M67" s="96"/>
      <c r="N67" s="106"/>
      <c r="P67" s="393"/>
      <c r="Q67" s="394"/>
      <c r="R67" s="394"/>
      <c r="S67" s="394"/>
      <c r="T67" s="394"/>
      <c r="U67" s="394"/>
      <c r="V67" s="394"/>
      <c r="W67" s="394"/>
      <c r="X67" s="394"/>
      <c r="Y67" s="394"/>
      <c r="Z67" s="394"/>
      <c r="AA67" s="394"/>
      <c r="AB67" s="394"/>
      <c r="AC67" s="395"/>
    </row>
    <row r="68" spans="2:29" ht="17.399999999999999">
      <c r="B68" s="117"/>
      <c r="C68" s="164" t="s">
        <v>539</v>
      </c>
      <c r="D68" s="164"/>
      <c r="E68" s="165"/>
      <c r="F68" s="165"/>
      <c r="G68" s="165"/>
      <c r="H68" s="165"/>
      <c r="I68" s="165"/>
      <c r="J68" s="165"/>
      <c r="K68" s="165"/>
      <c r="L68" s="165"/>
      <c r="M68" s="96"/>
      <c r="N68" s="106"/>
      <c r="P68" s="393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5"/>
    </row>
    <row r="69" spans="2:29" ht="17.399999999999999">
      <c r="B69" s="117"/>
      <c r="C69" s="164" t="s">
        <v>540</v>
      </c>
      <c r="D69" s="164"/>
      <c r="E69" s="165"/>
      <c r="F69" s="165"/>
      <c r="G69" s="165"/>
      <c r="H69" s="165"/>
      <c r="I69" s="165"/>
      <c r="J69" s="165"/>
      <c r="K69" s="165"/>
      <c r="L69" s="165"/>
      <c r="M69" s="96"/>
      <c r="N69" s="106"/>
      <c r="P69" s="393"/>
      <c r="Q69" s="394"/>
      <c r="R69" s="394"/>
      <c r="S69" s="394"/>
      <c r="T69" s="394"/>
      <c r="U69" s="394"/>
      <c r="V69" s="394"/>
      <c r="W69" s="394"/>
      <c r="X69" s="394"/>
      <c r="Y69" s="394"/>
      <c r="Z69" s="394"/>
      <c r="AA69" s="394"/>
      <c r="AB69" s="394"/>
      <c r="AC69" s="395"/>
    </row>
    <row r="70" spans="2:29" ht="17.399999999999999">
      <c r="B70" s="117"/>
      <c r="C70" s="164" t="s">
        <v>541</v>
      </c>
      <c r="D70" s="164"/>
      <c r="E70" s="165"/>
      <c r="F70" s="165"/>
      <c r="G70" s="165"/>
      <c r="H70" s="165"/>
      <c r="I70" s="165"/>
      <c r="J70" s="165"/>
      <c r="K70" s="165"/>
      <c r="L70" s="165"/>
      <c r="M70" s="96"/>
      <c r="N70" s="106"/>
      <c r="P70" s="393"/>
      <c r="Q70" s="394"/>
      <c r="R70" s="394"/>
      <c r="S70" s="394"/>
      <c r="T70" s="394"/>
      <c r="U70" s="394"/>
      <c r="V70" s="394"/>
      <c r="W70" s="394"/>
      <c r="X70" s="394"/>
      <c r="Y70" s="394"/>
      <c r="Z70" s="394"/>
      <c r="AA70" s="394"/>
      <c r="AB70" s="394"/>
      <c r="AC70" s="395"/>
    </row>
    <row r="71" spans="2:29" ht="22.95" customHeight="1" thickBot="1">
      <c r="B71" s="121"/>
      <c r="C71" s="1003"/>
      <c r="D71" s="1003"/>
      <c r="E71" s="1003"/>
      <c r="F71" s="1003"/>
      <c r="G71" s="53"/>
      <c r="H71" s="53"/>
      <c r="I71" s="53"/>
      <c r="J71" s="53"/>
      <c r="K71" s="53"/>
      <c r="L71" s="53"/>
      <c r="M71" s="122"/>
      <c r="N71" s="123"/>
      <c r="P71" s="396"/>
      <c r="Q71" s="397"/>
      <c r="R71" s="397"/>
      <c r="S71" s="397"/>
      <c r="T71" s="397"/>
      <c r="U71" s="397"/>
      <c r="V71" s="397"/>
      <c r="W71" s="397"/>
      <c r="X71" s="397"/>
      <c r="Y71" s="397"/>
      <c r="Z71" s="397"/>
      <c r="AA71" s="397"/>
      <c r="AB71" s="397"/>
      <c r="AC71" s="398"/>
    </row>
    <row r="72" spans="2:29" ht="22.95" customHeight="1">
      <c r="C72" s="104"/>
      <c r="D72" s="104"/>
      <c r="E72" s="105"/>
      <c r="F72" s="105"/>
      <c r="G72" s="105"/>
      <c r="H72" s="105"/>
      <c r="I72" s="105"/>
      <c r="J72" s="105"/>
      <c r="K72" s="105"/>
      <c r="L72" s="105"/>
      <c r="M72" s="105"/>
    </row>
    <row r="73" spans="2:29" ht="13.2">
      <c r="C73" s="124" t="s">
        <v>174</v>
      </c>
      <c r="D73" s="104"/>
      <c r="E73" s="105"/>
      <c r="F73" s="105"/>
      <c r="G73" s="105"/>
      <c r="H73" s="105"/>
      <c r="I73" s="105"/>
      <c r="J73" s="105"/>
      <c r="K73" s="105"/>
      <c r="L73" s="105"/>
      <c r="M73" s="95" t="s">
        <v>149</v>
      </c>
    </row>
    <row r="74" spans="2:29" ht="13.2">
      <c r="C74" s="125" t="s">
        <v>175</v>
      </c>
      <c r="D74" s="104"/>
      <c r="E74" s="105"/>
      <c r="F74" s="105"/>
      <c r="G74" s="105"/>
      <c r="H74" s="105"/>
      <c r="I74" s="105"/>
      <c r="J74" s="105"/>
      <c r="K74" s="105"/>
      <c r="L74" s="105"/>
      <c r="M74" s="105"/>
    </row>
    <row r="75" spans="2:29" ht="13.2">
      <c r="C75" s="125" t="s">
        <v>176</v>
      </c>
      <c r="D75" s="104"/>
      <c r="E75" s="105"/>
      <c r="F75" s="105"/>
      <c r="G75" s="105"/>
      <c r="H75" s="105"/>
      <c r="I75" s="105"/>
      <c r="J75" s="105"/>
      <c r="K75" s="105"/>
      <c r="L75" s="105"/>
      <c r="M75" s="105"/>
    </row>
    <row r="76" spans="2:29" ht="13.2">
      <c r="C76" s="125" t="s">
        <v>177</v>
      </c>
      <c r="D76" s="104"/>
      <c r="E76" s="105"/>
      <c r="F76" s="105"/>
      <c r="G76" s="105"/>
      <c r="H76" s="105"/>
      <c r="I76" s="105"/>
      <c r="J76" s="105"/>
      <c r="K76" s="105"/>
      <c r="L76" s="105"/>
      <c r="M76" s="105"/>
    </row>
    <row r="77" spans="2:29" ht="13.2">
      <c r="C77" s="125" t="s">
        <v>178</v>
      </c>
      <c r="D77" s="104"/>
      <c r="E77" s="105"/>
      <c r="F77" s="105"/>
      <c r="G77" s="105"/>
      <c r="H77" s="105"/>
      <c r="I77" s="105"/>
      <c r="J77" s="105"/>
      <c r="K77" s="105"/>
      <c r="L77" s="105"/>
      <c r="M77" s="105"/>
    </row>
    <row r="78" spans="2:29" ht="22.95" customHeight="1">
      <c r="C78" s="104"/>
      <c r="D78" s="104"/>
      <c r="E78" s="105"/>
      <c r="F78" s="105"/>
      <c r="G78" s="105"/>
      <c r="H78" s="105"/>
      <c r="I78" s="105"/>
      <c r="J78" s="105"/>
      <c r="K78" s="105"/>
      <c r="L78" s="105"/>
      <c r="M78" s="105"/>
    </row>
    <row r="79" spans="2:29" ht="22.95" customHeight="1">
      <c r="C79" s="104"/>
      <c r="D79" s="104"/>
      <c r="E79" s="105"/>
      <c r="F79" s="105"/>
      <c r="G79" s="105"/>
      <c r="H79" s="105"/>
      <c r="I79" s="105"/>
      <c r="J79" s="105"/>
      <c r="K79" s="105"/>
      <c r="L79" s="105"/>
      <c r="M79" s="105"/>
    </row>
    <row r="80" spans="2:29" ht="22.95" customHeight="1">
      <c r="C80" s="104"/>
      <c r="D80" s="104"/>
      <c r="E80" s="105"/>
      <c r="F80" s="105"/>
      <c r="G80" s="105"/>
      <c r="H80" s="105"/>
      <c r="I80" s="105"/>
      <c r="J80" s="105"/>
      <c r="K80" s="105"/>
      <c r="L80" s="105"/>
      <c r="M80" s="105"/>
    </row>
    <row r="81" spans="3:13" ht="22.95" customHeight="1">
      <c r="C81" s="104"/>
      <c r="D81" s="104"/>
      <c r="E81" s="105"/>
      <c r="F81" s="105"/>
      <c r="G81" s="105"/>
      <c r="H81" s="105"/>
      <c r="I81" s="105"/>
      <c r="J81" s="105"/>
      <c r="K81" s="105"/>
      <c r="L81" s="105"/>
      <c r="M81" s="105"/>
    </row>
    <row r="82" spans="3:13" ht="22.95" customHeight="1">
      <c r="F82" s="105"/>
      <c r="G82" s="105"/>
      <c r="H82" s="105"/>
      <c r="I82" s="105"/>
      <c r="J82" s="105"/>
      <c r="K82" s="105"/>
      <c r="L82" s="105"/>
      <c r="M82" s="105"/>
    </row>
  </sheetData>
  <sheetProtection insertRows="0"/>
  <mergeCells count="35">
    <mergeCell ref="C71:F71"/>
    <mergeCell ref="C41:M41"/>
    <mergeCell ref="C50:M50"/>
    <mergeCell ref="C46:D46"/>
    <mergeCell ref="C55:D55"/>
    <mergeCell ref="C57:D57"/>
    <mergeCell ref="C47:D47"/>
    <mergeCell ref="C42:D42"/>
    <mergeCell ref="C45:D45"/>
    <mergeCell ref="C56:D56"/>
    <mergeCell ref="C43:D43"/>
    <mergeCell ref="C53:D53"/>
    <mergeCell ref="C54:D54"/>
    <mergeCell ref="C48:D48"/>
    <mergeCell ref="C52:D52"/>
    <mergeCell ref="C20:D20"/>
    <mergeCell ref="C21:D21"/>
    <mergeCell ref="C22:D22"/>
    <mergeCell ref="C27:D27"/>
    <mergeCell ref="C33:D33"/>
    <mergeCell ref="C23:D23"/>
    <mergeCell ref="C26:M26"/>
    <mergeCell ref="G39:I39"/>
    <mergeCell ref="M39:M40"/>
    <mergeCell ref="C31:D31"/>
    <mergeCell ref="C32:D32"/>
    <mergeCell ref="C28:D28"/>
    <mergeCell ref="C18:D18"/>
    <mergeCell ref="C19:D19"/>
    <mergeCell ref="G15:I15"/>
    <mergeCell ref="C17:M17"/>
    <mergeCell ref="M6:M7"/>
    <mergeCell ref="D9:M9"/>
    <mergeCell ref="C12:D12"/>
    <mergeCell ref="M15:M16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41"/>
  <sheetViews>
    <sheetView zoomScale="79" zoomScaleNormal="79" zoomScalePageLayoutView="79" workbookViewId="0">
      <selection activeCell="B1" sqref="B1:M136"/>
    </sheetView>
  </sheetViews>
  <sheetFormatPr baseColWidth="10" defaultColWidth="10.54296875" defaultRowHeight="22.95" customHeight="1"/>
  <cols>
    <col min="1" max="2" width="3.1796875" style="97" customWidth="1"/>
    <col min="3" max="3" width="13.54296875" style="97" customWidth="1"/>
    <col min="4" max="4" width="15.81640625" style="97" customWidth="1"/>
    <col min="5" max="5" width="27.81640625" style="98" customWidth="1"/>
    <col min="6" max="9" width="15.1796875" style="98" customWidth="1"/>
    <col min="10" max="12" width="9.54296875" style="98" customWidth="1"/>
    <col min="13" max="13" width="9.36328125" style="97" customWidth="1"/>
    <col min="14" max="16384" width="10.54296875" style="97"/>
  </cols>
  <sheetData>
    <row r="2" spans="2:28" ht="22.95" customHeight="1">
      <c r="D2" s="209" t="s">
        <v>477</v>
      </c>
    </row>
    <row r="3" spans="2:28" ht="22.95" customHeight="1">
      <c r="D3" s="209" t="s">
        <v>478</v>
      </c>
    </row>
    <row r="4" spans="2:28" ht="22.95" customHeight="1" thickBot="1"/>
    <row r="5" spans="2:28" ht="9" customHeight="1">
      <c r="B5" s="99"/>
      <c r="C5" s="100"/>
      <c r="D5" s="100"/>
      <c r="E5" s="101"/>
      <c r="F5" s="101"/>
      <c r="G5" s="101"/>
      <c r="H5" s="101"/>
      <c r="I5" s="101"/>
      <c r="J5" s="101"/>
      <c r="K5" s="101"/>
      <c r="L5" s="101"/>
      <c r="M5" s="102"/>
      <c r="O5" s="377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9"/>
    </row>
    <row r="6" spans="2:28" ht="30" customHeight="1">
      <c r="B6" s="103"/>
      <c r="C6" s="67" t="s">
        <v>97</v>
      </c>
      <c r="D6" s="104"/>
      <c r="E6" s="105"/>
      <c r="F6" s="105"/>
      <c r="G6" s="105"/>
      <c r="H6" s="105"/>
      <c r="I6" s="105"/>
      <c r="J6" s="105"/>
      <c r="K6" s="105"/>
      <c r="L6" s="984">
        <f>ejercicio</f>
        <v>2018</v>
      </c>
      <c r="M6" s="106"/>
      <c r="O6" s="380"/>
      <c r="P6" s="381" t="s">
        <v>810</v>
      </c>
      <c r="Q6" s="382"/>
      <c r="R6" s="382"/>
      <c r="S6" s="382"/>
      <c r="T6" s="382"/>
      <c r="U6" s="382"/>
      <c r="V6" s="382"/>
      <c r="W6" s="382"/>
      <c r="X6" s="382"/>
      <c r="Y6" s="382"/>
      <c r="Z6" s="382"/>
      <c r="AA6" s="382"/>
      <c r="AB6" s="383"/>
    </row>
    <row r="7" spans="2:28" ht="30" customHeight="1">
      <c r="B7" s="103"/>
      <c r="C7" s="67" t="s">
        <v>98</v>
      </c>
      <c r="D7" s="104"/>
      <c r="E7" s="105"/>
      <c r="F7" s="105"/>
      <c r="G7" s="105"/>
      <c r="H7" s="105"/>
      <c r="I7" s="105"/>
      <c r="J7" s="105"/>
      <c r="K7" s="105"/>
      <c r="L7" s="984"/>
      <c r="M7" s="106"/>
      <c r="O7" s="380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3"/>
    </row>
    <row r="8" spans="2:28" ht="30" customHeight="1">
      <c r="B8" s="103"/>
      <c r="C8" s="107"/>
      <c r="D8" s="104"/>
      <c r="E8" s="105"/>
      <c r="F8" s="105"/>
      <c r="G8" s="105"/>
      <c r="H8" s="105"/>
      <c r="I8" s="105"/>
      <c r="J8" s="105"/>
      <c r="K8" s="105"/>
      <c r="L8" s="108"/>
      <c r="M8" s="106"/>
      <c r="O8" s="380"/>
      <c r="P8" s="382"/>
      <c r="Q8" s="382"/>
      <c r="R8" s="382"/>
      <c r="S8" s="382"/>
      <c r="T8" s="382"/>
      <c r="U8" s="382"/>
      <c r="V8" s="382"/>
      <c r="W8" s="382"/>
      <c r="X8" s="382"/>
      <c r="Y8" s="382"/>
      <c r="Z8" s="382"/>
      <c r="AA8" s="382"/>
      <c r="AB8" s="383"/>
    </row>
    <row r="9" spans="2:28" s="184" customFormat="1" ht="30" customHeight="1">
      <c r="B9" s="182"/>
      <c r="C9" s="40" t="s">
        <v>99</v>
      </c>
      <c r="D9" s="1004" t="str">
        <f>Entidad</f>
        <v>INSTITUTO TECNOLÓGICO Y DE ENERGÍAS RENOVALBES S.A. (ITER)</v>
      </c>
      <c r="E9" s="1004"/>
      <c r="F9" s="1004"/>
      <c r="G9" s="1004"/>
      <c r="H9" s="1004"/>
      <c r="I9" s="1004"/>
      <c r="J9" s="1004"/>
      <c r="K9" s="1004"/>
      <c r="L9" s="1004"/>
      <c r="M9" s="183"/>
      <c r="O9" s="380"/>
      <c r="P9" s="382"/>
      <c r="Q9" s="382"/>
      <c r="R9" s="382"/>
      <c r="S9" s="382"/>
      <c r="T9" s="382"/>
      <c r="U9" s="382"/>
      <c r="V9" s="382"/>
      <c r="W9" s="382"/>
      <c r="X9" s="382"/>
      <c r="Y9" s="382"/>
      <c r="Z9" s="382"/>
      <c r="AA9" s="382"/>
      <c r="AB9" s="383"/>
    </row>
    <row r="10" spans="2:28" ht="7.2" customHeight="1">
      <c r="B10" s="103"/>
      <c r="C10" s="104"/>
      <c r="D10" s="104"/>
      <c r="E10" s="105"/>
      <c r="F10" s="105"/>
      <c r="G10" s="105"/>
      <c r="H10" s="105"/>
      <c r="I10" s="105"/>
      <c r="J10" s="105"/>
      <c r="K10" s="105"/>
      <c r="L10" s="105"/>
      <c r="M10" s="106"/>
      <c r="O10" s="380"/>
      <c r="P10" s="382"/>
      <c r="Q10" s="382"/>
      <c r="R10" s="382"/>
      <c r="S10" s="382"/>
      <c r="T10" s="382"/>
      <c r="U10" s="382"/>
      <c r="V10" s="382"/>
      <c r="W10" s="382"/>
      <c r="X10" s="382"/>
      <c r="Y10" s="382"/>
      <c r="Z10" s="382"/>
      <c r="AA10" s="382"/>
      <c r="AB10" s="383"/>
    </row>
    <row r="11" spans="2:28" s="115" customFormat="1" ht="30" customHeight="1">
      <c r="B11" s="111"/>
      <c r="C11" s="112" t="s">
        <v>22</v>
      </c>
      <c r="D11" s="112"/>
      <c r="E11" s="113"/>
      <c r="F11" s="113"/>
      <c r="G11" s="113"/>
      <c r="H11" s="113"/>
      <c r="I11" s="113"/>
      <c r="J11" s="113"/>
      <c r="K11" s="113"/>
      <c r="L11" s="113"/>
      <c r="M11" s="114"/>
      <c r="O11" s="380"/>
      <c r="P11" s="382"/>
      <c r="Q11" s="382"/>
      <c r="R11" s="382"/>
      <c r="S11" s="382"/>
      <c r="T11" s="382"/>
      <c r="U11" s="382"/>
      <c r="V11" s="382"/>
      <c r="W11" s="382"/>
      <c r="X11" s="382"/>
      <c r="Y11" s="382"/>
      <c r="Z11" s="382"/>
      <c r="AA11" s="382"/>
      <c r="AB11" s="383"/>
    </row>
    <row r="12" spans="2:28" s="115" customFormat="1" ht="30" customHeight="1">
      <c r="B12" s="111"/>
      <c r="C12" s="1043"/>
      <c r="D12" s="1043"/>
      <c r="E12" s="96"/>
      <c r="F12" s="96"/>
      <c r="G12" s="96"/>
      <c r="H12" s="96"/>
      <c r="I12" s="96"/>
      <c r="J12" s="96"/>
      <c r="K12" s="96"/>
      <c r="L12" s="96"/>
      <c r="M12" s="114"/>
      <c r="O12" s="380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3"/>
    </row>
    <row r="13" spans="2:28" s="115" customFormat="1" ht="30" customHeight="1">
      <c r="B13" s="111"/>
      <c r="C13" s="66" t="s">
        <v>542</v>
      </c>
      <c r="D13" s="22"/>
      <c r="E13" s="96"/>
      <c r="F13" s="96"/>
      <c r="G13" s="96"/>
      <c r="H13" s="96"/>
      <c r="I13" s="96"/>
      <c r="J13" s="96"/>
      <c r="K13" s="96"/>
      <c r="L13" s="96"/>
      <c r="M13" s="114"/>
      <c r="O13" s="380"/>
      <c r="P13" s="382"/>
      <c r="Q13" s="382"/>
      <c r="R13" s="382"/>
      <c r="S13" s="382"/>
      <c r="T13" s="382"/>
      <c r="U13" s="382"/>
      <c r="V13" s="382"/>
      <c r="W13" s="382"/>
      <c r="X13" s="382"/>
      <c r="Y13" s="382"/>
      <c r="Z13" s="382"/>
      <c r="AA13" s="382"/>
      <c r="AB13" s="383"/>
    </row>
    <row r="14" spans="2:28" s="115" customFormat="1" ht="30" customHeight="1">
      <c r="B14" s="111"/>
      <c r="C14" s="22" t="s">
        <v>543</v>
      </c>
      <c r="D14" s="22"/>
      <c r="E14" s="96"/>
      <c r="F14" s="96"/>
      <c r="G14" s="96"/>
      <c r="H14" s="96"/>
      <c r="I14" s="96"/>
      <c r="J14" s="96"/>
      <c r="K14" s="96"/>
      <c r="L14" s="96"/>
      <c r="M14" s="114"/>
      <c r="O14" s="380"/>
      <c r="P14" s="382"/>
      <c r="Q14" s="382"/>
      <c r="R14" s="382"/>
      <c r="S14" s="382"/>
      <c r="T14" s="382"/>
      <c r="U14" s="382"/>
      <c r="V14" s="382"/>
      <c r="W14" s="382"/>
      <c r="X14" s="382"/>
      <c r="Y14" s="382"/>
      <c r="Z14" s="382"/>
      <c r="AA14" s="382"/>
      <c r="AB14" s="383"/>
    </row>
    <row r="15" spans="2:28" s="910" customFormat="1" ht="36" customHeight="1">
      <c r="B15" s="911"/>
      <c r="C15" s="1054" t="s">
        <v>20</v>
      </c>
      <c r="D15" s="1055"/>
      <c r="E15" s="912"/>
      <c r="F15" s="1052" t="s">
        <v>26</v>
      </c>
      <c r="G15" s="1053"/>
      <c r="H15" s="1052" t="s">
        <v>25</v>
      </c>
      <c r="I15" s="1053"/>
      <c r="J15" s="913"/>
      <c r="K15" s="913"/>
      <c r="L15" s="913"/>
      <c r="M15" s="914"/>
      <c r="O15" s="915"/>
      <c r="P15" s="916"/>
      <c r="Q15" s="916"/>
      <c r="R15" s="916"/>
      <c r="S15" s="916"/>
      <c r="T15" s="916"/>
      <c r="U15" s="916"/>
      <c r="V15" s="916"/>
      <c r="W15" s="916"/>
      <c r="X15" s="916"/>
      <c r="Y15" s="916"/>
      <c r="Z15" s="916"/>
      <c r="AA15" s="916"/>
      <c r="AB15" s="917"/>
    </row>
    <row r="16" spans="2:28" s="918" customFormat="1" ht="22.95" customHeight="1">
      <c r="B16" s="919"/>
      <c r="C16" s="1056" t="s">
        <v>21</v>
      </c>
      <c r="D16" s="1057"/>
      <c r="E16" s="920" t="s">
        <v>544</v>
      </c>
      <c r="F16" s="913">
        <f>ejercicio-1</f>
        <v>2017</v>
      </c>
      <c r="G16" s="913">
        <f>ejercicio</f>
        <v>2018</v>
      </c>
      <c r="H16" s="913">
        <f>ejercicio-1</f>
        <v>2017</v>
      </c>
      <c r="I16" s="913">
        <f>ejercicio</f>
        <v>2018</v>
      </c>
      <c r="J16" s="913" t="s">
        <v>546</v>
      </c>
      <c r="K16" s="913" t="s">
        <v>548</v>
      </c>
      <c r="L16" s="913" t="s">
        <v>547</v>
      </c>
      <c r="M16" s="921"/>
      <c r="O16" s="915"/>
      <c r="P16" s="916"/>
      <c r="Q16" s="916"/>
      <c r="R16" s="916"/>
      <c r="S16" s="916"/>
      <c r="T16" s="916"/>
      <c r="U16" s="916"/>
      <c r="V16" s="916"/>
      <c r="W16" s="916"/>
      <c r="X16" s="916"/>
      <c r="Y16" s="916"/>
      <c r="Z16" s="916"/>
      <c r="AA16" s="916"/>
      <c r="AB16" s="917"/>
    </row>
    <row r="17" spans="1:28" s="184" customFormat="1" ht="7.95" customHeight="1">
      <c r="B17" s="182"/>
      <c r="C17" s="67"/>
      <c r="D17" s="67"/>
      <c r="E17" s="181"/>
      <c r="F17" s="181"/>
      <c r="G17" s="181"/>
      <c r="H17" s="181"/>
      <c r="I17" s="181"/>
      <c r="J17" s="181"/>
      <c r="K17" s="181"/>
      <c r="L17" s="181"/>
      <c r="M17" s="183"/>
      <c r="O17" s="380"/>
      <c r="P17" s="382"/>
      <c r="Q17" s="382"/>
      <c r="R17" s="382"/>
      <c r="S17" s="382"/>
      <c r="T17" s="382"/>
      <c r="U17" s="382"/>
      <c r="V17" s="382"/>
      <c r="W17" s="382"/>
      <c r="X17" s="382"/>
      <c r="Y17" s="382"/>
      <c r="Z17" s="382"/>
      <c r="AA17" s="382"/>
      <c r="AB17" s="383"/>
    </row>
    <row r="18" spans="1:28" s="120" customFormat="1" ht="22.95" customHeight="1">
      <c r="A18" s="184"/>
      <c r="B18" s="182"/>
      <c r="C18" s="1049" t="s">
        <v>832</v>
      </c>
      <c r="D18" s="1050"/>
      <c r="E18" s="1051"/>
      <c r="F18" s="467">
        <v>9564177.4600000009</v>
      </c>
      <c r="G18" s="466">
        <v>9932291.7065510973</v>
      </c>
      <c r="H18" s="771"/>
      <c r="I18" s="771"/>
      <c r="J18" s="771"/>
      <c r="K18" s="771"/>
      <c r="L18" s="771"/>
      <c r="M18" s="118"/>
      <c r="O18" s="380"/>
      <c r="P18" s="382"/>
      <c r="Q18" s="382"/>
      <c r="R18" s="382"/>
      <c r="S18" s="382"/>
      <c r="T18" s="382"/>
      <c r="U18" s="382"/>
      <c r="V18" s="382"/>
      <c r="W18" s="382"/>
      <c r="X18" s="382"/>
      <c r="Y18" s="382"/>
      <c r="Z18" s="382"/>
      <c r="AA18" s="382"/>
      <c r="AB18" s="383"/>
    </row>
    <row r="19" spans="1:28" s="120" customFormat="1" ht="9" customHeight="1">
      <c r="A19" s="184"/>
      <c r="B19" s="182"/>
      <c r="C19" s="32"/>
      <c r="D19" s="32"/>
      <c r="E19" s="468"/>
      <c r="F19" s="468"/>
      <c r="G19" s="468"/>
      <c r="H19" s="468"/>
      <c r="I19" s="468"/>
      <c r="J19" s="851"/>
      <c r="K19" s="851"/>
      <c r="L19" s="851"/>
      <c r="M19" s="118"/>
      <c r="O19" s="380"/>
      <c r="P19" s="382"/>
      <c r="Q19" s="382"/>
      <c r="R19" s="382"/>
      <c r="S19" s="382"/>
      <c r="T19" s="382"/>
      <c r="U19" s="382"/>
      <c r="V19" s="382"/>
      <c r="W19" s="382"/>
      <c r="X19" s="382"/>
      <c r="Y19" s="382"/>
      <c r="Z19" s="382"/>
      <c r="AA19" s="382"/>
      <c r="AB19" s="383"/>
    </row>
    <row r="20" spans="1:28" s="120" customFormat="1" ht="22.95" customHeight="1">
      <c r="A20" s="184"/>
      <c r="B20" s="182"/>
      <c r="C20" s="522" t="s">
        <v>956</v>
      </c>
      <c r="D20" s="523"/>
      <c r="E20" s="526" t="s">
        <v>962</v>
      </c>
      <c r="F20" s="438">
        <v>570000</v>
      </c>
      <c r="G20" s="469"/>
      <c r="H20" s="905"/>
      <c r="I20" s="905"/>
      <c r="J20" s="852"/>
      <c r="K20" s="852"/>
      <c r="L20" s="853"/>
      <c r="M20" s="118"/>
      <c r="O20" s="380"/>
      <c r="P20" s="382"/>
      <c r="Q20" s="382"/>
      <c r="R20" s="382"/>
      <c r="S20" s="382"/>
      <c r="T20" s="382"/>
      <c r="U20" s="382"/>
      <c r="V20" s="382"/>
      <c r="W20" s="382"/>
      <c r="X20" s="382"/>
      <c r="Y20" s="382"/>
      <c r="Z20" s="382"/>
      <c r="AA20" s="382"/>
      <c r="AB20" s="383"/>
    </row>
    <row r="21" spans="1:28" s="120" customFormat="1" ht="22.95" customHeight="1">
      <c r="B21" s="117"/>
      <c r="C21" s="522" t="s">
        <v>957</v>
      </c>
      <c r="D21" s="523"/>
      <c r="E21" s="516" t="s">
        <v>962</v>
      </c>
      <c r="F21" s="449">
        <v>165000</v>
      </c>
      <c r="G21" s="471"/>
      <c r="H21" s="906"/>
      <c r="I21" s="906"/>
      <c r="J21" s="854"/>
      <c r="K21" s="854"/>
      <c r="L21" s="855"/>
      <c r="M21" s="118"/>
      <c r="O21" s="380"/>
      <c r="P21" s="382"/>
      <c r="Q21" s="382"/>
      <c r="R21" s="382"/>
      <c r="S21" s="382"/>
      <c r="T21" s="382"/>
      <c r="U21" s="382"/>
      <c r="V21" s="382"/>
      <c r="W21" s="382"/>
      <c r="X21" s="382"/>
      <c r="Y21" s="382"/>
      <c r="Z21" s="382"/>
      <c r="AA21" s="382"/>
      <c r="AB21" s="383"/>
    </row>
    <row r="22" spans="1:28" s="120" customFormat="1" ht="22.95" customHeight="1">
      <c r="B22" s="117"/>
      <c r="C22" s="522" t="s">
        <v>958</v>
      </c>
      <c r="D22" s="523"/>
      <c r="E22" s="516" t="s">
        <v>963</v>
      </c>
      <c r="F22" s="449">
        <v>148176.43</v>
      </c>
      <c r="G22" s="471"/>
      <c r="H22" s="906"/>
      <c r="I22" s="906"/>
      <c r="J22" s="854"/>
      <c r="K22" s="854"/>
      <c r="L22" s="855"/>
      <c r="M22" s="118"/>
      <c r="O22" s="380"/>
      <c r="P22" s="382"/>
      <c r="Q22" s="382"/>
      <c r="R22" s="382"/>
      <c r="S22" s="382"/>
      <c r="T22" s="382"/>
      <c r="U22" s="382"/>
      <c r="V22" s="382"/>
      <c r="W22" s="382"/>
      <c r="X22" s="382"/>
      <c r="Y22" s="382"/>
      <c r="Z22" s="382"/>
      <c r="AA22" s="382"/>
      <c r="AB22" s="383"/>
    </row>
    <row r="23" spans="1:28" s="120" customFormat="1" ht="22.95" customHeight="1">
      <c r="B23" s="117"/>
      <c r="C23" s="522" t="s">
        <v>958</v>
      </c>
      <c r="D23" s="523"/>
      <c r="E23" s="516" t="s">
        <v>963</v>
      </c>
      <c r="F23" s="449"/>
      <c r="G23" s="471">
        <f>237985.72-19000</f>
        <v>218985.72</v>
      </c>
      <c r="H23" s="906"/>
      <c r="I23" s="906"/>
      <c r="J23" s="854"/>
      <c r="K23" s="854"/>
      <c r="L23" s="855"/>
      <c r="M23" s="118"/>
      <c r="O23" s="380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3"/>
    </row>
    <row r="24" spans="1:28" ht="22.95" customHeight="1">
      <c r="B24" s="117"/>
      <c r="C24" s="522" t="s">
        <v>958</v>
      </c>
      <c r="D24" s="523"/>
      <c r="E24" s="517" t="s">
        <v>963</v>
      </c>
      <c r="F24" s="442"/>
      <c r="G24" s="472">
        <v>97650</v>
      </c>
      <c r="H24" s="907"/>
      <c r="I24" s="907"/>
      <c r="J24" s="856"/>
      <c r="K24" s="856"/>
      <c r="L24" s="857"/>
      <c r="M24" s="106"/>
      <c r="O24" s="380"/>
      <c r="P24" s="382"/>
      <c r="Q24" s="382"/>
      <c r="R24" s="382"/>
      <c r="S24" s="382"/>
      <c r="T24" s="382"/>
      <c r="U24" s="382"/>
      <c r="V24" s="382"/>
      <c r="W24" s="382"/>
      <c r="X24" s="382"/>
      <c r="Y24" s="382"/>
      <c r="Z24" s="382"/>
      <c r="AA24" s="382"/>
      <c r="AB24" s="383"/>
    </row>
    <row r="25" spans="1:28" ht="22.95" customHeight="1">
      <c r="B25" s="117"/>
      <c r="C25" s="522" t="s">
        <v>959</v>
      </c>
      <c r="D25" s="523"/>
      <c r="E25" s="517" t="s">
        <v>963</v>
      </c>
      <c r="F25" s="442"/>
      <c r="G25" s="472">
        <v>274650</v>
      </c>
      <c r="H25" s="907"/>
      <c r="I25" s="907"/>
      <c r="J25" s="856"/>
      <c r="K25" s="856"/>
      <c r="L25" s="857"/>
      <c r="M25" s="106"/>
      <c r="O25" s="380"/>
      <c r="P25" s="382"/>
      <c r="Q25" s="382"/>
      <c r="R25" s="382"/>
      <c r="S25" s="382"/>
      <c r="T25" s="382"/>
      <c r="U25" s="382"/>
      <c r="V25" s="382"/>
      <c r="W25" s="382"/>
      <c r="X25" s="382"/>
      <c r="Y25" s="382"/>
      <c r="Z25" s="382"/>
      <c r="AA25" s="382"/>
      <c r="AB25" s="383"/>
    </row>
    <row r="26" spans="1:28" ht="22.95" customHeight="1">
      <c r="B26" s="117"/>
      <c r="C26" s="522" t="s">
        <v>960</v>
      </c>
      <c r="D26" s="523"/>
      <c r="E26" s="517" t="s">
        <v>962</v>
      </c>
      <c r="F26" s="442"/>
      <c r="G26" s="472">
        <v>300000</v>
      </c>
      <c r="H26" s="907"/>
      <c r="I26" s="907">
        <v>300000</v>
      </c>
      <c r="J26" s="954" t="s">
        <v>1015</v>
      </c>
      <c r="K26" s="954" t="s">
        <v>1008</v>
      </c>
      <c r="L26" s="955" t="s">
        <v>1009</v>
      </c>
      <c r="M26" s="106"/>
      <c r="O26" s="380"/>
      <c r="P26" s="382"/>
      <c r="Q26" s="382"/>
      <c r="R26" s="382"/>
      <c r="S26" s="382"/>
      <c r="T26" s="382"/>
      <c r="U26" s="382"/>
      <c r="V26" s="382"/>
      <c r="W26" s="382"/>
      <c r="X26" s="382"/>
      <c r="Y26" s="382"/>
      <c r="Z26" s="382"/>
      <c r="AA26" s="382"/>
      <c r="AB26" s="383"/>
    </row>
    <row r="27" spans="1:28" ht="22.95" customHeight="1">
      <c r="B27" s="117"/>
      <c r="C27" s="522" t="s">
        <v>961</v>
      </c>
      <c r="D27" s="523"/>
      <c r="E27" s="518" t="s">
        <v>962</v>
      </c>
      <c r="F27" s="451"/>
      <c r="G27" s="473">
        <v>130000</v>
      </c>
      <c r="H27" s="908"/>
      <c r="I27" s="908">
        <v>130000</v>
      </c>
      <c r="J27" s="956" t="s">
        <v>1016</v>
      </c>
      <c r="K27" s="956" t="s">
        <v>1010</v>
      </c>
      <c r="L27" s="957" t="s">
        <v>1009</v>
      </c>
      <c r="M27" s="106"/>
      <c r="O27" s="380"/>
      <c r="P27" s="382"/>
      <c r="Q27" s="382"/>
      <c r="R27" s="382"/>
      <c r="S27" s="382"/>
      <c r="T27" s="382"/>
      <c r="U27" s="382"/>
      <c r="V27" s="382"/>
      <c r="W27" s="382"/>
      <c r="X27" s="382"/>
      <c r="Y27" s="382"/>
      <c r="Z27" s="382"/>
      <c r="AA27" s="382"/>
      <c r="AB27" s="383"/>
    </row>
    <row r="28" spans="1:28" ht="22.95" customHeight="1">
      <c r="B28" s="117"/>
      <c r="C28" s="522" t="s">
        <v>979</v>
      </c>
      <c r="D28" s="523"/>
      <c r="E28" s="516" t="s">
        <v>962</v>
      </c>
      <c r="F28" s="451"/>
      <c r="G28" s="473">
        <v>19000</v>
      </c>
      <c r="H28" s="908"/>
      <c r="I28" s="908">
        <v>19000</v>
      </c>
      <c r="J28" s="956" t="s">
        <v>1017</v>
      </c>
      <c r="K28" s="956" t="s">
        <v>1011</v>
      </c>
      <c r="L28" s="957" t="s">
        <v>1009</v>
      </c>
      <c r="M28" s="106"/>
      <c r="O28" s="380"/>
      <c r="P28" s="382"/>
      <c r="Q28" s="382"/>
      <c r="R28" s="382"/>
      <c r="S28" s="382"/>
      <c r="T28" s="382"/>
      <c r="U28" s="382"/>
      <c r="V28" s="382"/>
      <c r="W28" s="382"/>
      <c r="X28" s="382"/>
      <c r="Y28" s="382"/>
      <c r="Z28" s="382"/>
      <c r="AA28" s="382"/>
      <c r="AB28" s="383"/>
    </row>
    <row r="29" spans="1:28" ht="22.95" customHeight="1">
      <c r="B29" s="117"/>
      <c r="C29" s="524"/>
      <c r="D29" s="525"/>
      <c r="E29" s="519"/>
      <c r="F29" s="446"/>
      <c r="G29" s="474"/>
      <c r="H29" s="909"/>
      <c r="I29" s="909"/>
      <c r="J29" s="860"/>
      <c r="K29" s="860"/>
      <c r="L29" s="861"/>
      <c r="M29" s="106"/>
      <c r="O29" s="380"/>
      <c r="P29" s="382"/>
      <c r="Q29" s="382"/>
      <c r="R29" s="382"/>
      <c r="S29" s="382"/>
      <c r="T29" s="382"/>
      <c r="U29" s="382"/>
      <c r="V29" s="382"/>
      <c r="W29" s="382"/>
      <c r="X29" s="382"/>
      <c r="Y29" s="382"/>
      <c r="Z29" s="382"/>
      <c r="AA29" s="382"/>
      <c r="AB29" s="383"/>
    </row>
    <row r="30" spans="1:28" ht="22.95" customHeight="1" thickBot="1">
      <c r="B30" s="117"/>
      <c r="C30" s="157" t="s">
        <v>549</v>
      </c>
      <c r="D30" s="158"/>
      <c r="E30" s="127"/>
      <c r="F30" s="127">
        <f>SUM(F20:F29)</f>
        <v>883176.42999999993</v>
      </c>
      <c r="G30" s="127">
        <f>SUM(G20:G29)</f>
        <v>1040285.72</v>
      </c>
      <c r="H30" s="127">
        <f>SUM(H20:H29)</f>
        <v>0</v>
      </c>
      <c r="I30" s="127">
        <f>SUM(I20:I29)</f>
        <v>449000</v>
      </c>
      <c r="J30" s="862"/>
      <c r="K30" s="863"/>
      <c r="L30" s="862"/>
      <c r="M30" s="106"/>
      <c r="O30" s="380"/>
      <c r="P30" s="382"/>
      <c r="Q30" s="382"/>
      <c r="R30" s="382"/>
      <c r="S30" s="382"/>
      <c r="T30" s="382"/>
      <c r="U30" s="382"/>
      <c r="V30" s="382"/>
      <c r="W30" s="382"/>
      <c r="X30" s="382"/>
      <c r="Y30" s="382"/>
      <c r="Z30" s="382"/>
      <c r="AA30" s="382"/>
      <c r="AB30" s="383"/>
    </row>
    <row r="31" spans="1:28" ht="7.95" customHeight="1">
      <c r="B31" s="103"/>
      <c r="C31" s="1048"/>
      <c r="D31" s="1048"/>
      <c r="E31" s="1048"/>
      <c r="F31" s="1048"/>
      <c r="G31" s="1048"/>
      <c r="H31" s="1048"/>
      <c r="I31" s="1048"/>
      <c r="J31" s="1048"/>
      <c r="K31" s="1048"/>
      <c r="L31" s="1048"/>
      <c r="M31" s="106"/>
      <c r="O31" s="380"/>
      <c r="P31" s="382"/>
      <c r="Q31" s="382"/>
      <c r="R31" s="382"/>
      <c r="S31" s="382"/>
      <c r="T31" s="382"/>
      <c r="U31" s="382"/>
      <c r="V31" s="382"/>
      <c r="W31" s="382"/>
      <c r="X31" s="382"/>
      <c r="Y31" s="382"/>
      <c r="Z31" s="382"/>
      <c r="AA31" s="382"/>
      <c r="AB31" s="383"/>
    </row>
    <row r="32" spans="1:28" ht="22.95" customHeight="1">
      <c r="B32" s="117"/>
      <c r="C32" s="1059" t="s">
        <v>550</v>
      </c>
      <c r="D32" s="1060"/>
      <c r="E32" s="1061"/>
      <c r="F32" s="478">
        <v>-220794.10500000001</v>
      </c>
      <c r="G32" s="469">
        <v>-260071.42749999999</v>
      </c>
      <c r="H32" s="771"/>
      <c r="I32" s="771"/>
      <c r="J32" s="148"/>
      <c r="K32" s="148"/>
      <c r="L32" s="148"/>
      <c r="M32" s="118"/>
      <c r="O32" s="380"/>
      <c r="P32" s="382"/>
      <c r="Q32" s="382"/>
      <c r="R32" s="382"/>
      <c r="S32" s="382"/>
      <c r="T32" s="382"/>
      <c r="U32" s="382"/>
      <c r="V32" s="382"/>
      <c r="W32" s="382"/>
      <c r="X32" s="382"/>
      <c r="Y32" s="382"/>
      <c r="Z32" s="382"/>
      <c r="AA32" s="382"/>
      <c r="AB32" s="383"/>
    </row>
    <row r="33" spans="2:28" ht="22.95" customHeight="1">
      <c r="B33" s="117"/>
      <c r="C33" s="1062" t="s">
        <v>551</v>
      </c>
      <c r="D33" s="1063"/>
      <c r="E33" s="1064"/>
      <c r="F33" s="479">
        <v>-419505.09788726212</v>
      </c>
      <c r="G33" s="472">
        <v>-682979.74258126202</v>
      </c>
      <c r="H33" s="771"/>
      <c r="I33" s="771"/>
      <c r="J33" s="148"/>
      <c r="K33" s="148"/>
      <c r="L33" s="148"/>
      <c r="M33" s="106"/>
      <c r="O33" s="380"/>
      <c r="P33" s="382"/>
      <c r="Q33" s="382"/>
      <c r="R33" s="382"/>
      <c r="S33" s="382"/>
      <c r="T33" s="382"/>
      <c r="U33" s="382"/>
      <c r="V33" s="382"/>
      <c r="W33" s="382"/>
      <c r="X33" s="382"/>
      <c r="Y33" s="382"/>
      <c r="Z33" s="382"/>
      <c r="AA33" s="382"/>
      <c r="AB33" s="383"/>
    </row>
    <row r="34" spans="2:28" ht="22.95" customHeight="1">
      <c r="B34" s="117"/>
      <c r="C34" s="153" t="s">
        <v>552</v>
      </c>
      <c r="D34" s="154"/>
      <c r="E34" s="170"/>
      <c r="F34" s="479">
        <v>125237.02943836019</v>
      </c>
      <c r="G34" s="474">
        <v>190161.43311186018</v>
      </c>
      <c r="H34" s="771"/>
      <c r="I34" s="771"/>
      <c r="J34" s="148"/>
      <c r="K34" s="148"/>
      <c r="L34" s="148"/>
      <c r="M34" s="106"/>
      <c r="O34" s="380"/>
      <c r="P34" s="382"/>
      <c r="Q34" s="382"/>
      <c r="R34" s="382"/>
      <c r="S34" s="382"/>
      <c r="T34" s="382"/>
      <c r="U34" s="382"/>
      <c r="V34" s="382"/>
      <c r="W34" s="382"/>
      <c r="X34" s="382"/>
      <c r="Y34" s="382"/>
      <c r="Z34" s="382"/>
      <c r="AA34" s="382"/>
      <c r="AB34" s="383"/>
    </row>
    <row r="35" spans="2:28" ht="22.95" customHeight="1" thickBot="1">
      <c r="B35" s="117"/>
      <c r="C35" s="157" t="s">
        <v>553</v>
      </c>
      <c r="D35" s="158"/>
      <c r="E35" s="127"/>
      <c r="F35" s="127">
        <f>F18+F30+SUM(F32:F34)</f>
        <v>9932291.716551099</v>
      </c>
      <c r="G35" s="127">
        <f>G18+G30+SUM(G32:G34)</f>
        <v>10219687.689581696</v>
      </c>
      <c r="H35" s="210"/>
      <c r="I35" s="210"/>
      <c r="J35" s="148"/>
      <c r="K35" s="148"/>
      <c r="L35" s="148"/>
      <c r="M35" s="106"/>
      <c r="O35" s="380"/>
      <c r="P35" s="382"/>
      <c r="Q35" s="382"/>
      <c r="R35" s="382"/>
      <c r="S35" s="382"/>
      <c r="T35" s="382"/>
      <c r="U35" s="382"/>
      <c r="V35" s="382"/>
      <c r="W35" s="382"/>
      <c r="X35" s="382"/>
      <c r="Y35" s="382"/>
      <c r="Z35" s="382"/>
      <c r="AA35" s="382"/>
      <c r="AB35" s="383"/>
    </row>
    <row r="36" spans="2:28" ht="22.95" customHeight="1">
      <c r="B36" s="117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106"/>
      <c r="O36" s="380"/>
      <c r="P36" s="382"/>
      <c r="Q36" s="382"/>
      <c r="R36" s="382"/>
      <c r="S36" s="382"/>
      <c r="T36" s="382"/>
      <c r="U36" s="382"/>
      <c r="V36" s="382"/>
      <c r="W36" s="382"/>
      <c r="X36" s="382"/>
      <c r="Y36" s="382"/>
      <c r="Z36" s="382"/>
      <c r="AA36" s="382"/>
      <c r="AB36" s="383"/>
    </row>
    <row r="37" spans="2:28" ht="22.95" customHeight="1">
      <c r="B37" s="117"/>
      <c r="C37" s="22" t="s">
        <v>835</v>
      </c>
      <c r="D37" s="147"/>
      <c r="E37" s="148"/>
      <c r="F37" s="148"/>
      <c r="G37" s="148"/>
      <c r="H37" s="148"/>
      <c r="I37" s="148"/>
      <c r="J37" s="148"/>
      <c r="K37" s="148"/>
      <c r="L37" s="148"/>
      <c r="M37" s="106"/>
      <c r="O37" s="380"/>
      <c r="P37" s="382"/>
      <c r="Q37" s="382"/>
      <c r="R37" s="382"/>
      <c r="S37" s="382"/>
      <c r="T37" s="382"/>
      <c r="U37" s="382"/>
      <c r="V37" s="382"/>
      <c r="W37" s="382"/>
      <c r="X37" s="382"/>
      <c r="Y37" s="382"/>
      <c r="Z37" s="382"/>
      <c r="AA37" s="382"/>
      <c r="AB37" s="383"/>
    </row>
    <row r="38" spans="2:28" ht="36" customHeight="1">
      <c r="B38" s="117"/>
      <c r="C38" s="1054" t="s">
        <v>20</v>
      </c>
      <c r="D38" s="1055"/>
      <c r="E38" s="912"/>
      <c r="F38" s="1052" t="s">
        <v>29</v>
      </c>
      <c r="G38" s="1053"/>
      <c r="H38" s="1052" t="s">
        <v>30</v>
      </c>
      <c r="I38" s="1053"/>
      <c r="J38" s="913"/>
      <c r="K38" s="913"/>
      <c r="L38" s="913"/>
      <c r="M38" s="106"/>
      <c r="O38" s="380"/>
      <c r="P38" s="382"/>
      <c r="Q38" s="382"/>
      <c r="R38" s="382"/>
      <c r="S38" s="382"/>
      <c r="T38" s="382"/>
      <c r="U38" s="382"/>
      <c r="V38" s="382"/>
      <c r="W38" s="382"/>
      <c r="X38" s="382"/>
      <c r="Y38" s="382"/>
      <c r="Z38" s="382"/>
      <c r="AA38" s="382"/>
      <c r="AB38" s="383"/>
    </row>
    <row r="39" spans="2:28" ht="22.95" customHeight="1">
      <c r="B39" s="117"/>
      <c r="C39" s="1056" t="s">
        <v>21</v>
      </c>
      <c r="D39" s="1057"/>
      <c r="E39" s="920" t="s">
        <v>544</v>
      </c>
      <c r="F39" s="913">
        <f>ejercicio-1</f>
        <v>2017</v>
      </c>
      <c r="G39" s="913">
        <f>ejercicio</f>
        <v>2018</v>
      </c>
      <c r="H39" s="913">
        <f>ejercicio-1</f>
        <v>2017</v>
      </c>
      <c r="I39" s="913">
        <f>ejercicio</f>
        <v>2018</v>
      </c>
      <c r="J39" s="913" t="s">
        <v>546</v>
      </c>
      <c r="K39" s="913" t="s">
        <v>548</v>
      </c>
      <c r="L39" s="913" t="s">
        <v>547</v>
      </c>
      <c r="M39" s="106"/>
      <c r="O39" s="380"/>
      <c r="P39" s="382"/>
      <c r="Q39" s="382"/>
      <c r="R39" s="382"/>
      <c r="S39" s="382"/>
      <c r="T39" s="382"/>
      <c r="U39" s="382"/>
      <c r="V39" s="382"/>
      <c r="W39" s="382"/>
      <c r="X39" s="382"/>
      <c r="Y39" s="382"/>
      <c r="Z39" s="382"/>
      <c r="AA39" s="382"/>
      <c r="AB39" s="383"/>
    </row>
    <row r="40" spans="2:28" ht="22.95" customHeight="1">
      <c r="B40" s="117"/>
      <c r="C40" s="520" t="s">
        <v>964</v>
      </c>
      <c r="D40" s="521"/>
      <c r="E40" s="526" t="s">
        <v>965</v>
      </c>
      <c r="F40" s="438">
        <v>19308</v>
      </c>
      <c r="G40" s="469">
        <v>19308</v>
      </c>
      <c r="H40" s="905"/>
      <c r="I40" s="905"/>
      <c r="J40" s="852"/>
      <c r="K40" s="852"/>
      <c r="L40" s="853"/>
      <c r="M40" s="106"/>
      <c r="O40" s="380"/>
      <c r="P40" s="382"/>
      <c r="Q40" s="382"/>
      <c r="R40" s="382"/>
      <c r="S40" s="382"/>
      <c r="T40" s="382"/>
      <c r="U40" s="382"/>
      <c r="V40" s="382"/>
      <c r="W40" s="382"/>
      <c r="X40" s="382"/>
      <c r="Y40" s="382"/>
      <c r="Z40" s="382"/>
      <c r="AA40" s="382"/>
      <c r="AB40" s="383"/>
    </row>
    <row r="41" spans="2:28" ht="22.95" customHeight="1">
      <c r="B41" s="117"/>
      <c r="C41" s="522" t="s">
        <v>966</v>
      </c>
      <c r="D41" s="523"/>
      <c r="E41" s="516" t="s">
        <v>965</v>
      </c>
      <c r="F41" s="449">
        <v>12000</v>
      </c>
      <c r="G41" s="471">
        <v>12000</v>
      </c>
      <c r="H41" s="906"/>
      <c r="I41" s="906"/>
      <c r="J41" s="854"/>
      <c r="K41" s="854"/>
      <c r="L41" s="855"/>
      <c r="M41" s="106"/>
      <c r="O41" s="380"/>
      <c r="P41" s="382"/>
      <c r="Q41" s="382"/>
      <c r="R41" s="382"/>
      <c r="S41" s="382"/>
      <c r="T41" s="382"/>
      <c r="U41" s="382"/>
      <c r="V41" s="382"/>
      <c r="W41" s="382"/>
      <c r="X41" s="382"/>
      <c r="Y41" s="382"/>
      <c r="Z41" s="382"/>
      <c r="AA41" s="382"/>
      <c r="AB41" s="383"/>
    </row>
    <row r="42" spans="2:28" ht="22.95" customHeight="1">
      <c r="B42" s="117"/>
      <c r="C42" s="522" t="s">
        <v>967</v>
      </c>
      <c r="D42" s="523"/>
      <c r="E42" s="516" t="s">
        <v>968</v>
      </c>
      <c r="F42" s="449">
        <v>2746.22</v>
      </c>
      <c r="G42" s="471">
        <v>13675.78</v>
      </c>
      <c r="H42" s="906"/>
      <c r="I42" s="906"/>
      <c r="J42" s="854"/>
      <c r="K42" s="854"/>
      <c r="L42" s="855"/>
      <c r="M42" s="106"/>
      <c r="O42" s="380"/>
      <c r="P42" s="382"/>
      <c r="Q42" s="382"/>
      <c r="R42" s="382"/>
      <c r="S42" s="382"/>
      <c r="T42" s="382"/>
      <c r="U42" s="382"/>
      <c r="V42" s="382"/>
      <c r="W42" s="382"/>
      <c r="X42" s="382"/>
      <c r="Y42" s="382"/>
      <c r="Z42" s="382"/>
      <c r="AA42" s="382"/>
      <c r="AB42" s="383"/>
    </row>
    <row r="43" spans="2:28" ht="22.95" customHeight="1">
      <c r="B43" s="117"/>
      <c r="C43" s="522" t="s">
        <v>631</v>
      </c>
      <c r="D43" s="523"/>
      <c r="E43" s="516" t="s">
        <v>965</v>
      </c>
      <c r="F43" s="449"/>
      <c r="G43" s="471">
        <v>11824.5</v>
      </c>
      <c r="H43" s="906"/>
      <c r="I43" s="906"/>
      <c r="J43" s="854"/>
      <c r="K43" s="854"/>
      <c r="L43" s="855"/>
      <c r="M43" s="106"/>
      <c r="O43" s="380"/>
      <c r="P43" s="382"/>
      <c r="Q43" s="382"/>
      <c r="R43" s="382"/>
      <c r="S43" s="382"/>
      <c r="T43" s="382"/>
      <c r="U43" s="382"/>
      <c r="V43" s="382"/>
      <c r="W43" s="382"/>
      <c r="X43" s="382"/>
      <c r="Y43" s="382"/>
      <c r="Z43" s="382"/>
      <c r="AA43" s="382"/>
      <c r="AB43" s="383"/>
    </row>
    <row r="44" spans="2:28" ht="22.95" customHeight="1">
      <c r="B44" s="117"/>
      <c r="C44" s="522" t="s">
        <v>969</v>
      </c>
      <c r="D44" s="523"/>
      <c r="E44" s="516" t="s">
        <v>965</v>
      </c>
      <c r="F44" s="449">
        <v>104165.44</v>
      </c>
      <c r="G44" s="471">
        <v>52251.56</v>
      </c>
      <c r="H44" s="906"/>
      <c r="I44" s="906"/>
      <c r="J44" s="854"/>
      <c r="K44" s="854"/>
      <c r="L44" s="855"/>
      <c r="M44" s="106"/>
      <c r="O44" s="380"/>
      <c r="P44" s="382"/>
      <c r="Q44" s="382"/>
      <c r="R44" s="382"/>
      <c r="S44" s="382"/>
      <c r="T44" s="382"/>
      <c r="U44" s="382"/>
      <c r="V44" s="382"/>
      <c r="W44" s="382"/>
      <c r="X44" s="382"/>
      <c r="Y44" s="382"/>
      <c r="Z44" s="382"/>
      <c r="AA44" s="382"/>
      <c r="AB44" s="383"/>
    </row>
    <row r="45" spans="2:28" ht="22.95" customHeight="1">
      <c r="B45" s="117"/>
      <c r="C45" s="522" t="s">
        <v>970</v>
      </c>
      <c r="D45" s="523"/>
      <c r="E45" s="516" t="s">
        <v>965</v>
      </c>
      <c r="F45" s="449">
        <v>127776</v>
      </c>
      <c r="G45" s="471">
        <v>8712</v>
      </c>
      <c r="H45" s="906"/>
      <c r="I45" s="906"/>
      <c r="J45" s="854"/>
      <c r="K45" s="854"/>
      <c r="L45" s="855"/>
      <c r="M45" s="106"/>
      <c r="O45" s="380"/>
      <c r="P45" s="382"/>
      <c r="Q45" s="382"/>
      <c r="R45" s="382"/>
      <c r="S45" s="382"/>
      <c r="T45" s="382"/>
      <c r="U45" s="382"/>
      <c r="V45" s="382"/>
      <c r="W45" s="382"/>
      <c r="X45" s="382"/>
      <c r="Y45" s="382"/>
      <c r="Z45" s="382"/>
      <c r="AA45" s="382"/>
      <c r="AB45" s="383"/>
    </row>
    <row r="46" spans="2:28" ht="22.95" customHeight="1">
      <c r="B46" s="117"/>
      <c r="C46" s="522" t="s">
        <v>971</v>
      </c>
      <c r="D46" s="523"/>
      <c r="E46" s="516" t="s">
        <v>965</v>
      </c>
      <c r="F46" s="449">
        <v>83810.94</v>
      </c>
      <c r="G46" s="471">
        <v>134556.1</v>
      </c>
      <c r="H46" s="906"/>
      <c r="I46" s="906"/>
      <c r="J46" s="854"/>
      <c r="K46" s="854"/>
      <c r="L46" s="855"/>
      <c r="M46" s="106"/>
      <c r="O46" s="380"/>
      <c r="P46" s="382"/>
      <c r="Q46" s="382"/>
      <c r="R46" s="382"/>
      <c r="S46" s="382"/>
      <c r="T46" s="382"/>
      <c r="U46" s="382"/>
      <c r="V46" s="382"/>
      <c r="W46" s="382"/>
      <c r="X46" s="382"/>
      <c r="Y46" s="382"/>
      <c r="Z46" s="382"/>
      <c r="AA46" s="382"/>
      <c r="AB46" s="383"/>
    </row>
    <row r="47" spans="2:28" ht="22.95" customHeight="1">
      <c r="B47" s="117"/>
      <c r="C47" s="522" t="s">
        <v>972</v>
      </c>
      <c r="D47" s="523"/>
      <c r="E47" s="516" t="s">
        <v>965</v>
      </c>
      <c r="F47" s="449">
        <v>30806.94</v>
      </c>
      <c r="G47" s="471">
        <v>46067.1</v>
      </c>
      <c r="H47" s="906"/>
      <c r="I47" s="906"/>
      <c r="J47" s="854"/>
      <c r="K47" s="854"/>
      <c r="L47" s="855"/>
      <c r="M47" s="106"/>
      <c r="O47" s="380"/>
      <c r="P47" s="382"/>
      <c r="Q47" s="382"/>
      <c r="R47" s="382"/>
      <c r="S47" s="382"/>
      <c r="T47" s="382"/>
      <c r="U47" s="382"/>
      <c r="V47" s="382"/>
      <c r="W47" s="382"/>
      <c r="X47" s="382"/>
      <c r="Y47" s="382"/>
      <c r="Z47" s="382"/>
      <c r="AA47" s="382"/>
      <c r="AB47" s="383"/>
    </row>
    <row r="48" spans="2:28" ht="22.95" customHeight="1">
      <c r="B48" s="117"/>
      <c r="C48" s="522" t="s">
        <v>632</v>
      </c>
      <c r="D48" s="523"/>
      <c r="E48" s="516" t="s">
        <v>965</v>
      </c>
      <c r="F48" s="449">
        <v>-2000</v>
      </c>
      <c r="G48" s="471"/>
      <c r="H48" s="906"/>
      <c r="I48" s="906"/>
      <c r="J48" s="854"/>
      <c r="K48" s="854"/>
      <c r="L48" s="855"/>
      <c r="M48" s="106"/>
      <c r="O48" s="380"/>
      <c r="P48" s="382"/>
      <c r="Q48" s="382"/>
      <c r="R48" s="382"/>
      <c r="S48" s="382"/>
      <c r="T48" s="382"/>
      <c r="U48" s="382"/>
      <c r="V48" s="382"/>
      <c r="W48" s="382"/>
      <c r="X48" s="382"/>
      <c r="Y48" s="382"/>
      <c r="Z48" s="382"/>
      <c r="AA48" s="382"/>
      <c r="AB48" s="383"/>
    </row>
    <row r="49" spans="2:28" ht="22.95" customHeight="1">
      <c r="B49" s="117"/>
      <c r="C49" s="522" t="s">
        <v>973</v>
      </c>
      <c r="D49" s="523"/>
      <c r="E49" s="516" t="s">
        <v>965</v>
      </c>
      <c r="F49" s="449">
        <v>86833.68</v>
      </c>
      <c r="G49" s="471">
        <v>42050.96</v>
      </c>
      <c r="H49" s="906"/>
      <c r="I49" s="906"/>
      <c r="J49" s="854"/>
      <c r="K49" s="854"/>
      <c r="L49" s="855"/>
      <c r="M49" s="106"/>
      <c r="O49" s="380"/>
      <c r="P49" s="382"/>
      <c r="Q49" s="382"/>
      <c r="R49" s="382"/>
      <c r="S49" s="382"/>
      <c r="T49" s="382"/>
      <c r="U49" s="382"/>
      <c r="V49" s="382"/>
      <c r="W49" s="382"/>
      <c r="X49" s="382"/>
      <c r="Y49" s="382"/>
      <c r="Z49" s="382"/>
      <c r="AA49" s="382"/>
      <c r="AB49" s="383"/>
    </row>
    <row r="50" spans="2:28" ht="22.95" customHeight="1">
      <c r="B50" s="117"/>
      <c r="C50" s="522" t="s">
        <v>974</v>
      </c>
      <c r="D50" s="523"/>
      <c r="E50" s="516" t="s">
        <v>965</v>
      </c>
      <c r="F50" s="449">
        <v>38076</v>
      </c>
      <c r="G50" s="471">
        <v>173925</v>
      </c>
      <c r="H50" s="906"/>
      <c r="I50" s="906"/>
      <c r="J50" s="854"/>
      <c r="K50" s="854"/>
      <c r="L50" s="855"/>
      <c r="M50" s="106"/>
      <c r="O50" s="380"/>
      <c r="P50" s="382"/>
      <c r="Q50" s="382"/>
      <c r="R50" s="382"/>
      <c r="S50" s="382"/>
      <c r="T50" s="382"/>
      <c r="U50" s="382"/>
      <c r="V50" s="382"/>
      <c r="W50" s="382"/>
      <c r="X50" s="382"/>
      <c r="Y50" s="382"/>
      <c r="Z50" s="382"/>
      <c r="AA50" s="382"/>
      <c r="AB50" s="383"/>
    </row>
    <row r="51" spans="2:28" ht="22.95" customHeight="1">
      <c r="B51" s="117"/>
      <c r="C51" s="522" t="s">
        <v>975</v>
      </c>
      <c r="D51" s="523"/>
      <c r="E51" s="516" t="s">
        <v>976</v>
      </c>
      <c r="F51" s="449">
        <v>17460</v>
      </c>
      <c r="G51" s="471"/>
      <c r="H51" s="906"/>
      <c r="I51" s="906"/>
      <c r="J51" s="854"/>
      <c r="K51" s="854"/>
      <c r="L51" s="855"/>
      <c r="M51" s="106"/>
      <c r="O51" s="380"/>
      <c r="P51" s="382"/>
      <c r="Q51" s="382"/>
      <c r="R51" s="382"/>
      <c r="S51" s="382"/>
      <c r="T51" s="382"/>
      <c r="U51" s="382"/>
      <c r="V51" s="382"/>
      <c r="W51" s="382"/>
      <c r="X51" s="382"/>
      <c r="Y51" s="382"/>
      <c r="Z51" s="382"/>
      <c r="AA51" s="382"/>
      <c r="AB51" s="383"/>
    </row>
    <row r="52" spans="2:28" ht="22.95" customHeight="1">
      <c r="B52" s="117"/>
      <c r="C52" s="522" t="s">
        <v>959</v>
      </c>
      <c r="D52" s="523"/>
      <c r="E52" s="516" t="s">
        <v>963</v>
      </c>
      <c r="F52" s="449">
        <v>108643.17</v>
      </c>
      <c r="G52" s="471">
        <v>119055.7</v>
      </c>
      <c r="H52" s="906"/>
      <c r="I52" s="906"/>
      <c r="J52" s="854"/>
      <c r="K52" s="854"/>
      <c r="L52" s="855"/>
      <c r="M52" s="106"/>
      <c r="O52" s="380"/>
      <c r="P52" s="382"/>
      <c r="Q52" s="382"/>
      <c r="R52" s="382"/>
      <c r="S52" s="382"/>
      <c r="T52" s="382"/>
      <c r="U52" s="382"/>
      <c r="V52" s="382"/>
      <c r="W52" s="382"/>
      <c r="X52" s="382"/>
      <c r="Y52" s="382"/>
      <c r="Z52" s="382"/>
      <c r="AA52" s="382"/>
      <c r="AB52" s="383"/>
    </row>
    <row r="53" spans="2:28" ht="22.95" customHeight="1">
      <c r="B53" s="117"/>
      <c r="C53" s="522" t="s">
        <v>958</v>
      </c>
      <c r="D53" s="523"/>
      <c r="E53" s="516" t="s">
        <v>963</v>
      </c>
      <c r="F53" s="449">
        <v>84378.94</v>
      </c>
      <c r="G53" s="471">
        <v>86383.89</v>
      </c>
      <c r="H53" s="906"/>
      <c r="I53" s="906"/>
      <c r="J53" s="854"/>
      <c r="K53" s="854"/>
      <c r="L53" s="855"/>
      <c r="M53" s="106"/>
      <c r="O53" s="380"/>
      <c r="P53" s="382"/>
      <c r="Q53" s="382"/>
      <c r="R53" s="382"/>
      <c r="S53" s="382"/>
      <c r="T53" s="382"/>
      <c r="U53" s="382"/>
      <c r="V53" s="382"/>
      <c r="W53" s="382"/>
      <c r="X53" s="382"/>
      <c r="Y53" s="382"/>
      <c r="Z53" s="382"/>
      <c r="AA53" s="382"/>
      <c r="AB53" s="383"/>
    </row>
    <row r="54" spans="2:28" ht="22.95" customHeight="1">
      <c r="B54" s="117"/>
      <c r="C54" s="522" t="s">
        <v>977</v>
      </c>
      <c r="D54" s="523"/>
      <c r="E54" s="516" t="s">
        <v>963</v>
      </c>
      <c r="F54" s="449">
        <v>18272.36</v>
      </c>
      <c r="G54" s="471">
        <v>77359.5</v>
      </c>
      <c r="H54" s="906"/>
      <c r="I54" s="906"/>
      <c r="J54" s="854"/>
      <c r="K54" s="854"/>
      <c r="L54" s="855"/>
      <c r="M54" s="106"/>
      <c r="O54" s="380"/>
      <c r="P54" s="382"/>
      <c r="Q54" s="382"/>
      <c r="R54" s="382"/>
      <c r="S54" s="382"/>
      <c r="T54" s="382"/>
      <c r="U54" s="382"/>
      <c r="V54" s="382"/>
      <c r="W54" s="382"/>
      <c r="X54" s="382"/>
      <c r="Y54" s="382"/>
      <c r="Z54" s="382"/>
      <c r="AA54" s="382"/>
      <c r="AB54" s="383"/>
    </row>
    <row r="55" spans="2:28" ht="22.95" customHeight="1">
      <c r="B55" s="117"/>
      <c r="C55" s="522" t="s">
        <v>978</v>
      </c>
      <c r="D55" s="523"/>
      <c r="E55" s="516" t="s">
        <v>963</v>
      </c>
      <c r="F55" s="449">
        <v>12124.3</v>
      </c>
      <c r="G55" s="471">
        <v>165309.74</v>
      </c>
      <c r="H55" s="906"/>
      <c r="I55" s="906"/>
      <c r="J55" s="854"/>
      <c r="K55" s="854"/>
      <c r="L55" s="855"/>
      <c r="M55" s="106"/>
      <c r="O55" s="380"/>
      <c r="P55" s="382"/>
      <c r="Q55" s="382"/>
      <c r="R55" s="382"/>
      <c r="S55" s="382"/>
      <c r="T55" s="382"/>
      <c r="U55" s="382"/>
      <c r="V55" s="382"/>
      <c r="W55" s="382"/>
      <c r="X55" s="382"/>
      <c r="Y55" s="382"/>
      <c r="Z55" s="382"/>
      <c r="AA55" s="382"/>
      <c r="AB55" s="383"/>
    </row>
    <row r="56" spans="2:28" ht="22.95" customHeight="1">
      <c r="B56" s="117"/>
      <c r="C56" s="522" t="s">
        <v>630</v>
      </c>
      <c r="D56" s="523"/>
      <c r="E56" s="516" t="s">
        <v>963</v>
      </c>
      <c r="F56" s="449"/>
      <c r="G56" s="471">
        <v>32960</v>
      </c>
      <c r="H56" s="906"/>
      <c r="I56" s="906"/>
      <c r="J56" s="854"/>
      <c r="K56" s="854"/>
      <c r="L56" s="855"/>
      <c r="M56" s="106"/>
      <c r="O56" s="380"/>
      <c r="P56" s="382"/>
      <c r="Q56" s="382"/>
      <c r="R56" s="382"/>
      <c r="S56" s="382"/>
      <c r="T56" s="382"/>
      <c r="U56" s="382"/>
      <c r="V56" s="382"/>
      <c r="W56" s="382"/>
      <c r="X56" s="382"/>
      <c r="Y56" s="382"/>
      <c r="Z56" s="382"/>
      <c r="AA56" s="382"/>
      <c r="AB56" s="383"/>
    </row>
    <row r="57" spans="2:28" ht="22.95" customHeight="1">
      <c r="B57" s="117"/>
      <c r="C57" s="522" t="s">
        <v>979</v>
      </c>
      <c r="D57" s="523"/>
      <c r="E57" s="516" t="s">
        <v>962</v>
      </c>
      <c r="F57" s="449">
        <v>19000</v>
      </c>
      <c r="G57" s="471"/>
      <c r="H57" s="906"/>
      <c r="I57" s="906"/>
      <c r="J57" s="854"/>
      <c r="K57" s="854"/>
      <c r="L57" s="855"/>
      <c r="M57" s="106"/>
      <c r="O57" s="380"/>
      <c r="P57" s="382"/>
      <c r="Q57" s="382"/>
      <c r="R57" s="382"/>
      <c r="S57" s="382"/>
      <c r="T57" s="382"/>
      <c r="U57" s="382"/>
      <c r="V57" s="382"/>
      <c r="W57" s="382"/>
      <c r="X57" s="382"/>
      <c r="Y57" s="382"/>
      <c r="Z57" s="382"/>
      <c r="AA57" s="382"/>
      <c r="AB57" s="383"/>
    </row>
    <row r="58" spans="2:28" ht="22.95" customHeight="1">
      <c r="B58" s="117"/>
      <c r="C58" s="522" t="s">
        <v>980</v>
      </c>
      <c r="D58" s="523"/>
      <c r="E58" s="516" t="s">
        <v>962</v>
      </c>
      <c r="F58" s="449">
        <v>100000</v>
      </c>
      <c r="G58" s="471">
        <v>100000</v>
      </c>
      <c r="H58" s="906"/>
      <c r="I58" s="906">
        <v>100000</v>
      </c>
      <c r="J58" s="958" t="s">
        <v>1015</v>
      </c>
      <c r="K58" s="958" t="s">
        <v>1012</v>
      </c>
      <c r="L58" s="959" t="s">
        <v>1013</v>
      </c>
      <c r="M58" s="106"/>
      <c r="O58" s="380"/>
      <c r="P58" s="382"/>
      <c r="Q58" s="382"/>
      <c r="R58" s="382"/>
      <c r="S58" s="382"/>
      <c r="T58" s="382"/>
      <c r="U58" s="382"/>
      <c r="V58" s="382"/>
      <c r="W58" s="382"/>
      <c r="X58" s="382"/>
      <c r="Y58" s="382"/>
      <c r="Z58" s="382"/>
      <c r="AA58" s="382"/>
      <c r="AB58" s="383"/>
    </row>
    <row r="59" spans="2:28" ht="22.95" customHeight="1">
      <c r="B59" s="117"/>
      <c r="C59" s="522" t="s">
        <v>981</v>
      </c>
      <c r="D59" s="523"/>
      <c r="E59" s="516" t="s">
        <v>962</v>
      </c>
      <c r="F59" s="449">
        <v>24000</v>
      </c>
      <c r="G59" s="471">
        <v>24000</v>
      </c>
      <c r="H59" s="906"/>
      <c r="I59" s="906">
        <v>24000</v>
      </c>
      <c r="J59" s="958" t="s">
        <v>1015</v>
      </c>
      <c r="K59" s="958" t="s">
        <v>1012</v>
      </c>
      <c r="L59" s="959" t="s">
        <v>1013</v>
      </c>
      <c r="M59" s="106"/>
      <c r="O59" s="380"/>
      <c r="P59" s="382"/>
      <c r="Q59" s="382"/>
      <c r="R59" s="382"/>
      <c r="S59" s="382"/>
      <c r="T59" s="382"/>
      <c r="U59" s="382"/>
      <c r="V59" s="382"/>
      <c r="W59" s="382"/>
      <c r="X59" s="382"/>
      <c r="Y59" s="382"/>
      <c r="Z59" s="382"/>
      <c r="AA59" s="382"/>
      <c r="AB59" s="383"/>
    </row>
    <row r="60" spans="2:28" ht="22.95" customHeight="1">
      <c r="B60" s="117"/>
      <c r="C60" s="522" t="s">
        <v>956</v>
      </c>
      <c r="D60" s="523"/>
      <c r="E60" s="516" t="s">
        <v>962</v>
      </c>
      <c r="F60" s="449">
        <v>130000</v>
      </c>
      <c r="G60" s="471">
        <v>250000</v>
      </c>
      <c r="H60" s="906"/>
      <c r="I60" s="906">
        <v>250000</v>
      </c>
      <c r="J60" s="958" t="s">
        <v>1015</v>
      </c>
      <c r="K60" s="958" t="s">
        <v>1012</v>
      </c>
      <c r="L60" s="959" t="s">
        <v>1013</v>
      </c>
      <c r="M60" s="106"/>
      <c r="O60" s="380"/>
      <c r="P60" s="382"/>
      <c r="Q60" s="382"/>
      <c r="R60" s="382"/>
      <c r="S60" s="382"/>
      <c r="T60" s="382"/>
      <c r="U60" s="382"/>
      <c r="V60" s="382"/>
      <c r="W60" s="382"/>
      <c r="X60" s="382"/>
      <c r="Y60" s="382"/>
      <c r="Z60" s="382"/>
      <c r="AA60" s="382"/>
      <c r="AB60" s="383"/>
    </row>
    <row r="61" spans="2:28" ht="22.95" customHeight="1">
      <c r="B61" s="117"/>
      <c r="C61" s="522" t="s">
        <v>957</v>
      </c>
      <c r="D61" s="523"/>
      <c r="E61" s="516" t="s">
        <v>962</v>
      </c>
      <c r="F61" s="449">
        <v>135000</v>
      </c>
      <c r="G61" s="471">
        <v>150000</v>
      </c>
      <c r="H61" s="906"/>
      <c r="I61" s="906">
        <v>150000</v>
      </c>
      <c r="J61" s="958" t="s">
        <v>1015</v>
      </c>
      <c r="K61" s="958" t="s">
        <v>1012</v>
      </c>
      <c r="L61" s="959" t="s">
        <v>1013</v>
      </c>
      <c r="M61" s="106"/>
      <c r="O61" s="380"/>
      <c r="P61" s="382"/>
      <c r="Q61" s="382"/>
      <c r="R61" s="382"/>
      <c r="S61" s="382"/>
      <c r="T61" s="382"/>
      <c r="U61" s="382"/>
      <c r="V61" s="382"/>
      <c r="W61" s="382"/>
      <c r="X61" s="382"/>
      <c r="Y61" s="382"/>
      <c r="Z61" s="382"/>
      <c r="AA61" s="382"/>
      <c r="AB61" s="383"/>
    </row>
    <row r="62" spans="2:28" ht="22.95" customHeight="1">
      <c r="B62" s="117"/>
      <c r="C62" s="522" t="s">
        <v>982</v>
      </c>
      <c r="D62" s="523"/>
      <c r="E62" s="516" t="s">
        <v>962</v>
      </c>
      <c r="F62" s="449">
        <v>1050000</v>
      </c>
      <c r="G62" s="471">
        <v>1000000</v>
      </c>
      <c r="H62" s="906"/>
      <c r="I62" s="906">
        <v>1000000</v>
      </c>
      <c r="J62" s="958" t="s">
        <v>1015</v>
      </c>
      <c r="K62" s="958" t="s">
        <v>1012</v>
      </c>
      <c r="L62" s="959" t="s">
        <v>1013</v>
      </c>
      <c r="M62" s="106"/>
      <c r="O62" s="380"/>
      <c r="P62" s="382"/>
      <c r="Q62" s="382"/>
      <c r="R62" s="382"/>
      <c r="S62" s="382"/>
      <c r="T62" s="382"/>
      <c r="U62" s="382"/>
      <c r="V62" s="382"/>
      <c r="W62" s="382"/>
      <c r="X62" s="382"/>
      <c r="Y62" s="382"/>
      <c r="Z62" s="382"/>
      <c r="AA62" s="382"/>
      <c r="AB62" s="383"/>
    </row>
    <row r="63" spans="2:28" ht="22.95" customHeight="1">
      <c r="B63" s="117"/>
      <c r="C63" s="522" t="s">
        <v>983</v>
      </c>
      <c r="D63" s="523"/>
      <c r="E63" s="516" t="s">
        <v>962</v>
      </c>
      <c r="F63" s="449">
        <v>33580</v>
      </c>
      <c r="G63" s="471"/>
      <c r="H63" s="906"/>
      <c r="I63" s="906"/>
      <c r="J63" s="960"/>
      <c r="K63" s="960"/>
      <c r="L63" s="959"/>
      <c r="M63" s="106"/>
      <c r="O63" s="380"/>
      <c r="P63" s="382"/>
      <c r="Q63" s="382"/>
      <c r="R63" s="382"/>
      <c r="S63" s="382"/>
      <c r="T63" s="382"/>
      <c r="U63" s="382"/>
      <c r="V63" s="382"/>
      <c r="W63" s="382"/>
      <c r="X63" s="382"/>
      <c r="Y63" s="382"/>
      <c r="Z63" s="382"/>
      <c r="AA63" s="382"/>
      <c r="AB63" s="383"/>
    </row>
    <row r="64" spans="2:28" ht="22.95" customHeight="1">
      <c r="B64" s="117"/>
      <c r="C64" s="522" t="s">
        <v>984</v>
      </c>
      <c r="D64" s="523"/>
      <c r="E64" s="516" t="s">
        <v>962</v>
      </c>
      <c r="F64" s="449">
        <v>40147.300000000003</v>
      </c>
      <c r="G64" s="471"/>
      <c r="H64" s="906"/>
      <c r="I64" s="906"/>
      <c r="J64" s="960"/>
      <c r="K64" s="960"/>
      <c r="L64" s="959"/>
      <c r="M64" s="106"/>
      <c r="O64" s="380"/>
      <c r="P64" s="382"/>
      <c r="Q64" s="382"/>
      <c r="R64" s="382"/>
      <c r="S64" s="382"/>
      <c r="T64" s="382"/>
      <c r="U64" s="382"/>
      <c r="V64" s="382"/>
      <c r="W64" s="382"/>
      <c r="X64" s="382"/>
      <c r="Y64" s="382"/>
      <c r="Z64" s="382"/>
      <c r="AA64" s="382"/>
      <c r="AB64" s="383"/>
    </row>
    <row r="65" spans="2:28" ht="22.95" customHeight="1">
      <c r="B65" s="117"/>
      <c r="C65" s="522" t="s">
        <v>985</v>
      </c>
      <c r="D65" s="523"/>
      <c r="E65" s="517" t="s">
        <v>962</v>
      </c>
      <c r="F65" s="442">
        <v>93700.76</v>
      </c>
      <c r="G65" s="472"/>
      <c r="H65" s="907"/>
      <c r="I65" s="907"/>
      <c r="J65" s="961"/>
      <c r="K65" s="961"/>
      <c r="L65" s="955"/>
      <c r="M65" s="106"/>
      <c r="O65" s="380"/>
      <c r="P65" s="382"/>
      <c r="Q65" s="382"/>
      <c r="R65" s="382"/>
      <c r="S65" s="382"/>
      <c r="T65" s="382"/>
      <c r="U65" s="382"/>
      <c r="V65" s="382"/>
      <c r="W65" s="382"/>
      <c r="X65" s="382"/>
      <c r="Y65" s="382"/>
      <c r="Z65" s="382"/>
      <c r="AA65" s="382"/>
      <c r="AB65" s="383"/>
    </row>
    <row r="66" spans="2:28" ht="22.95" customHeight="1">
      <c r="B66" s="117"/>
      <c r="C66" s="522" t="s">
        <v>986</v>
      </c>
      <c r="D66" s="523"/>
      <c r="E66" s="517" t="s">
        <v>962</v>
      </c>
      <c r="F66" s="442"/>
      <c r="G66" s="472">
        <v>200000</v>
      </c>
      <c r="H66" s="907"/>
      <c r="I66" s="952">
        <v>200000</v>
      </c>
      <c r="J66" s="953" t="s">
        <v>1018</v>
      </c>
      <c r="K66" s="953" t="s">
        <v>1014</v>
      </c>
      <c r="L66" s="953" t="s">
        <v>1013</v>
      </c>
      <c r="M66" s="106"/>
      <c r="O66" s="380"/>
      <c r="P66" s="382"/>
      <c r="Q66" s="382"/>
      <c r="R66" s="382"/>
      <c r="S66" s="382"/>
      <c r="T66" s="382"/>
      <c r="U66" s="382"/>
      <c r="V66" s="382"/>
      <c r="W66" s="382"/>
      <c r="X66" s="382"/>
      <c r="Y66" s="382"/>
      <c r="Z66" s="382"/>
      <c r="AA66" s="382"/>
      <c r="AB66" s="383"/>
    </row>
    <row r="67" spans="2:28" ht="22.95" customHeight="1">
      <c r="B67" s="117"/>
      <c r="C67" s="522" t="s">
        <v>987</v>
      </c>
      <c r="D67" s="523"/>
      <c r="E67" s="517" t="s">
        <v>962</v>
      </c>
      <c r="F67" s="442"/>
      <c r="G67" s="472">
        <v>314000</v>
      </c>
      <c r="H67" s="907"/>
      <c r="I67" s="952">
        <v>314000</v>
      </c>
      <c r="J67" s="953" t="s">
        <v>1016</v>
      </c>
      <c r="K67" s="953">
        <v>9261</v>
      </c>
      <c r="L67" s="953" t="s">
        <v>1013</v>
      </c>
      <c r="M67" s="106"/>
      <c r="O67" s="380"/>
      <c r="P67" s="382"/>
      <c r="Q67" s="382"/>
      <c r="R67" s="382"/>
      <c r="S67" s="382"/>
      <c r="T67" s="382"/>
      <c r="U67" s="382"/>
      <c r="V67" s="382"/>
      <c r="W67" s="382"/>
      <c r="X67" s="382"/>
      <c r="Y67" s="382"/>
      <c r="Z67" s="382"/>
      <c r="AA67" s="382"/>
      <c r="AB67" s="383"/>
    </row>
    <row r="68" spans="2:28" ht="22.95" customHeight="1">
      <c r="B68" s="117"/>
      <c r="C68" s="522" t="s">
        <v>960</v>
      </c>
      <c r="D68" s="523"/>
      <c r="E68" s="518" t="s">
        <v>962</v>
      </c>
      <c r="F68" s="451"/>
      <c r="G68" s="473">
        <v>375000</v>
      </c>
      <c r="H68" s="908"/>
      <c r="I68" s="952">
        <v>375000</v>
      </c>
      <c r="J68" s="953" t="s">
        <v>1015</v>
      </c>
      <c r="K68" s="953" t="s">
        <v>1008</v>
      </c>
      <c r="L68" s="953" t="s">
        <v>1013</v>
      </c>
      <c r="M68" s="106"/>
      <c r="O68" s="380"/>
      <c r="P68" s="382"/>
      <c r="Q68" s="382"/>
      <c r="R68" s="382"/>
      <c r="S68" s="382"/>
      <c r="T68" s="382"/>
      <c r="U68" s="382"/>
      <c r="V68" s="382"/>
      <c r="W68" s="382"/>
      <c r="X68" s="382"/>
      <c r="Y68" s="382"/>
      <c r="Z68" s="382"/>
      <c r="AA68" s="382"/>
      <c r="AB68" s="383"/>
    </row>
    <row r="69" spans="2:28" ht="28.95" customHeight="1">
      <c r="B69" s="117"/>
      <c r="C69" s="945" t="s">
        <v>1026</v>
      </c>
      <c r="D69" s="523"/>
      <c r="E69" s="518" t="s">
        <v>962</v>
      </c>
      <c r="F69" s="451"/>
      <c r="G69" s="473">
        <v>10750</v>
      </c>
      <c r="H69" s="908"/>
      <c r="I69" s="908">
        <v>10750</v>
      </c>
      <c r="J69" s="953" t="s">
        <v>1027</v>
      </c>
      <c r="K69" s="953" t="s">
        <v>1028</v>
      </c>
      <c r="L69" s="953" t="s">
        <v>1013</v>
      </c>
      <c r="M69" s="106"/>
      <c r="O69" s="380"/>
      <c r="P69" s="382"/>
      <c r="Q69" s="382"/>
      <c r="R69" s="382"/>
      <c r="S69" s="382"/>
      <c r="T69" s="382"/>
      <c r="U69" s="382"/>
      <c r="V69" s="382"/>
      <c r="W69" s="382"/>
      <c r="X69" s="382"/>
      <c r="Y69" s="382"/>
      <c r="Z69" s="382"/>
      <c r="AA69" s="382"/>
      <c r="AB69" s="383"/>
    </row>
    <row r="70" spans="2:28" ht="22.95" customHeight="1">
      <c r="B70" s="117"/>
      <c r="C70" s="524"/>
      <c r="D70" s="525"/>
      <c r="E70" s="519"/>
      <c r="F70" s="446"/>
      <c r="G70" s="474"/>
      <c r="H70" s="909"/>
      <c r="I70" s="909"/>
      <c r="J70" s="860"/>
      <c r="K70" s="860"/>
      <c r="L70" s="861"/>
      <c r="M70" s="106"/>
      <c r="O70" s="380"/>
      <c r="P70" s="382"/>
      <c r="Q70" s="382"/>
      <c r="R70" s="382"/>
      <c r="S70" s="382"/>
      <c r="T70" s="382"/>
      <c r="U70" s="382"/>
      <c r="V70" s="382"/>
      <c r="W70" s="382"/>
      <c r="X70" s="382"/>
      <c r="Y70" s="382"/>
      <c r="Z70" s="382"/>
      <c r="AA70" s="382"/>
      <c r="AB70" s="383"/>
    </row>
    <row r="71" spans="2:28" ht="22.95" customHeight="1" thickBot="1">
      <c r="B71" s="117"/>
      <c r="C71" s="1065" t="s">
        <v>549</v>
      </c>
      <c r="D71" s="1066"/>
      <c r="E71" s="1067"/>
      <c r="F71" s="127">
        <f>SUM(F40:F70)</f>
        <v>2369830.0499999998</v>
      </c>
      <c r="G71" s="127">
        <f>SUM(G40:G70)</f>
        <v>3419189.83</v>
      </c>
      <c r="H71" s="127">
        <f>SUM(H40:H70)</f>
        <v>0</v>
      </c>
      <c r="I71" s="127">
        <f>SUM(I40:I70)</f>
        <v>2423750</v>
      </c>
      <c r="J71" s="208"/>
      <c r="K71" s="148"/>
      <c r="L71" s="148"/>
      <c r="M71" s="106"/>
      <c r="O71" s="380"/>
      <c r="P71" s="382"/>
      <c r="Q71" s="382"/>
      <c r="R71" s="382"/>
      <c r="S71" s="382"/>
      <c r="T71" s="382"/>
      <c r="U71" s="382"/>
      <c r="V71" s="382"/>
      <c r="W71" s="382"/>
      <c r="X71" s="382"/>
      <c r="Y71" s="382"/>
      <c r="Z71" s="382"/>
      <c r="AA71" s="382"/>
      <c r="AB71" s="383"/>
    </row>
    <row r="72" spans="2:28" ht="22.95" customHeight="1">
      <c r="B72" s="117"/>
      <c r="C72" s="209"/>
      <c r="D72" s="209"/>
      <c r="E72" s="210"/>
      <c r="F72" s="211"/>
      <c r="G72" s="211"/>
      <c r="H72" s="211"/>
      <c r="I72" s="211"/>
      <c r="J72" s="210"/>
      <c r="K72" s="210"/>
      <c r="L72" s="212"/>
      <c r="M72" s="106"/>
      <c r="O72" s="380"/>
      <c r="P72" s="382"/>
      <c r="Q72" s="382"/>
      <c r="R72" s="382"/>
      <c r="S72" s="382"/>
      <c r="T72" s="382"/>
      <c r="U72" s="382"/>
      <c r="V72" s="382"/>
      <c r="W72" s="382"/>
      <c r="X72" s="382"/>
      <c r="Y72" s="382"/>
      <c r="Z72" s="382"/>
      <c r="AA72" s="382"/>
      <c r="AB72" s="383"/>
    </row>
    <row r="73" spans="2:28" s="115" customFormat="1" ht="30" customHeight="1">
      <c r="B73" s="111"/>
      <c r="C73" s="66" t="s">
        <v>836</v>
      </c>
      <c r="D73" s="22"/>
      <c r="E73" s="96"/>
      <c r="F73" s="96"/>
      <c r="G73" s="96"/>
      <c r="H73" s="96"/>
      <c r="I73" s="96"/>
      <c r="J73" s="96"/>
      <c r="K73" s="96"/>
      <c r="L73" s="96"/>
      <c r="M73" s="114"/>
      <c r="O73" s="380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3"/>
    </row>
    <row r="74" spans="2:28" s="115" customFormat="1" ht="30" customHeight="1">
      <c r="B74" s="111"/>
      <c r="C74" s="1054" t="s">
        <v>20</v>
      </c>
      <c r="D74" s="1055"/>
      <c r="E74" s="912"/>
      <c r="F74" s="1052" t="s">
        <v>31</v>
      </c>
      <c r="G74" s="1053"/>
      <c r="H74" s="1052" t="s">
        <v>32</v>
      </c>
      <c r="I74" s="1053"/>
      <c r="J74" s="913"/>
      <c r="K74" s="913"/>
      <c r="L74" s="913"/>
      <c r="M74" s="114"/>
      <c r="O74" s="380"/>
      <c r="P74" s="382"/>
      <c r="Q74" s="382"/>
      <c r="R74" s="382"/>
      <c r="S74" s="382"/>
      <c r="T74" s="382"/>
      <c r="U74" s="382"/>
      <c r="V74" s="382"/>
      <c r="W74" s="382"/>
      <c r="X74" s="382"/>
      <c r="Y74" s="382"/>
      <c r="Z74" s="382"/>
      <c r="AA74" s="382"/>
      <c r="AB74" s="383"/>
    </row>
    <row r="75" spans="2:28" ht="22.95" customHeight="1">
      <c r="B75" s="117"/>
      <c r="C75" s="1056" t="s">
        <v>21</v>
      </c>
      <c r="D75" s="1057"/>
      <c r="E75" s="920" t="s">
        <v>544</v>
      </c>
      <c r="F75" s="913">
        <f>ejercicio-1</f>
        <v>2017</v>
      </c>
      <c r="G75" s="913">
        <f>ejercicio</f>
        <v>2018</v>
      </c>
      <c r="H75" s="913">
        <f>ejercicio-1</f>
        <v>2017</v>
      </c>
      <c r="I75" s="913">
        <f>ejercicio</f>
        <v>2018</v>
      </c>
      <c r="J75" s="913" t="s">
        <v>546</v>
      </c>
      <c r="K75" s="913" t="s">
        <v>548</v>
      </c>
      <c r="L75" s="913" t="s">
        <v>547</v>
      </c>
      <c r="M75" s="106"/>
      <c r="O75" s="380"/>
      <c r="P75" s="382"/>
      <c r="Q75" s="382"/>
      <c r="R75" s="382"/>
      <c r="S75" s="382"/>
      <c r="T75" s="382"/>
      <c r="U75" s="382"/>
      <c r="V75" s="382"/>
      <c r="W75" s="382"/>
      <c r="X75" s="382"/>
      <c r="Y75" s="382"/>
      <c r="Z75" s="382"/>
      <c r="AA75" s="382"/>
      <c r="AB75" s="383"/>
    </row>
    <row r="76" spans="2:28" ht="22.95" customHeight="1">
      <c r="B76" s="117"/>
      <c r="C76" s="520"/>
      <c r="D76" s="521"/>
      <c r="E76" s="526"/>
      <c r="F76" s="438"/>
      <c r="G76" s="469"/>
      <c r="H76" s="905"/>
      <c r="I76" s="905"/>
      <c r="J76" s="852"/>
      <c r="K76" s="852"/>
      <c r="L76" s="853"/>
      <c r="M76" s="106"/>
      <c r="O76" s="380"/>
      <c r="P76" s="382"/>
      <c r="Q76" s="382"/>
      <c r="R76" s="382"/>
      <c r="S76" s="382"/>
      <c r="T76" s="382"/>
      <c r="U76" s="382"/>
      <c r="V76" s="382"/>
      <c r="W76" s="382"/>
      <c r="X76" s="382"/>
      <c r="Y76" s="382"/>
      <c r="Z76" s="382"/>
      <c r="AA76" s="382"/>
      <c r="AB76" s="383"/>
    </row>
    <row r="77" spans="2:28" ht="22.95" customHeight="1">
      <c r="B77" s="117"/>
      <c r="C77" s="522"/>
      <c r="D77" s="523"/>
      <c r="E77" s="516"/>
      <c r="F77" s="449"/>
      <c r="G77" s="471"/>
      <c r="H77" s="906"/>
      <c r="I77" s="906"/>
      <c r="J77" s="854"/>
      <c r="K77" s="854"/>
      <c r="L77" s="855"/>
      <c r="M77" s="106"/>
      <c r="O77" s="380"/>
      <c r="P77" s="382"/>
      <c r="Q77" s="382"/>
      <c r="R77" s="382"/>
      <c r="S77" s="382"/>
      <c r="T77" s="382"/>
      <c r="U77" s="382"/>
      <c r="V77" s="382"/>
      <c r="W77" s="382"/>
      <c r="X77" s="382"/>
      <c r="Y77" s="382"/>
      <c r="Z77" s="382"/>
      <c r="AA77" s="382"/>
      <c r="AB77" s="383"/>
    </row>
    <row r="78" spans="2:28" ht="22.95" customHeight="1">
      <c r="B78" s="117"/>
      <c r="C78" s="522"/>
      <c r="D78" s="523"/>
      <c r="E78" s="516"/>
      <c r="F78" s="449"/>
      <c r="G78" s="471"/>
      <c r="H78" s="906"/>
      <c r="I78" s="906"/>
      <c r="J78" s="854"/>
      <c r="K78" s="854"/>
      <c r="L78" s="855"/>
      <c r="M78" s="106"/>
      <c r="O78" s="380"/>
      <c r="P78" s="382"/>
      <c r="Q78" s="382"/>
      <c r="R78" s="382"/>
      <c r="S78" s="382"/>
      <c r="T78" s="382"/>
      <c r="U78" s="382"/>
      <c r="V78" s="382"/>
      <c r="W78" s="382"/>
      <c r="X78" s="382"/>
      <c r="Y78" s="382"/>
      <c r="Z78" s="382"/>
      <c r="AA78" s="382"/>
      <c r="AB78" s="383"/>
    </row>
    <row r="79" spans="2:28" ht="22.95" customHeight="1">
      <c r="B79" s="117"/>
      <c r="C79" s="522"/>
      <c r="D79" s="523"/>
      <c r="E79" s="516"/>
      <c r="F79" s="449"/>
      <c r="G79" s="471"/>
      <c r="H79" s="906"/>
      <c r="I79" s="906"/>
      <c r="J79" s="854"/>
      <c r="K79" s="854"/>
      <c r="L79" s="855"/>
      <c r="M79" s="106"/>
      <c r="O79" s="380"/>
      <c r="P79" s="382"/>
      <c r="Q79" s="382"/>
      <c r="R79" s="382"/>
      <c r="S79" s="382"/>
      <c r="T79" s="382"/>
      <c r="U79" s="382"/>
      <c r="V79" s="382"/>
      <c r="W79" s="382"/>
      <c r="X79" s="382"/>
      <c r="Y79" s="382"/>
      <c r="Z79" s="382"/>
      <c r="AA79" s="382"/>
      <c r="AB79" s="383"/>
    </row>
    <row r="80" spans="2:28" ht="22.95" customHeight="1">
      <c r="B80" s="117"/>
      <c r="C80" s="522"/>
      <c r="D80" s="523"/>
      <c r="E80" s="517"/>
      <c r="F80" s="442"/>
      <c r="G80" s="472"/>
      <c r="H80" s="907"/>
      <c r="I80" s="907"/>
      <c r="J80" s="856"/>
      <c r="K80" s="856"/>
      <c r="L80" s="857"/>
      <c r="M80" s="106"/>
      <c r="O80" s="380"/>
      <c r="P80" s="382"/>
      <c r="Q80" s="382"/>
      <c r="R80" s="382"/>
      <c r="S80" s="382"/>
      <c r="T80" s="382"/>
      <c r="U80" s="382"/>
      <c r="V80" s="382"/>
      <c r="W80" s="382"/>
      <c r="X80" s="382"/>
      <c r="Y80" s="382"/>
      <c r="Z80" s="382"/>
      <c r="AA80" s="382"/>
      <c r="AB80" s="383"/>
    </row>
    <row r="81" spans="2:28" ht="22.95" customHeight="1">
      <c r="B81" s="117"/>
      <c r="C81" s="522"/>
      <c r="D81" s="523"/>
      <c r="E81" s="517"/>
      <c r="F81" s="442"/>
      <c r="G81" s="472"/>
      <c r="H81" s="907"/>
      <c r="I81" s="907"/>
      <c r="J81" s="856"/>
      <c r="K81" s="856"/>
      <c r="L81" s="857"/>
      <c r="M81" s="106"/>
      <c r="O81" s="380"/>
      <c r="P81" s="382"/>
      <c r="Q81" s="382"/>
      <c r="R81" s="382"/>
      <c r="S81" s="382"/>
      <c r="T81" s="382"/>
      <c r="U81" s="382"/>
      <c r="V81" s="382"/>
      <c r="W81" s="382"/>
      <c r="X81" s="382"/>
      <c r="Y81" s="382"/>
      <c r="Z81" s="382"/>
      <c r="AA81" s="382"/>
      <c r="AB81" s="383"/>
    </row>
    <row r="82" spans="2:28" ht="22.95" customHeight="1">
      <c r="B82" s="117"/>
      <c r="C82" s="522"/>
      <c r="D82" s="523"/>
      <c r="E82" s="517"/>
      <c r="F82" s="442"/>
      <c r="G82" s="472"/>
      <c r="H82" s="907"/>
      <c r="I82" s="907"/>
      <c r="J82" s="856"/>
      <c r="K82" s="856"/>
      <c r="L82" s="857"/>
      <c r="M82" s="106"/>
      <c r="O82" s="380"/>
      <c r="P82" s="382"/>
      <c r="Q82" s="382"/>
      <c r="R82" s="382"/>
      <c r="S82" s="382"/>
      <c r="T82" s="382"/>
      <c r="U82" s="382"/>
      <c r="V82" s="382"/>
      <c r="W82" s="382"/>
      <c r="X82" s="382"/>
      <c r="Y82" s="382"/>
      <c r="Z82" s="382"/>
      <c r="AA82" s="382"/>
      <c r="AB82" s="383"/>
    </row>
    <row r="83" spans="2:28" ht="22.95" customHeight="1">
      <c r="B83" s="117"/>
      <c r="C83" s="522"/>
      <c r="D83" s="523"/>
      <c r="E83" s="518"/>
      <c r="F83" s="451"/>
      <c r="G83" s="473"/>
      <c r="H83" s="908"/>
      <c r="I83" s="908"/>
      <c r="J83" s="858"/>
      <c r="K83" s="858"/>
      <c r="L83" s="859"/>
      <c r="M83" s="106"/>
      <c r="O83" s="380"/>
      <c r="P83" s="382"/>
      <c r="Q83" s="382"/>
      <c r="R83" s="382"/>
      <c r="S83" s="382"/>
      <c r="T83" s="382"/>
      <c r="U83" s="382"/>
      <c r="V83" s="382"/>
      <c r="W83" s="382"/>
      <c r="X83" s="382"/>
      <c r="Y83" s="382"/>
      <c r="Z83" s="382"/>
      <c r="AA83" s="382"/>
      <c r="AB83" s="383"/>
    </row>
    <row r="84" spans="2:28" ht="22.95" customHeight="1">
      <c r="B84" s="117"/>
      <c r="C84" s="522"/>
      <c r="D84" s="523"/>
      <c r="E84" s="518"/>
      <c r="F84" s="451"/>
      <c r="G84" s="473"/>
      <c r="H84" s="908"/>
      <c r="I84" s="908"/>
      <c r="J84" s="858"/>
      <c r="K84" s="858"/>
      <c r="L84" s="859"/>
      <c r="M84" s="106"/>
      <c r="O84" s="380"/>
      <c r="P84" s="382"/>
      <c r="Q84" s="382"/>
      <c r="R84" s="382"/>
      <c r="S84" s="382"/>
      <c r="T84" s="382"/>
      <c r="U84" s="382"/>
      <c r="V84" s="382"/>
      <c r="W84" s="382"/>
      <c r="X84" s="382"/>
      <c r="Y84" s="382"/>
      <c r="Z84" s="382"/>
      <c r="AA84" s="382"/>
      <c r="AB84" s="383"/>
    </row>
    <row r="85" spans="2:28" ht="22.95" customHeight="1">
      <c r="B85" s="117"/>
      <c r="C85" s="524"/>
      <c r="D85" s="525"/>
      <c r="E85" s="519"/>
      <c r="F85" s="446"/>
      <c r="G85" s="474"/>
      <c r="H85" s="909"/>
      <c r="I85" s="909"/>
      <c r="J85" s="860"/>
      <c r="K85" s="860"/>
      <c r="L85" s="861"/>
      <c r="M85" s="106"/>
      <c r="O85" s="380"/>
      <c r="P85" s="382"/>
      <c r="Q85" s="382"/>
      <c r="R85" s="382"/>
      <c r="S85" s="382"/>
      <c r="T85" s="382"/>
      <c r="U85" s="382"/>
      <c r="V85" s="382"/>
      <c r="W85" s="382"/>
      <c r="X85" s="382"/>
      <c r="Y85" s="382"/>
      <c r="Z85" s="382"/>
      <c r="AA85" s="382"/>
      <c r="AB85" s="383"/>
    </row>
    <row r="86" spans="2:28" ht="22.95" customHeight="1" thickBot="1">
      <c r="B86" s="117"/>
      <c r="C86" s="1065" t="s">
        <v>549</v>
      </c>
      <c r="D86" s="1066"/>
      <c r="E86" s="1067"/>
      <c r="F86" s="127">
        <f>SUM(F76:F85)</f>
        <v>0</v>
      </c>
      <c r="G86" s="127">
        <f>SUM(G76:G85)</f>
        <v>0</v>
      </c>
      <c r="H86" s="127">
        <f>SUM(H76:H85)</f>
        <v>0</v>
      </c>
      <c r="I86" s="127">
        <f>SUM(I76:I85)</f>
        <v>0</v>
      </c>
      <c r="J86" s="208"/>
      <c r="K86" s="148"/>
      <c r="L86" s="148"/>
      <c r="M86" s="106"/>
      <c r="O86" s="380"/>
      <c r="P86" s="382"/>
      <c r="Q86" s="382"/>
      <c r="R86" s="382"/>
      <c r="S86" s="382"/>
      <c r="T86" s="382"/>
      <c r="U86" s="382"/>
      <c r="V86" s="382"/>
      <c r="W86" s="382"/>
      <c r="X86" s="382"/>
      <c r="Y86" s="382"/>
      <c r="Z86" s="382"/>
      <c r="AA86" s="382"/>
      <c r="AB86" s="383"/>
    </row>
    <row r="87" spans="2:28" ht="22.95" customHeight="1">
      <c r="B87" s="117"/>
      <c r="C87" s="209"/>
      <c r="D87" s="209"/>
      <c r="E87" s="210"/>
      <c r="F87" s="211"/>
      <c r="G87" s="211"/>
      <c r="H87" s="211"/>
      <c r="I87" s="211"/>
      <c r="J87" s="210"/>
      <c r="K87" s="210"/>
      <c r="L87" s="212"/>
      <c r="M87" s="106"/>
      <c r="O87" s="380"/>
      <c r="P87" s="382"/>
      <c r="Q87" s="382"/>
      <c r="R87" s="382"/>
      <c r="S87" s="382"/>
      <c r="T87" s="382"/>
      <c r="U87" s="382"/>
      <c r="V87" s="382"/>
      <c r="W87" s="382"/>
      <c r="X87" s="382"/>
      <c r="Y87" s="382"/>
      <c r="Z87" s="382"/>
      <c r="AA87" s="382"/>
      <c r="AB87" s="383"/>
    </row>
    <row r="88" spans="2:28" s="115" customFormat="1" ht="30" customHeight="1">
      <c r="B88" s="111"/>
      <c r="C88" s="66" t="s">
        <v>43</v>
      </c>
      <c r="D88" s="22"/>
      <c r="E88" s="96"/>
      <c r="F88" s="96"/>
      <c r="G88" s="96"/>
      <c r="H88" s="96"/>
      <c r="I88" s="96"/>
      <c r="J88" s="96"/>
      <c r="K88" s="96"/>
      <c r="L88" s="96"/>
      <c r="M88" s="114"/>
      <c r="O88" s="380"/>
      <c r="P88" s="382"/>
      <c r="Q88" s="382"/>
      <c r="R88" s="382"/>
      <c r="S88" s="382"/>
      <c r="T88" s="382"/>
      <c r="U88" s="382"/>
      <c r="V88" s="382"/>
      <c r="W88" s="382"/>
      <c r="X88" s="382"/>
      <c r="Y88" s="382"/>
      <c r="Z88" s="382"/>
      <c r="AA88" s="382"/>
      <c r="AB88" s="383"/>
    </row>
    <row r="89" spans="2:28" ht="22.95" customHeight="1">
      <c r="B89" s="117"/>
      <c r="C89" s="1035" t="s">
        <v>20</v>
      </c>
      <c r="D89" s="1037"/>
      <c r="E89" s="913" t="s">
        <v>544</v>
      </c>
      <c r="F89" s="913">
        <f>ejercicio-1</f>
        <v>2017</v>
      </c>
      <c r="G89" s="913">
        <f>ejercicio</f>
        <v>2018</v>
      </c>
      <c r="H89" s="913" t="s">
        <v>546</v>
      </c>
      <c r="I89" s="913" t="s">
        <v>548</v>
      </c>
      <c r="J89" s="913" t="s">
        <v>547</v>
      </c>
      <c r="K89" s="97"/>
      <c r="L89" s="97"/>
      <c r="M89" s="106"/>
      <c r="O89" s="380"/>
      <c r="P89" s="382"/>
      <c r="Q89" s="382"/>
      <c r="R89" s="382"/>
      <c r="S89" s="382"/>
      <c r="T89" s="382"/>
      <c r="U89" s="382"/>
      <c r="V89" s="382"/>
      <c r="W89" s="382"/>
      <c r="X89" s="382"/>
      <c r="Y89" s="382"/>
      <c r="Z89" s="382"/>
      <c r="AA89" s="382"/>
      <c r="AB89" s="383"/>
    </row>
    <row r="90" spans="2:28" ht="22.95" customHeight="1">
      <c r="B90" s="117"/>
      <c r="C90" s="520" t="s">
        <v>988</v>
      </c>
      <c r="D90" s="521"/>
      <c r="E90" s="526" t="s">
        <v>962</v>
      </c>
      <c r="F90" s="438">
        <v>-24999977.300000001</v>
      </c>
      <c r="G90" s="469"/>
      <c r="H90" s="852"/>
      <c r="I90" s="852"/>
      <c r="J90" s="853"/>
      <c r="K90" s="97"/>
      <c r="L90" s="97"/>
      <c r="M90" s="106"/>
      <c r="O90" s="380"/>
      <c r="P90" s="382"/>
      <c r="Q90" s="382"/>
      <c r="R90" s="382"/>
      <c r="S90" s="382"/>
      <c r="T90" s="382"/>
      <c r="U90" s="382"/>
      <c r="V90" s="382"/>
      <c r="W90" s="382"/>
      <c r="X90" s="382"/>
      <c r="Y90" s="382"/>
      <c r="Z90" s="382"/>
      <c r="AA90" s="382"/>
      <c r="AB90" s="383"/>
    </row>
    <row r="91" spans="2:28" ht="22.95" customHeight="1">
      <c r="B91" s="117"/>
      <c r="C91" s="522"/>
      <c r="D91" s="523"/>
      <c r="E91" s="516"/>
      <c r="F91" s="449"/>
      <c r="G91" s="471"/>
      <c r="H91" s="854"/>
      <c r="I91" s="854"/>
      <c r="J91" s="855"/>
      <c r="K91" s="97"/>
      <c r="L91" s="97"/>
      <c r="M91" s="106"/>
      <c r="O91" s="380"/>
      <c r="P91" s="382"/>
      <c r="Q91" s="382"/>
      <c r="R91" s="382"/>
      <c r="S91" s="382"/>
      <c r="T91" s="382"/>
      <c r="U91" s="382"/>
      <c r="V91" s="382"/>
      <c r="W91" s="382"/>
      <c r="X91" s="382"/>
      <c r="Y91" s="382"/>
      <c r="Z91" s="382"/>
      <c r="AA91" s="382"/>
      <c r="AB91" s="383"/>
    </row>
    <row r="92" spans="2:28" ht="22.95" customHeight="1">
      <c r="B92" s="117"/>
      <c r="C92" s="522"/>
      <c r="D92" s="523"/>
      <c r="E92" s="516"/>
      <c r="F92" s="449"/>
      <c r="G92" s="471"/>
      <c r="H92" s="854"/>
      <c r="I92" s="854"/>
      <c r="J92" s="855"/>
      <c r="K92" s="97"/>
      <c r="L92" s="97"/>
      <c r="M92" s="106"/>
      <c r="O92" s="380"/>
      <c r="P92" s="382"/>
      <c r="Q92" s="382"/>
      <c r="R92" s="382"/>
      <c r="S92" s="382"/>
      <c r="T92" s="382"/>
      <c r="U92" s="382"/>
      <c r="V92" s="382"/>
      <c r="W92" s="382"/>
      <c r="X92" s="382"/>
      <c r="Y92" s="382"/>
      <c r="Z92" s="382"/>
      <c r="AA92" s="382"/>
      <c r="AB92" s="383"/>
    </row>
    <row r="93" spans="2:28" ht="22.95" customHeight="1">
      <c r="B93" s="117"/>
      <c r="C93" s="522"/>
      <c r="D93" s="523"/>
      <c r="E93" s="516"/>
      <c r="F93" s="449"/>
      <c r="G93" s="471"/>
      <c r="H93" s="854"/>
      <c r="I93" s="854"/>
      <c r="J93" s="855"/>
      <c r="K93" s="97"/>
      <c r="L93" s="97"/>
      <c r="M93" s="106"/>
      <c r="O93" s="380"/>
      <c r="P93" s="382"/>
      <c r="Q93" s="382"/>
      <c r="R93" s="382"/>
      <c r="S93" s="382"/>
      <c r="T93" s="382"/>
      <c r="U93" s="382"/>
      <c r="V93" s="382"/>
      <c r="W93" s="382"/>
      <c r="X93" s="382"/>
      <c r="Y93" s="382"/>
      <c r="Z93" s="382"/>
      <c r="AA93" s="382"/>
      <c r="AB93" s="383"/>
    </row>
    <row r="94" spans="2:28" ht="22.95" customHeight="1">
      <c r="B94" s="117"/>
      <c r="C94" s="522"/>
      <c r="D94" s="523"/>
      <c r="E94" s="517"/>
      <c r="F94" s="442"/>
      <c r="G94" s="472"/>
      <c r="H94" s="856"/>
      <c r="I94" s="856"/>
      <c r="J94" s="857"/>
      <c r="K94" s="97"/>
      <c r="L94" s="97"/>
      <c r="M94" s="106"/>
      <c r="O94" s="380"/>
      <c r="P94" s="382"/>
      <c r="Q94" s="382"/>
      <c r="R94" s="382"/>
      <c r="S94" s="382"/>
      <c r="T94" s="382"/>
      <c r="U94" s="382"/>
      <c r="V94" s="382"/>
      <c r="W94" s="382"/>
      <c r="X94" s="382"/>
      <c r="Y94" s="382"/>
      <c r="Z94" s="382"/>
      <c r="AA94" s="382"/>
      <c r="AB94" s="383"/>
    </row>
    <row r="95" spans="2:28" ht="22.95" customHeight="1">
      <c r="B95" s="117"/>
      <c r="C95" s="522"/>
      <c r="D95" s="523"/>
      <c r="E95" s="517"/>
      <c r="F95" s="442"/>
      <c r="G95" s="472"/>
      <c r="H95" s="856"/>
      <c r="I95" s="856"/>
      <c r="J95" s="857"/>
      <c r="K95" s="97"/>
      <c r="L95" s="97"/>
      <c r="M95" s="106"/>
      <c r="O95" s="380"/>
      <c r="P95" s="382"/>
      <c r="Q95" s="382"/>
      <c r="R95" s="382"/>
      <c r="S95" s="382"/>
      <c r="T95" s="382"/>
      <c r="U95" s="382"/>
      <c r="V95" s="382"/>
      <c r="W95" s="382"/>
      <c r="X95" s="382"/>
      <c r="Y95" s="382"/>
      <c r="Z95" s="382"/>
      <c r="AA95" s="382"/>
      <c r="AB95" s="383"/>
    </row>
    <row r="96" spans="2:28" ht="22.95" customHeight="1">
      <c r="B96" s="117"/>
      <c r="C96" s="522"/>
      <c r="D96" s="523"/>
      <c r="E96" s="517"/>
      <c r="F96" s="442"/>
      <c r="G96" s="472"/>
      <c r="H96" s="856"/>
      <c r="I96" s="856"/>
      <c r="J96" s="857"/>
      <c r="K96" s="97"/>
      <c r="L96" s="97"/>
      <c r="M96" s="106"/>
      <c r="O96" s="380"/>
      <c r="P96" s="382"/>
      <c r="Q96" s="382"/>
      <c r="R96" s="382"/>
      <c r="S96" s="382"/>
      <c r="T96" s="382"/>
      <c r="U96" s="382"/>
      <c r="V96" s="382"/>
      <c r="W96" s="382"/>
      <c r="X96" s="382"/>
      <c r="Y96" s="382"/>
      <c r="Z96" s="382"/>
      <c r="AA96" s="382"/>
      <c r="AB96" s="383"/>
    </row>
    <row r="97" spans="2:28" ht="22.95" customHeight="1">
      <c r="B97" s="117"/>
      <c r="C97" s="522"/>
      <c r="D97" s="523"/>
      <c r="E97" s="518"/>
      <c r="F97" s="451"/>
      <c r="G97" s="473"/>
      <c r="H97" s="858"/>
      <c r="I97" s="858"/>
      <c r="J97" s="859"/>
      <c r="K97" s="97"/>
      <c r="L97" s="97"/>
      <c r="M97" s="106"/>
      <c r="O97" s="380"/>
      <c r="P97" s="382"/>
      <c r="Q97" s="382"/>
      <c r="R97" s="382"/>
      <c r="S97" s="382"/>
      <c r="T97" s="382"/>
      <c r="U97" s="382"/>
      <c r="V97" s="382"/>
      <c r="W97" s="382"/>
      <c r="X97" s="382"/>
      <c r="Y97" s="382"/>
      <c r="Z97" s="382"/>
      <c r="AA97" s="382"/>
      <c r="AB97" s="383"/>
    </row>
    <row r="98" spans="2:28" ht="22.95" customHeight="1">
      <c r="B98" s="117"/>
      <c r="C98" s="522"/>
      <c r="D98" s="523"/>
      <c r="E98" s="518"/>
      <c r="F98" s="451"/>
      <c r="G98" s="473"/>
      <c r="H98" s="858"/>
      <c r="I98" s="858"/>
      <c r="J98" s="859"/>
      <c r="K98" s="97"/>
      <c r="L98" s="97"/>
      <c r="M98" s="106"/>
      <c r="O98" s="380"/>
      <c r="P98" s="382"/>
      <c r="Q98" s="382"/>
      <c r="R98" s="382"/>
      <c r="S98" s="382"/>
      <c r="T98" s="382"/>
      <c r="U98" s="382"/>
      <c r="V98" s="382"/>
      <c r="W98" s="382"/>
      <c r="X98" s="382"/>
      <c r="Y98" s="382"/>
      <c r="Z98" s="382"/>
      <c r="AA98" s="382"/>
      <c r="AB98" s="383"/>
    </row>
    <row r="99" spans="2:28" ht="22.95" customHeight="1">
      <c r="B99" s="117"/>
      <c r="C99" s="524"/>
      <c r="D99" s="525"/>
      <c r="E99" s="519"/>
      <c r="F99" s="446"/>
      <c r="G99" s="474"/>
      <c r="H99" s="860"/>
      <c r="I99" s="860"/>
      <c r="J99" s="861"/>
      <c r="K99" s="97"/>
      <c r="L99" s="97"/>
      <c r="M99" s="106"/>
      <c r="O99" s="380"/>
      <c r="P99" s="382"/>
      <c r="Q99" s="382"/>
      <c r="R99" s="382"/>
      <c r="S99" s="382"/>
      <c r="T99" s="382"/>
      <c r="U99" s="382"/>
      <c r="V99" s="382"/>
      <c r="W99" s="382"/>
      <c r="X99" s="382"/>
      <c r="Y99" s="382"/>
      <c r="Z99" s="382"/>
      <c r="AA99" s="382"/>
      <c r="AB99" s="383"/>
    </row>
    <row r="100" spans="2:28" ht="22.95" customHeight="1" thickBot="1">
      <c r="B100" s="117"/>
      <c r="C100" s="1065" t="s">
        <v>44</v>
      </c>
      <c r="D100" s="1066"/>
      <c r="E100" s="1067"/>
      <c r="F100" s="127">
        <f>SUM(F90:F99)</f>
        <v>-24999977.300000001</v>
      </c>
      <c r="G100" s="127">
        <f>SUM(G90:G99)</f>
        <v>0</v>
      </c>
      <c r="H100" s="96"/>
      <c r="I100" s="96"/>
      <c r="J100" s="165"/>
      <c r="K100" s="148"/>
      <c r="L100" s="148"/>
      <c r="M100" s="106"/>
      <c r="O100" s="380"/>
      <c r="P100" s="382"/>
      <c r="Q100" s="382"/>
      <c r="R100" s="382"/>
      <c r="S100" s="382"/>
      <c r="T100" s="382"/>
      <c r="U100" s="382"/>
      <c r="V100" s="382"/>
      <c r="W100" s="382"/>
      <c r="X100" s="382"/>
      <c r="Y100" s="382"/>
      <c r="Z100" s="382"/>
      <c r="AA100" s="382"/>
      <c r="AB100" s="383"/>
    </row>
    <row r="101" spans="2:28" ht="22.95" customHeight="1">
      <c r="B101" s="117"/>
      <c r="C101" s="209"/>
      <c r="D101" s="209"/>
      <c r="E101" s="210"/>
      <c r="F101" s="211"/>
      <c r="G101" s="211"/>
      <c r="H101" s="96"/>
      <c r="I101" s="96"/>
      <c r="J101" s="165"/>
      <c r="K101" s="210"/>
      <c r="L101" s="212"/>
      <c r="M101" s="106"/>
      <c r="O101" s="380"/>
      <c r="P101" s="382"/>
      <c r="Q101" s="382"/>
      <c r="R101" s="382"/>
      <c r="S101" s="382"/>
      <c r="T101" s="382"/>
      <c r="U101" s="382"/>
      <c r="V101" s="382"/>
      <c r="W101" s="382"/>
      <c r="X101" s="382"/>
      <c r="Y101" s="382"/>
      <c r="Z101" s="382"/>
      <c r="AA101" s="382"/>
      <c r="AB101" s="383"/>
    </row>
    <row r="102" spans="2:28" ht="22.95" customHeight="1">
      <c r="B102" s="117"/>
      <c r="C102" s="166" t="s">
        <v>23</v>
      </c>
      <c r="D102" s="164"/>
      <c r="E102" s="165"/>
      <c r="F102" s="165"/>
      <c r="G102" s="165"/>
      <c r="H102" s="96"/>
      <c r="I102" s="96"/>
      <c r="J102" s="165"/>
      <c r="K102" s="165"/>
      <c r="L102" s="96"/>
      <c r="M102" s="106"/>
      <c r="O102" s="380"/>
      <c r="P102" s="382"/>
      <c r="Q102" s="382"/>
      <c r="R102" s="382"/>
      <c r="S102" s="382"/>
      <c r="T102" s="382"/>
      <c r="U102" s="382"/>
      <c r="V102" s="382"/>
      <c r="W102" s="382"/>
      <c r="X102" s="382"/>
      <c r="Y102" s="382"/>
      <c r="Z102" s="382"/>
      <c r="AA102" s="382"/>
      <c r="AB102" s="383"/>
    </row>
    <row r="103" spans="2:28" ht="17.399999999999999">
      <c r="B103" s="117"/>
      <c r="C103" s="899"/>
      <c r="D103" s="899"/>
      <c r="E103" s="900"/>
      <c r="F103" s="900"/>
      <c r="G103" s="900"/>
      <c r="H103" s="900"/>
      <c r="I103" s="900"/>
      <c r="J103" s="900"/>
      <c r="K103" s="900"/>
      <c r="L103" s="901"/>
      <c r="M103" s="106"/>
      <c r="O103" s="380"/>
      <c r="P103" s="382"/>
      <c r="Q103" s="382"/>
      <c r="R103" s="382"/>
      <c r="S103" s="382"/>
      <c r="T103" s="382"/>
      <c r="U103" s="382"/>
      <c r="V103" s="382"/>
      <c r="W103" s="382"/>
      <c r="X103" s="382"/>
      <c r="Y103" s="382"/>
      <c r="Z103" s="382"/>
      <c r="AA103" s="382"/>
      <c r="AB103" s="383"/>
    </row>
    <row r="104" spans="2:28" ht="17.399999999999999">
      <c r="B104" s="117"/>
      <c r="C104" s="902"/>
      <c r="D104" s="902"/>
      <c r="E104" s="903"/>
      <c r="F104" s="903"/>
      <c r="G104" s="903"/>
      <c r="H104" s="903"/>
      <c r="I104" s="903"/>
      <c r="J104" s="903"/>
      <c r="K104" s="903"/>
      <c r="L104" s="904"/>
      <c r="M104" s="106"/>
      <c r="O104" s="380"/>
      <c r="P104" s="382"/>
      <c r="Q104" s="382"/>
      <c r="R104" s="382"/>
      <c r="S104" s="382"/>
      <c r="T104" s="382"/>
      <c r="U104" s="382"/>
      <c r="V104" s="382"/>
      <c r="W104" s="382"/>
      <c r="X104" s="382"/>
      <c r="Y104" s="382"/>
      <c r="Z104" s="382"/>
      <c r="AA104" s="382"/>
      <c r="AB104" s="383"/>
    </row>
    <row r="105" spans="2:28" ht="17.399999999999999">
      <c r="B105" s="117"/>
      <c r="C105" s="902"/>
      <c r="D105" s="902"/>
      <c r="E105" s="903"/>
      <c r="F105" s="903"/>
      <c r="G105" s="903"/>
      <c r="H105" s="903"/>
      <c r="I105" s="903"/>
      <c r="J105" s="903"/>
      <c r="K105" s="903"/>
      <c r="L105" s="904"/>
      <c r="M105" s="106"/>
      <c r="O105" s="380"/>
      <c r="P105" s="382"/>
      <c r="Q105" s="382"/>
      <c r="R105" s="382"/>
      <c r="S105" s="382"/>
      <c r="T105" s="382"/>
      <c r="U105" s="382"/>
      <c r="V105" s="382"/>
      <c r="W105" s="382"/>
      <c r="X105" s="382"/>
      <c r="Y105" s="382"/>
      <c r="Z105" s="382"/>
      <c r="AA105" s="382"/>
      <c r="AB105" s="383"/>
    </row>
    <row r="106" spans="2:28" ht="17.399999999999999">
      <c r="B106" s="117"/>
      <c r="C106" s="902"/>
      <c r="D106" s="902"/>
      <c r="E106" s="903"/>
      <c r="F106" s="903"/>
      <c r="G106" s="903"/>
      <c r="H106" s="903"/>
      <c r="I106" s="903"/>
      <c r="J106" s="903"/>
      <c r="K106" s="903"/>
      <c r="L106" s="904"/>
      <c r="M106" s="106"/>
      <c r="O106" s="380"/>
      <c r="P106" s="382"/>
      <c r="Q106" s="382"/>
      <c r="R106" s="382"/>
      <c r="S106" s="382"/>
      <c r="T106" s="382"/>
      <c r="U106" s="382"/>
      <c r="V106" s="382"/>
      <c r="W106" s="382"/>
      <c r="X106" s="382"/>
      <c r="Y106" s="382"/>
      <c r="Z106" s="382"/>
      <c r="AA106" s="382"/>
      <c r="AB106" s="383"/>
    </row>
    <row r="107" spans="2:28" ht="17.399999999999999">
      <c r="B107" s="117"/>
      <c r="C107" s="902"/>
      <c r="D107" s="902"/>
      <c r="E107" s="903"/>
      <c r="F107" s="903"/>
      <c r="G107" s="903"/>
      <c r="H107" s="903"/>
      <c r="I107" s="903"/>
      <c r="J107" s="903"/>
      <c r="K107" s="903"/>
      <c r="L107" s="904"/>
      <c r="M107" s="106"/>
      <c r="O107" s="380"/>
      <c r="P107" s="382"/>
      <c r="Q107" s="382"/>
      <c r="R107" s="382"/>
      <c r="S107" s="382"/>
      <c r="T107" s="382"/>
      <c r="U107" s="382"/>
      <c r="V107" s="382"/>
      <c r="W107" s="382"/>
      <c r="X107" s="382"/>
      <c r="Y107" s="382"/>
      <c r="Z107" s="382"/>
      <c r="AA107" s="382"/>
      <c r="AB107" s="383"/>
    </row>
    <row r="108" spans="2:28" ht="17.399999999999999">
      <c r="B108" s="117"/>
      <c r="C108" s="902"/>
      <c r="D108" s="902"/>
      <c r="E108" s="903"/>
      <c r="F108" s="903"/>
      <c r="G108" s="903"/>
      <c r="H108" s="903"/>
      <c r="I108" s="903"/>
      <c r="J108" s="903"/>
      <c r="K108" s="903"/>
      <c r="L108" s="904"/>
      <c r="M108" s="106"/>
      <c r="O108" s="380"/>
      <c r="P108" s="382"/>
      <c r="Q108" s="382"/>
      <c r="R108" s="382"/>
      <c r="S108" s="382"/>
      <c r="T108" s="382"/>
      <c r="U108" s="382"/>
      <c r="V108" s="382"/>
      <c r="W108" s="382"/>
      <c r="X108" s="382"/>
      <c r="Y108" s="382"/>
      <c r="Z108" s="382"/>
      <c r="AA108" s="382"/>
      <c r="AB108" s="383"/>
    </row>
    <row r="109" spans="2:28" ht="17.399999999999999">
      <c r="B109" s="117"/>
      <c r="C109" s="902"/>
      <c r="D109" s="902"/>
      <c r="E109" s="903"/>
      <c r="F109" s="903"/>
      <c r="G109" s="903"/>
      <c r="H109" s="903"/>
      <c r="I109" s="903"/>
      <c r="J109" s="903"/>
      <c r="K109" s="903"/>
      <c r="L109" s="904"/>
      <c r="M109" s="106"/>
      <c r="O109" s="380"/>
      <c r="P109" s="382"/>
      <c r="Q109" s="382"/>
      <c r="R109" s="382"/>
      <c r="S109" s="382"/>
      <c r="T109" s="382"/>
      <c r="U109" s="382"/>
      <c r="V109" s="382"/>
      <c r="W109" s="382"/>
      <c r="X109" s="382"/>
      <c r="Y109" s="382"/>
      <c r="Z109" s="382"/>
      <c r="AA109" s="382"/>
      <c r="AB109" s="383"/>
    </row>
    <row r="110" spans="2:28" ht="17.399999999999999">
      <c r="B110" s="117"/>
      <c r="C110" s="902"/>
      <c r="D110" s="902"/>
      <c r="E110" s="903"/>
      <c r="F110" s="903"/>
      <c r="G110" s="903"/>
      <c r="H110" s="903"/>
      <c r="I110" s="903"/>
      <c r="J110" s="903"/>
      <c r="K110" s="903"/>
      <c r="L110" s="904"/>
      <c r="M110" s="106"/>
      <c r="O110" s="380"/>
      <c r="P110" s="382"/>
      <c r="Q110" s="382"/>
      <c r="R110" s="382"/>
      <c r="S110" s="382"/>
      <c r="T110" s="382"/>
      <c r="U110" s="382"/>
      <c r="V110" s="382"/>
      <c r="W110" s="382"/>
      <c r="X110" s="382"/>
      <c r="Y110" s="382"/>
      <c r="Z110" s="382"/>
      <c r="AA110" s="382"/>
      <c r="AB110" s="383"/>
    </row>
    <row r="111" spans="2:28" ht="17.399999999999999">
      <c r="B111" s="117"/>
      <c r="C111" s="902"/>
      <c r="D111" s="902"/>
      <c r="E111" s="903"/>
      <c r="F111" s="903"/>
      <c r="G111" s="903"/>
      <c r="H111" s="903"/>
      <c r="I111" s="903"/>
      <c r="J111" s="903"/>
      <c r="K111" s="903"/>
      <c r="L111" s="904"/>
      <c r="M111" s="106"/>
      <c r="O111" s="380"/>
      <c r="P111" s="382"/>
      <c r="Q111" s="382"/>
      <c r="R111" s="382"/>
      <c r="S111" s="382"/>
      <c r="T111" s="382"/>
      <c r="U111" s="382"/>
      <c r="V111" s="382"/>
      <c r="W111" s="382"/>
      <c r="X111" s="382"/>
      <c r="Y111" s="382"/>
      <c r="Z111" s="382"/>
      <c r="AA111" s="382"/>
      <c r="AB111" s="383"/>
    </row>
    <row r="112" spans="2:28" ht="17.399999999999999">
      <c r="B112" s="117"/>
      <c r="C112" s="902"/>
      <c r="D112" s="902"/>
      <c r="E112" s="903"/>
      <c r="F112" s="903"/>
      <c r="G112" s="903"/>
      <c r="H112" s="903"/>
      <c r="I112" s="903"/>
      <c r="J112" s="903"/>
      <c r="K112" s="903"/>
      <c r="L112" s="904"/>
      <c r="M112" s="106"/>
      <c r="O112" s="380"/>
      <c r="P112" s="382"/>
      <c r="Q112" s="382"/>
      <c r="R112" s="382"/>
      <c r="S112" s="382"/>
      <c r="T112" s="382"/>
      <c r="U112" s="382"/>
      <c r="V112" s="382"/>
      <c r="W112" s="382"/>
      <c r="X112" s="382"/>
      <c r="Y112" s="382"/>
      <c r="Z112" s="382"/>
      <c r="AA112" s="382"/>
      <c r="AB112" s="383"/>
    </row>
    <row r="113" spans="2:28" ht="13.8">
      <c r="B113" s="117"/>
      <c r="C113" s="963" t="s">
        <v>24</v>
      </c>
      <c r="D113" s="964"/>
      <c r="E113" s="965"/>
      <c r="F113" s="965"/>
      <c r="G113" s="965"/>
      <c r="H113" s="965"/>
      <c r="I113" s="965"/>
      <c r="J113" s="965"/>
      <c r="K113" s="965"/>
      <c r="L113" s="971"/>
      <c r="M113" s="972"/>
      <c r="N113" s="248"/>
      <c r="O113" s="380"/>
      <c r="P113" s="382"/>
      <c r="Q113" s="382"/>
      <c r="R113" s="382"/>
      <c r="S113" s="382"/>
      <c r="T113" s="382"/>
      <c r="U113" s="382"/>
      <c r="V113" s="382"/>
      <c r="W113" s="382"/>
      <c r="X113" s="382"/>
      <c r="Y113" s="382"/>
      <c r="Z113" s="382"/>
      <c r="AA113" s="382"/>
      <c r="AB113" s="383"/>
    </row>
    <row r="114" spans="2:28" ht="13.8">
      <c r="B114" s="117"/>
      <c r="C114" s="966" t="s">
        <v>36</v>
      </c>
      <c r="D114" s="964"/>
      <c r="E114" s="965"/>
      <c r="F114" s="965"/>
      <c r="G114" s="965"/>
      <c r="H114" s="965"/>
      <c r="I114" s="965"/>
      <c r="J114" s="965"/>
      <c r="K114" s="965"/>
      <c r="L114" s="971"/>
      <c r="M114" s="972"/>
      <c r="N114" s="248"/>
      <c r="O114" s="380"/>
      <c r="P114" s="382"/>
      <c r="Q114" s="382"/>
      <c r="R114" s="382"/>
      <c r="S114" s="382"/>
      <c r="T114" s="382"/>
      <c r="U114" s="382"/>
      <c r="V114" s="382"/>
      <c r="W114" s="382"/>
      <c r="X114" s="382"/>
      <c r="Y114" s="382"/>
      <c r="Z114" s="382"/>
      <c r="AA114" s="382"/>
      <c r="AB114" s="383"/>
    </row>
    <row r="115" spans="2:28" ht="13.8">
      <c r="B115" s="117"/>
      <c r="C115" s="966" t="s">
        <v>1023</v>
      </c>
      <c r="D115" s="964"/>
      <c r="E115" s="965"/>
      <c r="F115" s="967">
        <f>ejercicio-1</f>
        <v>2017</v>
      </c>
      <c r="G115" s="965" t="s">
        <v>1024</v>
      </c>
      <c r="H115" s="965"/>
      <c r="I115" s="965"/>
      <c r="J115" s="967">
        <f>ejercicio</f>
        <v>2018</v>
      </c>
      <c r="K115" s="965"/>
      <c r="L115" s="971"/>
      <c r="M115" s="972"/>
      <c r="N115" s="248"/>
      <c r="O115" s="380"/>
      <c r="P115" s="382"/>
      <c r="Q115" s="382"/>
      <c r="R115" s="382"/>
      <c r="S115" s="382"/>
      <c r="T115" s="382"/>
      <c r="U115" s="382"/>
      <c r="V115" s="382"/>
      <c r="W115" s="382"/>
      <c r="X115" s="382"/>
      <c r="Y115" s="382"/>
      <c r="Z115" s="382"/>
      <c r="AA115" s="382"/>
      <c r="AB115" s="383"/>
    </row>
    <row r="116" spans="2:28" ht="13.8">
      <c r="B116" s="117"/>
      <c r="C116" s="966" t="s">
        <v>38</v>
      </c>
      <c r="D116" s="964"/>
      <c r="E116" s="965"/>
      <c r="F116" s="965"/>
      <c r="G116" s="965"/>
      <c r="H116" s="965"/>
      <c r="I116" s="965"/>
      <c r="J116" s="965"/>
      <c r="K116" s="965"/>
      <c r="L116" s="971"/>
      <c r="M116" s="972"/>
      <c r="N116" s="248"/>
      <c r="O116" s="380"/>
      <c r="P116" s="382"/>
      <c r="Q116" s="382"/>
      <c r="R116" s="382"/>
      <c r="S116" s="382"/>
      <c r="T116" s="382"/>
      <c r="U116" s="382"/>
      <c r="V116" s="382"/>
      <c r="W116" s="382"/>
      <c r="X116" s="382"/>
      <c r="Y116" s="382"/>
      <c r="Z116" s="382"/>
      <c r="AA116" s="382"/>
      <c r="AB116" s="383"/>
    </row>
    <row r="117" spans="2:28" ht="13.8">
      <c r="B117" s="117"/>
      <c r="C117" s="964" t="s">
        <v>37</v>
      </c>
      <c r="D117" s="964"/>
      <c r="E117" s="965"/>
      <c r="F117" s="965"/>
      <c r="G117" s="965"/>
      <c r="H117" s="965"/>
      <c r="I117" s="965"/>
      <c r="J117" s="965"/>
      <c r="K117" s="965"/>
      <c r="L117" s="971"/>
      <c r="M117" s="972"/>
      <c r="N117" s="248"/>
      <c r="O117" s="380"/>
      <c r="P117" s="382"/>
      <c r="Q117" s="382"/>
      <c r="R117" s="382"/>
      <c r="S117" s="382"/>
      <c r="T117" s="382"/>
      <c r="U117" s="382"/>
      <c r="V117" s="382"/>
      <c r="W117" s="382"/>
      <c r="X117" s="382"/>
      <c r="Y117" s="382"/>
      <c r="Z117" s="382"/>
      <c r="AA117" s="382"/>
      <c r="AB117" s="383"/>
    </row>
    <row r="118" spans="2:28" ht="13.8">
      <c r="B118" s="117"/>
      <c r="C118" s="966" t="s">
        <v>39</v>
      </c>
      <c r="D118" s="964"/>
      <c r="E118" s="965"/>
      <c r="F118" s="965"/>
      <c r="G118" s="965"/>
      <c r="H118" s="965"/>
      <c r="I118" s="965"/>
      <c r="J118" s="965"/>
      <c r="K118" s="965"/>
      <c r="L118" s="971"/>
      <c r="M118" s="972"/>
      <c r="N118" s="248"/>
      <c r="O118" s="380"/>
      <c r="P118" s="382"/>
      <c r="Q118" s="382"/>
      <c r="R118" s="382"/>
      <c r="S118" s="382"/>
      <c r="T118" s="382"/>
      <c r="U118" s="382"/>
      <c r="V118" s="382"/>
      <c r="W118" s="382"/>
      <c r="X118" s="382"/>
      <c r="Y118" s="382"/>
      <c r="Z118" s="382"/>
      <c r="AA118" s="382"/>
      <c r="AB118" s="383"/>
    </row>
    <row r="119" spans="2:28" ht="13.8">
      <c r="B119" s="117"/>
      <c r="C119" s="964" t="s">
        <v>27</v>
      </c>
      <c r="D119" s="964"/>
      <c r="E119" s="965"/>
      <c r="F119" s="965"/>
      <c r="G119" s="965"/>
      <c r="H119" s="965"/>
      <c r="I119" s="965"/>
      <c r="J119" s="965"/>
      <c r="K119" s="965"/>
      <c r="L119" s="971"/>
      <c r="M119" s="972"/>
      <c r="N119" s="248"/>
      <c r="O119" s="380"/>
      <c r="P119" s="382"/>
      <c r="Q119" s="382"/>
      <c r="R119" s="382"/>
      <c r="S119" s="382"/>
      <c r="T119" s="382"/>
      <c r="U119" s="382"/>
      <c r="V119" s="382"/>
      <c r="W119" s="382"/>
      <c r="X119" s="382"/>
      <c r="Y119" s="382"/>
      <c r="Z119" s="382"/>
      <c r="AA119" s="382"/>
      <c r="AB119" s="383"/>
    </row>
    <row r="120" spans="2:28" ht="13.8">
      <c r="B120" s="117"/>
      <c r="C120" s="964" t="s">
        <v>45</v>
      </c>
      <c r="D120" s="964"/>
      <c r="E120" s="965"/>
      <c r="F120" s="965"/>
      <c r="G120" s="965"/>
      <c r="H120" s="965"/>
      <c r="I120" s="965"/>
      <c r="J120" s="965"/>
      <c r="K120" s="965"/>
      <c r="L120" s="971"/>
      <c r="M120" s="972"/>
      <c r="N120" s="248"/>
      <c r="O120" s="380"/>
      <c r="P120" s="382"/>
      <c r="Q120" s="382"/>
      <c r="R120" s="382"/>
      <c r="S120" s="382"/>
      <c r="T120" s="382"/>
      <c r="U120" s="382"/>
      <c r="V120" s="382"/>
      <c r="W120" s="382"/>
      <c r="X120" s="382"/>
      <c r="Y120" s="382"/>
      <c r="Z120" s="382"/>
      <c r="AA120" s="382"/>
      <c r="AB120" s="383"/>
    </row>
    <row r="121" spans="2:28" ht="13.8">
      <c r="B121" s="117"/>
      <c r="C121" s="964" t="s">
        <v>28</v>
      </c>
      <c r="D121" s="964"/>
      <c r="E121" s="965"/>
      <c r="F121" s="965"/>
      <c r="G121" s="965"/>
      <c r="H121" s="965"/>
      <c r="I121" s="965"/>
      <c r="J121" s="965"/>
      <c r="K121" s="965"/>
      <c r="L121" s="971"/>
      <c r="M121" s="972"/>
      <c r="N121" s="248"/>
      <c r="O121" s="380"/>
      <c r="P121" s="382"/>
      <c r="Q121" s="382"/>
      <c r="R121" s="382"/>
      <c r="S121" s="382"/>
      <c r="T121" s="382"/>
      <c r="U121" s="382"/>
      <c r="V121" s="382"/>
      <c r="W121" s="382"/>
      <c r="X121" s="382"/>
      <c r="Y121" s="382"/>
      <c r="Z121" s="382"/>
      <c r="AA121" s="382"/>
      <c r="AB121" s="383"/>
    </row>
    <row r="122" spans="2:28" ht="13.8">
      <c r="B122" s="117"/>
      <c r="C122" s="966" t="s">
        <v>40</v>
      </c>
      <c r="D122" s="964"/>
      <c r="E122" s="965"/>
      <c r="F122" s="965"/>
      <c r="G122" s="965"/>
      <c r="H122" s="965"/>
      <c r="I122" s="965"/>
      <c r="J122" s="965"/>
      <c r="K122" s="965"/>
      <c r="L122" s="971"/>
      <c r="M122" s="972"/>
      <c r="N122" s="248"/>
      <c r="O122" s="380"/>
      <c r="P122" s="382"/>
      <c r="Q122" s="382"/>
      <c r="R122" s="382"/>
      <c r="S122" s="382"/>
      <c r="T122" s="382"/>
      <c r="U122" s="382"/>
      <c r="V122" s="382"/>
      <c r="W122" s="382"/>
      <c r="X122" s="382"/>
      <c r="Y122" s="382"/>
      <c r="Z122" s="382"/>
      <c r="AA122" s="382"/>
      <c r="AB122" s="383"/>
    </row>
    <row r="123" spans="2:28" ht="13.8">
      <c r="B123" s="117"/>
      <c r="C123" s="966" t="s">
        <v>46</v>
      </c>
      <c r="D123" s="964"/>
      <c r="E123" s="965"/>
      <c r="F123" s="965"/>
      <c r="G123" s="965"/>
      <c r="H123" s="965"/>
      <c r="I123" s="965"/>
      <c r="J123" s="965"/>
      <c r="K123" s="965"/>
      <c r="L123" s="971"/>
      <c r="M123" s="972"/>
      <c r="N123" s="248"/>
      <c r="O123" s="380"/>
      <c r="P123" s="382"/>
      <c r="Q123" s="382"/>
      <c r="R123" s="382"/>
      <c r="S123" s="382"/>
      <c r="T123" s="382"/>
      <c r="U123" s="382"/>
      <c r="V123" s="382"/>
      <c r="W123" s="382"/>
      <c r="X123" s="382"/>
      <c r="Y123" s="382"/>
      <c r="Z123" s="382"/>
      <c r="AA123" s="382"/>
      <c r="AB123" s="383"/>
    </row>
    <row r="124" spans="2:28" ht="13.8">
      <c r="B124" s="117"/>
      <c r="C124" s="964" t="s">
        <v>33</v>
      </c>
      <c r="D124" s="964"/>
      <c r="E124" s="965"/>
      <c r="F124" s="965"/>
      <c r="G124" s="965"/>
      <c r="H124" s="965"/>
      <c r="I124" s="965"/>
      <c r="J124" s="965"/>
      <c r="K124" s="965"/>
      <c r="L124" s="971"/>
      <c r="M124" s="972"/>
      <c r="N124" s="248"/>
      <c r="O124" s="380"/>
      <c r="P124" s="382"/>
      <c r="Q124" s="382"/>
      <c r="R124" s="382"/>
      <c r="S124" s="382"/>
      <c r="T124" s="382"/>
      <c r="U124" s="382"/>
      <c r="V124" s="382"/>
      <c r="W124" s="382"/>
      <c r="X124" s="382"/>
      <c r="Y124" s="382"/>
      <c r="Z124" s="382"/>
      <c r="AA124" s="382"/>
      <c r="AB124" s="383"/>
    </row>
    <row r="125" spans="2:28" ht="13.8">
      <c r="B125" s="117"/>
      <c r="C125" s="966" t="s">
        <v>41</v>
      </c>
      <c r="D125" s="964"/>
      <c r="E125" s="965"/>
      <c r="F125" s="965"/>
      <c r="G125" s="965"/>
      <c r="H125" s="965"/>
      <c r="I125" s="965"/>
      <c r="J125" s="965"/>
      <c r="K125" s="965"/>
      <c r="L125" s="971"/>
      <c r="M125" s="972"/>
      <c r="N125" s="248"/>
      <c r="O125" s="380"/>
      <c r="P125" s="382"/>
      <c r="Q125" s="382"/>
      <c r="R125" s="382"/>
      <c r="S125" s="382"/>
      <c r="T125" s="382"/>
      <c r="U125" s="382"/>
      <c r="V125" s="382"/>
      <c r="W125" s="382"/>
      <c r="X125" s="382"/>
      <c r="Y125" s="382"/>
      <c r="Z125" s="382"/>
      <c r="AA125" s="382"/>
      <c r="AB125" s="383"/>
    </row>
    <row r="126" spans="2:28" s="923" customFormat="1" ht="13.8">
      <c r="B126" s="922"/>
      <c r="C126" s="968" t="s">
        <v>1025</v>
      </c>
      <c r="D126" s="969"/>
      <c r="E126" s="970"/>
      <c r="F126" s="970"/>
      <c r="G126" s="970"/>
      <c r="H126" s="970"/>
      <c r="I126" s="970"/>
      <c r="J126" s="970"/>
      <c r="K126" s="970"/>
      <c r="L126" s="973"/>
      <c r="M126" s="974"/>
      <c r="N126" s="975"/>
      <c r="O126" s="380"/>
      <c r="P126" s="382"/>
      <c r="Q126" s="382"/>
      <c r="R126" s="382"/>
      <c r="S126" s="382"/>
      <c r="T126" s="382"/>
      <c r="U126" s="382"/>
      <c r="V126" s="382"/>
      <c r="W126" s="382"/>
      <c r="X126" s="382"/>
      <c r="Y126" s="382"/>
      <c r="Z126" s="382"/>
      <c r="AA126" s="382"/>
      <c r="AB126" s="383"/>
    </row>
    <row r="127" spans="2:28" ht="13.8">
      <c r="B127" s="117"/>
      <c r="C127" s="964" t="s">
        <v>34</v>
      </c>
      <c r="D127" s="964"/>
      <c r="E127" s="965"/>
      <c r="F127" s="965"/>
      <c r="G127" s="965"/>
      <c r="H127" s="965"/>
      <c r="I127" s="965"/>
      <c r="J127" s="965"/>
      <c r="K127" s="965"/>
      <c r="L127" s="971"/>
      <c r="M127" s="972"/>
      <c r="N127" s="248"/>
      <c r="O127" s="380"/>
      <c r="P127" s="382"/>
      <c r="Q127" s="382"/>
      <c r="R127" s="382"/>
      <c r="S127" s="382"/>
      <c r="T127" s="382"/>
      <c r="U127" s="382"/>
      <c r="V127" s="382"/>
      <c r="W127" s="382"/>
      <c r="X127" s="382"/>
      <c r="Y127" s="382"/>
      <c r="Z127" s="382"/>
      <c r="AA127" s="382"/>
      <c r="AB127" s="383"/>
    </row>
    <row r="128" spans="2:28" ht="13.8">
      <c r="B128" s="117"/>
      <c r="C128" s="966" t="s">
        <v>42</v>
      </c>
      <c r="D128" s="964"/>
      <c r="E128" s="965"/>
      <c r="F128" s="965"/>
      <c r="G128" s="965"/>
      <c r="H128" s="965"/>
      <c r="I128" s="965"/>
      <c r="J128" s="965"/>
      <c r="K128" s="965"/>
      <c r="L128" s="971"/>
      <c r="M128" s="972"/>
      <c r="N128" s="248"/>
      <c r="O128" s="380"/>
      <c r="P128" s="382"/>
      <c r="Q128" s="382"/>
      <c r="R128" s="382"/>
      <c r="S128" s="382"/>
      <c r="T128" s="382"/>
      <c r="U128" s="382"/>
      <c r="V128" s="382"/>
      <c r="W128" s="382"/>
      <c r="X128" s="382"/>
      <c r="Y128" s="382"/>
      <c r="Z128" s="382"/>
      <c r="AA128" s="382"/>
      <c r="AB128" s="383"/>
    </row>
    <row r="129" spans="2:28" ht="13.8">
      <c r="B129" s="117"/>
      <c r="C129" s="964" t="s">
        <v>35</v>
      </c>
      <c r="D129" s="964"/>
      <c r="E129" s="965"/>
      <c r="F129" s="965"/>
      <c r="G129" s="965"/>
      <c r="H129" s="965"/>
      <c r="I129" s="965"/>
      <c r="J129" s="965"/>
      <c r="K129" s="965"/>
      <c r="L129" s="971"/>
      <c r="M129" s="972"/>
      <c r="N129" s="248"/>
      <c r="O129" s="380"/>
      <c r="P129" s="382"/>
      <c r="Q129" s="382"/>
      <c r="R129" s="382"/>
      <c r="S129" s="382"/>
      <c r="T129" s="382"/>
      <c r="U129" s="382"/>
      <c r="V129" s="382"/>
      <c r="W129" s="382"/>
      <c r="X129" s="382"/>
      <c r="Y129" s="382"/>
      <c r="Z129" s="382"/>
      <c r="AA129" s="382"/>
      <c r="AB129" s="383"/>
    </row>
    <row r="130" spans="2:28" ht="22.95" customHeight="1" thickBot="1">
      <c r="B130" s="121"/>
      <c r="C130" s="1058"/>
      <c r="D130" s="1058"/>
      <c r="E130" s="1058"/>
      <c r="F130" s="1058"/>
      <c r="G130" s="976"/>
      <c r="H130" s="976"/>
      <c r="I130" s="976"/>
      <c r="J130" s="976"/>
      <c r="K130" s="976"/>
      <c r="L130" s="977"/>
      <c r="M130" s="978"/>
      <c r="N130" s="248"/>
      <c r="O130" s="396"/>
      <c r="P130" s="397"/>
      <c r="Q130" s="397"/>
      <c r="R130" s="397"/>
      <c r="S130" s="397"/>
      <c r="T130" s="397"/>
      <c r="U130" s="397"/>
      <c r="V130" s="397"/>
      <c r="W130" s="397"/>
      <c r="X130" s="397"/>
      <c r="Y130" s="397"/>
      <c r="Z130" s="397"/>
      <c r="AA130" s="397"/>
      <c r="AB130" s="398"/>
    </row>
    <row r="131" spans="2:28" ht="22.95" customHeight="1">
      <c r="C131" s="979"/>
      <c r="D131" s="979"/>
      <c r="E131" s="980"/>
      <c r="F131" s="980"/>
      <c r="G131" s="980"/>
      <c r="H131" s="980"/>
      <c r="I131" s="980"/>
      <c r="J131" s="980"/>
      <c r="K131" s="980"/>
      <c r="L131" s="980"/>
      <c r="M131" s="248"/>
      <c r="N131" s="248"/>
    </row>
    <row r="132" spans="2:28" ht="13.2">
      <c r="C132" s="124" t="s">
        <v>174</v>
      </c>
      <c r="D132" s="104"/>
      <c r="E132" s="105"/>
      <c r="F132" s="105"/>
      <c r="G132" s="105"/>
      <c r="H132" s="105"/>
      <c r="I132" s="105"/>
      <c r="J132" s="105"/>
      <c r="K132" s="105"/>
      <c r="L132" s="95" t="s">
        <v>151</v>
      </c>
    </row>
    <row r="133" spans="2:28" ht="13.2">
      <c r="C133" s="125" t="s">
        <v>175</v>
      </c>
      <c r="D133" s="104"/>
      <c r="E133" s="105"/>
      <c r="F133" s="105"/>
      <c r="G133" s="105"/>
      <c r="H133" s="105"/>
      <c r="I133" s="105"/>
      <c r="J133" s="105"/>
      <c r="K133" s="105"/>
      <c r="L133" s="105"/>
    </row>
    <row r="134" spans="2:28" ht="13.2">
      <c r="C134" s="125" t="s">
        <v>176</v>
      </c>
      <c r="D134" s="104"/>
      <c r="E134" s="105"/>
      <c r="F134" s="105"/>
      <c r="G134" s="105"/>
      <c r="H134" s="105"/>
      <c r="I134" s="105"/>
      <c r="J134" s="105"/>
      <c r="K134" s="105"/>
      <c r="L134" s="105"/>
    </row>
    <row r="135" spans="2:28" ht="13.2">
      <c r="C135" s="125" t="s">
        <v>177</v>
      </c>
      <c r="D135" s="104"/>
      <c r="E135" s="105"/>
      <c r="F135" s="105"/>
      <c r="G135" s="105"/>
      <c r="H135" s="105"/>
      <c r="I135" s="105"/>
      <c r="J135" s="105"/>
      <c r="K135" s="105"/>
      <c r="L135" s="105"/>
    </row>
    <row r="136" spans="2:28" ht="13.2">
      <c r="C136" s="125" t="s">
        <v>178</v>
      </c>
      <c r="D136" s="104"/>
      <c r="E136" s="105"/>
      <c r="F136" s="105"/>
      <c r="G136" s="105"/>
      <c r="H136" s="105"/>
      <c r="I136" s="105"/>
      <c r="J136" s="105"/>
      <c r="K136" s="105"/>
      <c r="L136" s="105"/>
    </row>
    <row r="137" spans="2:28" ht="22.95" customHeight="1">
      <c r="C137" s="104"/>
      <c r="D137" s="104"/>
      <c r="E137" s="105"/>
      <c r="F137" s="105"/>
      <c r="G137" s="105"/>
      <c r="H137" s="105"/>
      <c r="I137" s="105"/>
      <c r="J137" s="105"/>
      <c r="K137" s="105"/>
      <c r="L137" s="105"/>
    </row>
    <row r="138" spans="2:28" ht="22.95" customHeight="1">
      <c r="C138" s="104"/>
      <c r="D138" s="104"/>
      <c r="E138" s="105"/>
      <c r="F138" s="105"/>
      <c r="G138" s="105"/>
      <c r="H138" s="105"/>
      <c r="I138" s="105"/>
      <c r="J138" s="105"/>
      <c r="K138" s="105"/>
      <c r="L138" s="105"/>
    </row>
    <row r="139" spans="2:28" ht="22.95" customHeight="1">
      <c r="C139" s="104"/>
      <c r="D139" s="104"/>
      <c r="E139" s="105"/>
      <c r="F139" s="105"/>
      <c r="G139" s="105"/>
      <c r="H139" s="105"/>
      <c r="I139" s="105"/>
      <c r="J139" s="105"/>
      <c r="K139" s="105"/>
      <c r="L139" s="105"/>
    </row>
    <row r="140" spans="2:28" ht="22.95" customHeight="1">
      <c r="C140" s="104"/>
      <c r="D140" s="104"/>
      <c r="E140" s="105"/>
      <c r="F140" s="105"/>
      <c r="G140" s="105"/>
      <c r="H140" s="105"/>
      <c r="I140" s="105"/>
      <c r="J140" s="105"/>
      <c r="K140" s="105"/>
      <c r="L140" s="105"/>
    </row>
    <row r="141" spans="2:28" ht="22.95" customHeight="1">
      <c r="F141" s="105"/>
      <c r="G141" s="105"/>
      <c r="H141" s="105"/>
      <c r="I141" s="105"/>
      <c r="J141" s="105"/>
      <c r="K141" s="105"/>
      <c r="L141" s="105"/>
    </row>
  </sheetData>
  <sheetProtection password="E059" sheet="1" objects="1" scenarios="1" insertRows="0"/>
  <mergeCells count="24">
    <mergeCell ref="H38:I38"/>
    <mergeCell ref="C39:D39"/>
    <mergeCell ref="C74:D74"/>
    <mergeCell ref="F74:G74"/>
    <mergeCell ref="H74:I74"/>
    <mergeCell ref="C38:D38"/>
    <mergeCell ref="F38:G38"/>
    <mergeCell ref="C130:F130"/>
    <mergeCell ref="C32:E32"/>
    <mergeCell ref="C33:E33"/>
    <mergeCell ref="C71:E71"/>
    <mergeCell ref="C86:E86"/>
    <mergeCell ref="C100:E100"/>
    <mergeCell ref="C75:D75"/>
    <mergeCell ref="C89:D89"/>
    <mergeCell ref="L6:L7"/>
    <mergeCell ref="D9:L9"/>
    <mergeCell ref="C12:D12"/>
    <mergeCell ref="C31:L31"/>
    <mergeCell ref="C18:E18"/>
    <mergeCell ref="H15:I15"/>
    <mergeCell ref="C15:D15"/>
    <mergeCell ref="C16:D16"/>
    <mergeCell ref="F15:G15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2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zoomScale="55" zoomScaleNormal="55" zoomScalePageLayoutView="125" workbookViewId="0">
      <selection activeCell="B1" sqref="B1:T91"/>
    </sheetView>
  </sheetViews>
  <sheetFormatPr baseColWidth="10" defaultColWidth="10.54296875" defaultRowHeight="22.95" customHeight="1"/>
  <cols>
    <col min="1" max="2" width="3.1796875" style="97" customWidth="1"/>
    <col min="3" max="3" width="13.54296875" style="97" customWidth="1"/>
    <col min="4" max="4" width="26.54296875" style="97" customWidth="1"/>
    <col min="5" max="6" width="13.453125" style="98" customWidth="1"/>
    <col min="7" max="7" width="20" style="98" customWidth="1"/>
    <col min="8" max="8" width="13.453125" style="98" customWidth="1"/>
    <col min="9" max="9" width="11.1796875" style="98" customWidth="1"/>
    <col min="10" max="10" width="16" style="98" customWidth="1"/>
    <col min="11" max="19" width="15.81640625" style="98" customWidth="1"/>
    <col min="20" max="20" width="3.453125" style="97" customWidth="1"/>
    <col min="21" max="16384" width="10.54296875" style="97"/>
  </cols>
  <sheetData>
    <row r="2" spans="2:35" ht="22.95" customHeight="1">
      <c r="D2" s="209" t="s">
        <v>477</v>
      </c>
    </row>
    <row r="3" spans="2:35" ht="22.95" customHeight="1">
      <c r="D3" s="209" t="s">
        <v>478</v>
      </c>
    </row>
    <row r="4" spans="2:35" ht="22.95" customHeight="1" thickBot="1"/>
    <row r="5" spans="2:35" ht="9" customHeight="1">
      <c r="B5" s="99"/>
      <c r="C5" s="100"/>
      <c r="D5" s="100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2"/>
      <c r="V5" s="377"/>
      <c r="W5" s="378"/>
      <c r="X5" s="378"/>
      <c r="Y5" s="378"/>
      <c r="Z5" s="378"/>
      <c r="AA5" s="378"/>
      <c r="AB5" s="378"/>
      <c r="AC5" s="378"/>
      <c r="AD5" s="378"/>
      <c r="AE5" s="378"/>
      <c r="AF5" s="378"/>
      <c r="AG5" s="378"/>
      <c r="AH5" s="378"/>
      <c r="AI5" s="379"/>
    </row>
    <row r="6" spans="2:35" ht="30" customHeight="1">
      <c r="B6" s="103"/>
      <c r="C6" s="67" t="s">
        <v>97</v>
      </c>
      <c r="D6" s="104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984">
        <f>ejercicio</f>
        <v>2018</v>
      </c>
      <c r="T6" s="106"/>
      <c r="V6" s="380"/>
      <c r="W6" s="381" t="s">
        <v>810</v>
      </c>
      <c r="X6" s="382"/>
      <c r="Y6" s="382"/>
      <c r="Z6" s="382"/>
      <c r="AA6" s="382"/>
      <c r="AB6" s="382"/>
      <c r="AC6" s="382"/>
      <c r="AD6" s="382"/>
      <c r="AE6" s="382"/>
      <c r="AF6" s="382"/>
      <c r="AG6" s="382"/>
      <c r="AH6" s="382"/>
      <c r="AI6" s="383"/>
    </row>
    <row r="7" spans="2:35" ht="30" customHeight="1">
      <c r="B7" s="103"/>
      <c r="C7" s="67" t="s">
        <v>98</v>
      </c>
      <c r="D7" s="104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984"/>
      <c r="T7" s="106"/>
      <c r="V7" s="380"/>
      <c r="W7" s="382"/>
      <c r="X7" s="382"/>
      <c r="Y7" s="382"/>
      <c r="Z7" s="382"/>
      <c r="AA7" s="382"/>
      <c r="AB7" s="382"/>
      <c r="AC7" s="382"/>
      <c r="AD7" s="382"/>
      <c r="AE7" s="382"/>
      <c r="AF7" s="382"/>
      <c r="AG7" s="382"/>
      <c r="AH7" s="382"/>
      <c r="AI7" s="383"/>
    </row>
    <row r="8" spans="2:35" ht="30" customHeight="1">
      <c r="B8" s="103"/>
      <c r="C8" s="107"/>
      <c r="D8" s="104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6"/>
      <c r="V8" s="380"/>
      <c r="W8" s="382"/>
      <c r="X8" s="382"/>
      <c r="Y8" s="382"/>
      <c r="Z8" s="382"/>
      <c r="AA8" s="382"/>
      <c r="AB8" s="382"/>
      <c r="AC8" s="382"/>
      <c r="AD8" s="382"/>
      <c r="AE8" s="382"/>
      <c r="AF8" s="382"/>
      <c r="AG8" s="382"/>
      <c r="AH8" s="382"/>
      <c r="AI8" s="383"/>
    </row>
    <row r="9" spans="2:35" s="184" customFormat="1" ht="30" customHeight="1">
      <c r="B9" s="182"/>
      <c r="C9" s="40" t="s">
        <v>99</v>
      </c>
      <c r="D9" s="1004" t="str">
        <f>Entidad</f>
        <v>INSTITUTO TECNOLÓGICO Y DE ENERGÍAS RENOVALBES S.A. (ITER)</v>
      </c>
      <c r="E9" s="1004"/>
      <c r="F9" s="1004"/>
      <c r="G9" s="1004"/>
      <c r="H9" s="1004"/>
      <c r="I9" s="1004"/>
      <c r="J9" s="1004"/>
      <c r="K9" s="1004"/>
      <c r="L9" s="1004"/>
      <c r="M9" s="1004"/>
      <c r="N9" s="1004"/>
      <c r="O9" s="1004"/>
      <c r="P9" s="1004"/>
      <c r="Q9" s="1004"/>
      <c r="R9" s="1004"/>
      <c r="S9" s="1004"/>
      <c r="T9" s="183"/>
      <c r="V9" s="380"/>
      <c r="W9" s="382"/>
      <c r="X9" s="382"/>
      <c r="Y9" s="382"/>
      <c r="Z9" s="382"/>
      <c r="AA9" s="382"/>
      <c r="AB9" s="382"/>
      <c r="AC9" s="382"/>
      <c r="AD9" s="382"/>
      <c r="AE9" s="382"/>
      <c r="AF9" s="382"/>
      <c r="AG9" s="382"/>
      <c r="AH9" s="382"/>
      <c r="AI9" s="383"/>
    </row>
    <row r="10" spans="2:35" ht="7.2" customHeight="1">
      <c r="B10" s="103"/>
      <c r="C10" s="104"/>
      <c r="D10" s="104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6"/>
      <c r="V10" s="380"/>
      <c r="W10" s="382"/>
      <c r="X10" s="382"/>
      <c r="Y10" s="382"/>
      <c r="Z10" s="382"/>
      <c r="AA10" s="382"/>
      <c r="AB10" s="382"/>
      <c r="AC10" s="382"/>
      <c r="AD10" s="382"/>
      <c r="AE10" s="382"/>
      <c r="AF10" s="382"/>
      <c r="AG10" s="382"/>
      <c r="AH10" s="382"/>
      <c r="AI10" s="383"/>
    </row>
    <row r="11" spans="2:35" s="115" customFormat="1" ht="30" customHeight="1">
      <c r="B11" s="111"/>
      <c r="C11" s="112" t="s">
        <v>842</v>
      </c>
      <c r="D11" s="112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4"/>
      <c r="V11" s="380"/>
      <c r="W11" s="382"/>
      <c r="X11" s="382"/>
      <c r="Y11" s="382"/>
      <c r="Z11" s="382"/>
      <c r="AA11" s="382"/>
      <c r="AB11" s="382"/>
      <c r="AC11" s="382"/>
      <c r="AD11" s="382"/>
      <c r="AE11" s="382"/>
      <c r="AF11" s="382"/>
      <c r="AG11" s="382"/>
      <c r="AH11" s="382"/>
      <c r="AI11" s="383"/>
    </row>
    <row r="12" spans="2:35" s="115" customFormat="1" ht="30" customHeight="1">
      <c r="B12" s="111"/>
      <c r="C12" s="1043"/>
      <c r="D12" s="1043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114"/>
      <c r="V12" s="380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  <c r="AH12" s="382"/>
      <c r="AI12" s="383"/>
    </row>
    <row r="13" spans="2:35" ht="28.95" customHeight="1">
      <c r="B13" s="117"/>
      <c r="C13" s="66" t="s">
        <v>929</v>
      </c>
      <c r="D13" s="150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106"/>
      <c r="V13" s="380"/>
      <c r="W13" s="382"/>
      <c r="X13" s="382"/>
      <c r="Y13" s="382"/>
      <c r="Z13" s="382"/>
      <c r="AA13" s="382"/>
      <c r="AB13" s="382"/>
      <c r="AC13" s="382"/>
      <c r="AD13" s="382"/>
      <c r="AE13" s="382"/>
      <c r="AF13" s="382"/>
      <c r="AG13" s="382"/>
      <c r="AH13" s="382"/>
      <c r="AI13" s="383"/>
    </row>
    <row r="14" spans="2:35" ht="9" customHeight="1">
      <c r="B14" s="117"/>
      <c r="C14" s="150"/>
      <c r="D14" s="150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106"/>
      <c r="V14" s="380"/>
      <c r="W14" s="382"/>
      <c r="X14" s="382"/>
      <c r="Y14" s="382"/>
      <c r="Z14" s="382"/>
      <c r="AA14" s="382"/>
      <c r="AB14" s="382"/>
      <c r="AC14" s="382"/>
      <c r="AD14" s="382"/>
      <c r="AE14" s="382"/>
      <c r="AF14" s="382"/>
      <c r="AG14" s="382"/>
      <c r="AH14" s="382"/>
      <c r="AI14" s="383"/>
    </row>
    <row r="15" spans="2:35" s="235" customFormat="1" ht="42" customHeight="1">
      <c r="B15" s="236"/>
      <c r="C15" s="192" t="s">
        <v>576</v>
      </c>
      <c r="D15" s="237" t="s">
        <v>578</v>
      </c>
      <c r="E15" s="192" t="s">
        <v>796</v>
      </c>
      <c r="F15" s="192" t="s">
        <v>796</v>
      </c>
      <c r="G15" s="192" t="s">
        <v>580</v>
      </c>
      <c r="H15" s="192" t="s">
        <v>585</v>
      </c>
      <c r="I15" s="192" t="s">
        <v>587</v>
      </c>
      <c r="J15" s="192" t="s">
        <v>859</v>
      </c>
      <c r="K15" s="192" t="s">
        <v>582</v>
      </c>
      <c r="L15" s="192" t="s">
        <v>798</v>
      </c>
      <c r="M15" s="348" t="s">
        <v>811</v>
      </c>
      <c r="N15" s="192" t="s">
        <v>800</v>
      </c>
      <c r="O15" s="192" t="s">
        <v>799</v>
      </c>
      <c r="P15" s="797" t="s">
        <v>860</v>
      </c>
      <c r="Q15" s="192" t="s">
        <v>798</v>
      </c>
      <c r="R15" s="96"/>
      <c r="S15" s="96"/>
      <c r="T15" s="238"/>
      <c r="V15" s="380"/>
      <c r="W15" s="382"/>
      <c r="X15" s="382"/>
      <c r="Y15" s="382"/>
      <c r="Z15" s="382"/>
      <c r="AA15" s="382"/>
      <c r="AB15" s="382"/>
      <c r="AC15" s="382"/>
      <c r="AD15" s="382"/>
      <c r="AE15" s="382"/>
      <c r="AF15" s="382"/>
      <c r="AG15" s="382"/>
      <c r="AH15" s="382"/>
      <c r="AI15" s="383"/>
    </row>
    <row r="16" spans="2:35" s="235" customFormat="1" ht="24" customHeight="1">
      <c r="B16" s="236"/>
      <c r="C16" s="241" t="s">
        <v>577</v>
      </c>
      <c r="D16" s="242" t="s">
        <v>577</v>
      </c>
      <c r="E16" s="241" t="s">
        <v>579</v>
      </c>
      <c r="F16" s="241" t="s">
        <v>797</v>
      </c>
      <c r="G16" s="241" t="s">
        <v>581</v>
      </c>
      <c r="H16" s="241" t="s">
        <v>586</v>
      </c>
      <c r="I16" s="241" t="s">
        <v>838</v>
      </c>
      <c r="J16" s="241" t="s">
        <v>923</v>
      </c>
      <c r="K16" s="241" t="s">
        <v>583</v>
      </c>
      <c r="L16" s="241">
        <f>ejercicio-1</f>
        <v>2017</v>
      </c>
      <c r="M16" s="241">
        <f>ejercicio</f>
        <v>2018</v>
      </c>
      <c r="N16" s="241">
        <f>ejercicio</f>
        <v>2018</v>
      </c>
      <c r="O16" s="241">
        <f>ejercicio</f>
        <v>2018</v>
      </c>
      <c r="P16" s="241">
        <f>ejercicio</f>
        <v>2018</v>
      </c>
      <c r="Q16" s="241">
        <f>ejercicio</f>
        <v>2018</v>
      </c>
      <c r="R16" s="96"/>
      <c r="S16" s="96"/>
      <c r="T16" s="238"/>
      <c r="V16" s="380"/>
      <c r="W16" s="382"/>
      <c r="X16" s="382"/>
      <c r="Y16" s="382"/>
      <c r="Z16" s="382"/>
      <c r="AA16" s="382"/>
      <c r="AB16" s="382"/>
      <c r="AC16" s="382"/>
      <c r="AD16" s="382"/>
      <c r="AE16" s="382"/>
      <c r="AF16" s="382"/>
      <c r="AG16" s="382"/>
      <c r="AH16" s="382"/>
      <c r="AI16" s="383"/>
    </row>
    <row r="17" spans="2:35" ht="22.95" customHeight="1">
      <c r="B17" s="117"/>
      <c r="C17" s="480"/>
      <c r="D17" s="475"/>
      <c r="E17" s="538"/>
      <c r="F17" s="538"/>
      <c r="G17" s="480"/>
      <c r="H17" s="538"/>
      <c r="I17" s="538"/>
      <c r="J17" s="538"/>
      <c r="K17" s="550"/>
      <c r="L17" s="550"/>
      <c r="M17" s="806"/>
      <c r="N17" s="806"/>
      <c r="O17" s="806"/>
      <c r="P17" s="684"/>
      <c r="Q17" s="546">
        <f>L17+M17-N17</f>
        <v>0</v>
      </c>
      <c r="R17" s="96"/>
      <c r="S17" s="96"/>
      <c r="T17" s="106"/>
      <c r="V17" s="380"/>
      <c r="W17" s="382"/>
      <c r="X17" s="382"/>
      <c r="Y17" s="382"/>
      <c r="Z17" s="382"/>
      <c r="AA17" s="382"/>
      <c r="AB17" s="382"/>
      <c r="AC17" s="382"/>
      <c r="AD17" s="382"/>
      <c r="AE17" s="382"/>
      <c r="AF17" s="382"/>
      <c r="AG17" s="382"/>
      <c r="AH17" s="382"/>
      <c r="AI17" s="383"/>
    </row>
    <row r="18" spans="2:35" ht="22.95" customHeight="1">
      <c r="B18" s="117"/>
      <c r="C18" s="480"/>
      <c r="D18" s="475"/>
      <c r="E18" s="538"/>
      <c r="F18" s="538"/>
      <c r="G18" s="480"/>
      <c r="H18" s="538"/>
      <c r="I18" s="538"/>
      <c r="J18" s="538"/>
      <c r="K18" s="550"/>
      <c r="L18" s="550"/>
      <c r="M18" s="550"/>
      <c r="N18" s="550"/>
      <c r="O18" s="550"/>
      <c r="P18" s="684"/>
      <c r="Q18" s="547">
        <f t="shared" ref="Q18:Q41" si="0">L18+M18-N18</f>
        <v>0</v>
      </c>
      <c r="R18" s="96"/>
      <c r="S18" s="96"/>
      <c r="T18" s="106"/>
      <c r="V18" s="380"/>
      <c r="W18" s="382"/>
      <c r="X18" s="382"/>
      <c r="Y18" s="382"/>
      <c r="Z18" s="382"/>
      <c r="AA18" s="382"/>
      <c r="AB18" s="382"/>
      <c r="AC18" s="382"/>
      <c r="AD18" s="382"/>
      <c r="AE18" s="382"/>
      <c r="AF18" s="382"/>
      <c r="AG18" s="382"/>
      <c r="AH18" s="382"/>
      <c r="AI18" s="383"/>
    </row>
    <row r="19" spans="2:35" ht="22.95" customHeight="1">
      <c r="B19" s="117"/>
      <c r="C19" s="480"/>
      <c r="D19" s="475"/>
      <c r="E19" s="538"/>
      <c r="F19" s="538"/>
      <c r="G19" s="480"/>
      <c r="H19" s="538"/>
      <c r="I19" s="538"/>
      <c r="J19" s="538"/>
      <c r="K19" s="550"/>
      <c r="L19" s="550"/>
      <c r="M19" s="550"/>
      <c r="N19" s="550"/>
      <c r="O19" s="550"/>
      <c r="P19" s="684"/>
      <c r="Q19" s="547">
        <f t="shared" si="0"/>
        <v>0</v>
      </c>
      <c r="R19" s="96"/>
      <c r="S19" s="96"/>
      <c r="T19" s="106"/>
      <c r="V19" s="380"/>
      <c r="W19" s="382"/>
      <c r="X19" s="382"/>
      <c r="Y19" s="382"/>
      <c r="Z19" s="382"/>
      <c r="AA19" s="382"/>
      <c r="AB19" s="382"/>
      <c r="AC19" s="382"/>
      <c r="AD19" s="382"/>
      <c r="AE19" s="382"/>
      <c r="AF19" s="382"/>
      <c r="AG19" s="382"/>
      <c r="AH19" s="382"/>
      <c r="AI19" s="383"/>
    </row>
    <row r="20" spans="2:35" ht="22.95" customHeight="1">
      <c r="B20" s="117"/>
      <c r="C20" s="480"/>
      <c r="D20" s="475"/>
      <c r="E20" s="538"/>
      <c r="F20" s="538"/>
      <c r="G20" s="480"/>
      <c r="H20" s="538"/>
      <c r="I20" s="538"/>
      <c r="J20" s="538"/>
      <c r="K20" s="550"/>
      <c r="L20" s="550"/>
      <c r="M20" s="550"/>
      <c r="N20" s="550"/>
      <c r="O20" s="550"/>
      <c r="P20" s="684"/>
      <c r="Q20" s="547">
        <f t="shared" si="0"/>
        <v>0</v>
      </c>
      <c r="R20" s="96"/>
      <c r="S20" s="96"/>
      <c r="T20" s="106"/>
      <c r="V20" s="380"/>
      <c r="W20" s="382"/>
      <c r="X20" s="382"/>
      <c r="Y20" s="382"/>
      <c r="Z20" s="382"/>
      <c r="AA20" s="382"/>
      <c r="AB20" s="382"/>
      <c r="AC20" s="382"/>
      <c r="AD20" s="382"/>
      <c r="AE20" s="382"/>
      <c r="AF20" s="382"/>
      <c r="AG20" s="382"/>
      <c r="AH20" s="382"/>
      <c r="AI20" s="383"/>
    </row>
    <row r="21" spans="2:35" ht="22.95" customHeight="1">
      <c r="B21" s="117"/>
      <c r="C21" s="480"/>
      <c r="D21" s="475"/>
      <c r="E21" s="538"/>
      <c r="F21" s="538"/>
      <c r="G21" s="480"/>
      <c r="H21" s="538"/>
      <c r="I21" s="538"/>
      <c r="J21" s="538"/>
      <c r="K21" s="550"/>
      <c r="L21" s="550"/>
      <c r="M21" s="550"/>
      <c r="N21" s="550"/>
      <c r="O21" s="550"/>
      <c r="P21" s="684"/>
      <c r="Q21" s="547">
        <f t="shared" si="0"/>
        <v>0</v>
      </c>
      <c r="R21" s="96"/>
      <c r="S21" s="96"/>
      <c r="T21" s="106"/>
      <c r="V21" s="380"/>
      <c r="W21" s="382"/>
      <c r="X21" s="382"/>
      <c r="Y21" s="382"/>
      <c r="Z21" s="382"/>
      <c r="AA21" s="382"/>
      <c r="AB21" s="382"/>
      <c r="AC21" s="382"/>
      <c r="AD21" s="382"/>
      <c r="AE21" s="382"/>
      <c r="AF21" s="382"/>
      <c r="AG21" s="382"/>
      <c r="AH21" s="382"/>
      <c r="AI21" s="383"/>
    </row>
    <row r="22" spans="2:35" ht="22.95" customHeight="1">
      <c r="B22" s="117"/>
      <c r="C22" s="480"/>
      <c r="D22" s="475"/>
      <c r="E22" s="538"/>
      <c r="F22" s="538"/>
      <c r="G22" s="480"/>
      <c r="H22" s="538"/>
      <c r="I22" s="538"/>
      <c r="J22" s="538"/>
      <c r="K22" s="550"/>
      <c r="L22" s="550"/>
      <c r="M22" s="550"/>
      <c r="N22" s="550"/>
      <c r="O22" s="550"/>
      <c r="P22" s="684"/>
      <c r="Q22" s="547">
        <f t="shared" si="0"/>
        <v>0</v>
      </c>
      <c r="R22" s="96"/>
      <c r="S22" s="96"/>
      <c r="T22" s="106"/>
      <c r="V22" s="380"/>
      <c r="W22" s="382"/>
      <c r="X22" s="382"/>
      <c r="Y22" s="382"/>
      <c r="Z22" s="382"/>
      <c r="AA22" s="382"/>
      <c r="AB22" s="382"/>
      <c r="AC22" s="382"/>
      <c r="AD22" s="382"/>
      <c r="AE22" s="382"/>
      <c r="AF22" s="382"/>
      <c r="AG22" s="382"/>
      <c r="AH22" s="382"/>
      <c r="AI22" s="383"/>
    </row>
    <row r="23" spans="2:35" ht="22.95" customHeight="1">
      <c r="B23" s="117"/>
      <c r="C23" s="480"/>
      <c r="D23" s="475"/>
      <c r="E23" s="538"/>
      <c r="F23" s="538"/>
      <c r="G23" s="480"/>
      <c r="H23" s="538"/>
      <c r="I23" s="538"/>
      <c r="J23" s="538"/>
      <c r="K23" s="550"/>
      <c r="L23" s="550"/>
      <c r="M23" s="550"/>
      <c r="N23" s="550"/>
      <c r="O23" s="550"/>
      <c r="P23" s="684"/>
      <c r="Q23" s="547">
        <f t="shared" si="0"/>
        <v>0</v>
      </c>
      <c r="R23" s="96"/>
      <c r="S23" s="96"/>
      <c r="T23" s="106"/>
      <c r="V23" s="380"/>
      <c r="W23" s="382"/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3"/>
    </row>
    <row r="24" spans="2:35" ht="22.95" customHeight="1">
      <c r="B24" s="117"/>
      <c r="C24" s="480"/>
      <c r="D24" s="475"/>
      <c r="E24" s="538"/>
      <c r="F24" s="538"/>
      <c r="G24" s="480"/>
      <c r="H24" s="538"/>
      <c r="I24" s="538"/>
      <c r="J24" s="538"/>
      <c r="K24" s="550"/>
      <c r="L24" s="550"/>
      <c r="M24" s="550"/>
      <c r="N24" s="550"/>
      <c r="O24" s="550"/>
      <c r="P24" s="684"/>
      <c r="Q24" s="547">
        <f t="shared" si="0"/>
        <v>0</v>
      </c>
      <c r="R24" s="96"/>
      <c r="S24" s="96"/>
      <c r="T24" s="106"/>
      <c r="V24" s="380"/>
      <c r="W24" s="382"/>
      <c r="X24" s="382"/>
      <c r="Y24" s="382"/>
      <c r="Z24" s="382"/>
      <c r="AA24" s="382"/>
      <c r="AB24" s="382"/>
      <c r="AC24" s="382"/>
      <c r="AD24" s="382"/>
      <c r="AE24" s="382"/>
      <c r="AF24" s="382"/>
      <c r="AG24" s="382"/>
      <c r="AH24" s="382"/>
      <c r="AI24" s="383"/>
    </row>
    <row r="25" spans="2:35" ht="22.95" customHeight="1">
      <c r="B25" s="117"/>
      <c r="C25" s="480"/>
      <c r="D25" s="475"/>
      <c r="E25" s="538"/>
      <c r="F25" s="538"/>
      <c r="G25" s="480"/>
      <c r="H25" s="538"/>
      <c r="I25" s="538"/>
      <c r="J25" s="538"/>
      <c r="K25" s="550"/>
      <c r="L25" s="550"/>
      <c r="M25" s="550"/>
      <c r="N25" s="550"/>
      <c r="O25" s="550"/>
      <c r="P25" s="684"/>
      <c r="Q25" s="547">
        <f t="shared" si="0"/>
        <v>0</v>
      </c>
      <c r="R25" s="96"/>
      <c r="S25" s="96"/>
      <c r="T25" s="106"/>
      <c r="V25" s="380"/>
      <c r="W25" s="382"/>
      <c r="X25" s="382"/>
      <c r="Y25" s="382"/>
      <c r="Z25" s="382"/>
      <c r="AA25" s="382"/>
      <c r="AB25" s="382"/>
      <c r="AC25" s="382"/>
      <c r="AD25" s="382"/>
      <c r="AE25" s="382"/>
      <c r="AF25" s="382"/>
      <c r="AG25" s="382"/>
      <c r="AH25" s="382"/>
      <c r="AI25" s="383"/>
    </row>
    <row r="26" spans="2:35" ht="22.95" customHeight="1">
      <c r="B26" s="117"/>
      <c r="C26" s="480"/>
      <c r="D26" s="475"/>
      <c r="E26" s="538"/>
      <c r="F26" s="538"/>
      <c r="G26" s="480"/>
      <c r="H26" s="538"/>
      <c r="I26" s="538"/>
      <c r="J26" s="538"/>
      <c r="K26" s="550"/>
      <c r="L26" s="550"/>
      <c r="M26" s="550"/>
      <c r="N26" s="550"/>
      <c r="O26" s="550"/>
      <c r="P26" s="684"/>
      <c r="Q26" s="547">
        <f t="shared" si="0"/>
        <v>0</v>
      </c>
      <c r="R26" s="96"/>
      <c r="S26" s="96"/>
      <c r="T26" s="106"/>
      <c r="V26" s="380"/>
      <c r="W26" s="382"/>
      <c r="X26" s="382"/>
      <c r="Y26" s="382"/>
      <c r="Z26" s="382"/>
      <c r="AA26" s="382"/>
      <c r="AB26" s="382"/>
      <c r="AC26" s="382"/>
      <c r="AD26" s="382"/>
      <c r="AE26" s="382"/>
      <c r="AF26" s="382"/>
      <c r="AG26" s="382"/>
      <c r="AH26" s="382"/>
      <c r="AI26" s="383"/>
    </row>
    <row r="27" spans="2:35" ht="22.95" customHeight="1">
      <c r="B27" s="117"/>
      <c r="C27" s="480"/>
      <c r="D27" s="475"/>
      <c r="E27" s="538"/>
      <c r="F27" s="538"/>
      <c r="G27" s="480"/>
      <c r="H27" s="538"/>
      <c r="I27" s="538"/>
      <c r="J27" s="538"/>
      <c r="K27" s="550"/>
      <c r="L27" s="550"/>
      <c r="M27" s="550"/>
      <c r="N27" s="550"/>
      <c r="O27" s="550"/>
      <c r="P27" s="684"/>
      <c r="Q27" s="547">
        <f t="shared" si="0"/>
        <v>0</v>
      </c>
      <c r="R27" s="96"/>
      <c r="S27" s="96"/>
      <c r="T27" s="106"/>
      <c r="V27" s="380"/>
      <c r="W27" s="382"/>
      <c r="X27" s="382"/>
      <c r="Y27" s="382"/>
      <c r="Z27" s="382"/>
      <c r="AA27" s="382"/>
      <c r="AB27" s="382"/>
      <c r="AC27" s="382"/>
      <c r="AD27" s="382"/>
      <c r="AE27" s="382"/>
      <c r="AF27" s="382"/>
      <c r="AG27" s="382"/>
      <c r="AH27" s="382"/>
      <c r="AI27" s="383"/>
    </row>
    <row r="28" spans="2:35" ht="22.95" customHeight="1">
      <c r="B28" s="117"/>
      <c r="C28" s="480"/>
      <c r="D28" s="475"/>
      <c r="E28" s="538"/>
      <c r="F28" s="538"/>
      <c r="G28" s="480"/>
      <c r="H28" s="538"/>
      <c r="I28" s="538"/>
      <c r="J28" s="538"/>
      <c r="K28" s="550"/>
      <c r="L28" s="550"/>
      <c r="M28" s="550"/>
      <c r="N28" s="550"/>
      <c r="O28" s="550"/>
      <c r="P28" s="684"/>
      <c r="Q28" s="547">
        <f t="shared" si="0"/>
        <v>0</v>
      </c>
      <c r="R28" s="96"/>
      <c r="S28" s="96"/>
      <c r="T28" s="106"/>
      <c r="V28" s="380"/>
      <c r="W28" s="382"/>
      <c r="X28" s="382"/>
      <c r="Y28" s="382"/>
      <c r="Z28" s="382"/>
      <c r="AA28" s="382"/>
      <c r="AB28" s="382"/>
      <c r="AC28" s="382"/>
      <c r="AD28" s="382"/>
      <c r="AE28" s="382"/>
      <c r="AF28" s="382"/>
      <c r="AG28" s="382"/>
      <c r="AH28" s="382"/>
      <c r="AI28" s="383"/>
    </row>
    <row r="29" spans="2:35" ht="22.95" customHeight="1">
      <c r="B29" s="117"/>
      <c r="C29" s="480"/>
      <c r="D29" s="475"/>
      <c r="E29" s="538"/>
      <c r="F29" s="538"/>
      <c r="G29" s="480"/>
      <c r="H29" s="538"/>
      <c r="I29" s="538"/>
      <c r="J29" s="538"/>
      <c r="K29" s="550"/>
      <c r="L29" s="550"/>
      <c r="M29" s="550"/>
      <c r="N29" s="550"/>
      <c r="O29" s="550"/>
      <c r="P29" s="684"/>
      <c r="Q29" s="547">
        <f t="shared" si="0"/>
        <v>0</v>
      </c>
      <c r="R29" s="96"/>
      <c r="S29" s="96"/>
      <c r="T29" s="106"/>
      <c r="V29" s="380"/>
      <c r="W29" s="382"/>
      <c r="X29" s="382"/>
      <c r="Y29" s="382"/>
      <c r="Z29" s="382"/>
      <c r="AA29" s="382"/>
      <c r="AB29" s="382"/>
      <c r="AC29" s="382"/>
      <c r="AD29" s="382"/>
      <c r="AE29" s="382"/>
      <c r="AF29" s="382"/>
      <c r="AG29" s="382"/>
      <c r="AH29" s="382"/>
      <c r="AI29" s="383"/>
    </row>
    <row r="30" spans="2:35" ht="22.95" customHeight="1">
      <c r="B30" s="117"/>
      <c r="C30" s="480"/>
      <c r="D30" s="475"/>
      <c r="E30" s="538"/>
      <c r="F30" s="538"/>
      <c r="G30" s="480"/>
      <c r="H30" s="538"/>
      <c r="I30" s="538"/>
      <c r="J30" s="538"/>
      <c r="K30" s="550"/>
      <c r="L30" s="550"/>
      <c r="M30" s="550"/>
      <c r="N30" s="550"/>
      <c r="O30" s="550"/>
      <c r="P30" s="684"/>
      <c r="Q30" s="547">
        <f t="shared" si="0"/>
        <v>0</v>
      </c>
      <c r="R30" s="96"/>
      <c r="S30" s="96"/>
      <c r="T30" s="106"/>
      <c r="V30" s="380"/>
      <c r="W30" s="382"/>
      <c r="X30" s="382"/>
      <c r="Y30" s="382"/>
      <c r="Z30" s="382"/>
      <c r="AA30" s="382"/>
      <c r="AB30" s="382"/>
      <c r="AC30" s="382"/>
      <c r="AD30" s="382"/>
      <c r="AE30" s="382"/>
      <c r="AF30" s="382"/>
      <c r="AG30" s="382"/>
      <c r="AH30" s="382"/>
      <c r="AI30" s="383"/>
    </row>
    <row r="31" spans="2:35" ht="22.95" customHeight="1">
      <c r="B31" s="117"/>
      <c r="C31" s="480"/>
      <c r="D31" s="475"/>
      <c r="E31" s="538"/>
      <c r="F31" s="538"/>
      <c r="G31" s="480"/>
      <c r="H31" s="538"/>
      <c r="I31" s="538"/>
      <c r="J31" s="538"/>
      <c r="K31" s="550"/>
      <c r="L31" s="550"/>
      <c r="M31" s="550"/>
      <c r="N31" s="550"/>
      <c r="O31" s="550"/>
      <c r="P31" s="684"/>
      <c r="Q31" s="547">
        <f t="shared" si="0"/>
        <v>0</v>
      </c>
      <c r="R31" s="96"/>
      <c r="S31" s="96"/>
      <c r="T31" s="106"/>
      <c r="V31" s="380"/>
      <c r="W31" s="382"/>
      <c r="X31" s="382"/>
      <c r="Y31" s="382"/>
      <c r="Z31" s="382"/>
      <c r="AA31" s="382"/>
      <c r="AB31" s="382"/>
      <c r="AC31" s="382"/>
      <c r="AD31" s="382"/>
      <c r="AE31" s="382"/>
      <c r="AF31" s="382"/>
      <c r="AG31" s="382"/>
      <c r="AH31" s="382"/>
      <c r="AI31" s="383"/>
    </row>
    <row r="32" spans="2:35" ht="22.95" customHeight="1">
      <c r="B32" s="117"/>
      <c r="C32" s="480"/>
      <c r="D32" s="475"/>
      <c r="E32" s="538"/>
      <c r="F32" s="538"/>
      <c r="G32" s="480"/>
      <c r="H32" s="538"/>
      <c r="I32" s="538"/>
      <c r="J32" s="538"/>
      <c r="K32" s="550"/>
      <c r="L32" s="550"/>
      <c r="M32" s="550"/>
      <c r="N32" s="550"/>
      <c r="O32" s="550"/>
      <c r="P32" s="684"/>
      <c r="Q32" s="547">
        <f t="shared" si="0"/>
        <v>0</v>
      </c>
      <c r="R32" s="96"/>
      <c r="S32" s="96"/>
      <c r="T32" s="106"/>
      <c r="V32" s="380"/>
      <c r="W32" s="382"/>
      <c r="X32" s="382"/>
      <c r="Y32" s="382"/>
      <c r="Z32" s="382"/>
      <c r="AA32" s="382"/>
      <c r="AB32" s="382"/>
      <c r="AC32" s="382"/>
      <c r="AD32" s="382"/>
      <c r="AE32" s="382"/>
      <c r="AF32" s="382"/>
      <c r="AG32" s="382"/>
      <c r="AH32" s="382"/>
      <c r="AI32" s="383"/>
    </row>
    <row r="33" spans="2:35" ht="22.95" customHeight="1">
      <c r="B33" s="117"/>
      <c r="C33" s="480"/>
      <c r="D33" s="475"/>
      <c r="E33" s="538"/>
      <c r="F33" s="538"/>
      <c r="G33" s="480"/>
      <c r="H33" s="538"/>
      <c r="I33" s="538"/>
      <c r="J33" s="538"/>
      <c r="K33" s="550"/>
      <c r="L33" s="550"/>
      <c r="M33" s="550"/>
      <c r="N33" s="550"/>
      <c r="O33" s="550"/>
      <c r="P33" s="684"/>
      <c r="Q33" s="547">
        <f t="shared" si="0"/>
        <v>0</v>
      </c>
      <c r="R33" s="96"/>
      <c r="S33" s="96"/>
      <c r="T33" s="106"/>
      <c r="V33" s="380"/>
      <c r="W33" s="382"/>
      <c r="X33" s="382"/>
      <c r="Y33" s="382"/>
      <c r="Z33" s="382"/>
      <c r="AA33" s="382"/>
      <c r="AB33" s="382"/>
      <c r="AC33" s="382"/>
      <c r="AD33" s="382"/>
      <c r="AE33" s="382"/>
      <c r="AF33" s="382"/>
      <c r="AG33" s="382"/>
      <c r="AH33" s="382"/>
      <c r="AI33" s="383"/>
    </row>
    <row r="34" spans="2:35" ht="22.95" customHeight="1">
      <c r="B34" s="117"/>
      <c r="C34" s="480"/>
      <c r="D34" s="475"/>
      <c r="E34" s="538"/>
      <c r="F34" s="538"/>
      <c r="G34" s="480"/>
      <c r="H34" s="538"/>
      <c r="I34" s="538"/>
      <c r="J34" s="538"/>
      <c r="K34" s="550"/>
      <c r="L34" s="550"/>
      <c r="M34" s="550"/>
      <c r="N34" s="550"/>
      <c r="O34" s="550"/>
      <c r="P34" s="684"/>
      <c r="Q34" s="547">
        <f t="shared" si="0"/>
        <v>0</v>
      </c>
      <c r="R34" s="96"/>
      <c r="S34" s="96"/>
      <c r="T34" s="106"/>
      <c r="V34" s="380"/>
      <c r="W34" s="382"/>
      <c r="X34" s="382"/>
      <c r="Y34" s="382"/>
      <c r="Z34" s="382"/>
      <c r="AA34" s="382"/>
      <c r="AB34" s="382"/>
      <c r="AC34" s="382"/>
      <c r="AD34" s="382"/>
      <c r="AE34" s="382"/>
      <c r="AF34" s="382"/>
      <c r="AG34" s="382"/>
      <c r="AH34" s="382"/>
      <c r="AI34" s="383"/>
    </row>
    <row r="35" spans="2:35" ht="22.95" customHeight="1">
      <c r="B35" s="117"/>
      <c r="C35" s="480"/>
      <c r="D35" s="475"/>
      <c r="E35" s="538"/>
      <c r="F35" s="538"/>
      <c r="G35" s="480"/>
      <c r="H35" s="538"/>
      <c r="I35" s="538"/>
      <c r="J35" s="538"/>
      <c r="K35" s="550"/>
      <c r="L35" s="550"/>
      <c r="M35" s="550"/>
      <c r="N35" s="550"/>
      <c r="O35" s="550"/>
      <c r="P35" s="684"/>
      <c r="Q35" s="547">
        <f t="shared" si="0"/>
        <v>0</v>
      </c>
      <c r="R35" s="96"/>
      <c r="S35" s="96"/>
      <c r="T35" s="106"/>
      <c r="V35" s="380"/>
      <c r="W35" s="382"/>
      <c r="X35" s="382"/>
      <c r="Y35" s="382"/>
      <c r="Z35" s="382"/>
      <c r="AA35" s="382"/>
      <c r="AB35" s="382"/>
      <c r="AC35" s="382"/>
      <c r="AD35" s="382"/>
      <c r="AE35" s="382"/>
      <c r="AF35" s="382"/>
      <c r="AG35" s="382"/>
      <c r="AH35" s="382"/>
      <c r="AI35" s="383"/>
    </row>
    <row r="36" spans="2:35" ht="22.95" customHeight="1">
      <c r="B36" s="117"/>
      <c r="C36" s="480"/>
      <c r="D36" s="475"/>
      <c r="E36" s="538"/>
      <c r="F36" s="538"/>
      <c r="G36" s="480"/>
      <c r="H36" s="538"/>
      <c r="I36" s="538"/>
      <c r="J36" s="538"/>
      <c r="K36" s="550"/>
      <c r="L36" s="550"/>
      <c r="M36" s="550"/>
      <c r="N36" s="550"/>
      <c r="O36" s="550"/>
      <c r="P36" s="684"/>
      <c r="Q36" s="547">
        <f t="shared" si="0"/>
        <v>0</v>
      </c>
      <c r="R36" s="96"/>
      <c r="S36" s="96"/>
      <c r="T36" s="106"/>
      <c r="V36" s="380"/>
      <c r="W36" s="382"/>
      <c r="X36" s="382"/>
      <c r="Y36" s="382"/>
      <c r="Z36" s="382"/>
      <c r="AA36" s="382"/>
      <c r="AB36" s="382"/>
      <c r="AC36" s="382"/>
      <c r="AD36" s="382"/>
      <c r="AE36" s="382"/>
      <c r="AF36" s="382"/>
      <c r="AG36" s="382"/>
      <c r="AH36" s="382"/>
      <c r="AI36" s="383"/>
    </row>
    <row r="37" spans="2:35" ht="22.95" customHeight="1">
      <c r="B37" s="117"/>
      <c r="C37" s="480"/>
      <c r="D37" s="475"/>
      <c r="E37" s="538"/>
      <c r="F37" s="538"/>
      <c r="G37" s="480"/>
      <c r="H37" s="538"/>
      <c r="I37" s="538"/>
      <c r="J37" s="538"/>
      <c r="K37" s="550"/>
      <c r="L37" s="550"/>
      <c r="M37" s="550"/>
      <c r="N37" s="550"/>
      <c r="O37" s="550"/>
      <c r="P37" s="684"/>
      <c r="Q37" s="547">
        <f t="shared" si="0"/>
        <v>0</v>
      </c>
      <c r="R37" s="96"/>
      <c r="S37" s="96"/>
      <c r="T37" s="106"/>
      <c r="V37" s="380"/>
      <c r="W37" s="382"/>
      <c r="X37" s="382"/>
      <c r="Y37" s="382"/>
      <c r="Z37" s="382"/>
      <c r="AA37" s="382"/>
      <c r="AB37" s="382"/>
      <c r="AC37" s="382"/>
      <c r="AD37" s="382"/>
      <c r="AE37" s="382"/>
      <c r="AF37" s="382"/>
      <c r="AG37" s="382"/>
      <c r="AH37" s="382"/>
      <c r="AI37" s="383"/>
    </row>
    <row r="38" spans="2:35" ht="22.95" customHeight="1">
      <c r="B38" s="117"/>
      <c r="C38" s="480"/>
      <c r="D38" s="475"/>
      <c r="E38" s="538"/>
      <c r="F38" s="538"/>
      <c r="G38" s="480"/>
      <c r="H38" s="538"/>
      <c r="I38" s="538"/>
      <c r="J38" s="538"/>
      <c r="K38" s="550"/>
      <c r="L38" s="550"/>
      <c r="M38" s="550"/>
      <c r="N38" s="550"/>
      <c r="O38" s="550"/>
      <c r="P38" s="684"/>
      <c r="Q38" s="547">
        <f t="shared" si="0"/>
        <v>0</v>
      </c>
      <c r="R38" s="96"/>
      <c r="S38" s="96"/>
      <c r="T38" s="106"/>
      <c r="V38" s="380"/>
      <c r="W38" s="382"/>
      <c r="X38" s="382"/>
      <c r="Y38" s="382"/>
      <c r="Z38" s="382"/>
      <c r="AA38" s="382"/>
      <c r="AB38" s="382"/>
      <c r="AC38" s="382"/>
      <c r="AD38" s="382"/>
      <c r="AE38" s="382"/>
      <c r="AF38" s="382"/>
      <c r="AG38" s="382"/>
      <c r="AH38" s="382"/>
      <c r="AI38" s="383"/>
    </row>
    <row r="39" spans="2:35" ht="22.95" customHeight="1">
      <c r="B39" s="117"/>
      <c r="C39" s="480"/>
      <c r="D39" s="475"/>
      <c r="E39" s="538"/>
      <c r="F39" s="538"/>
      <c r="G39" s="480"/>
      <c r="H39" s="538"/>
      <c r="I39" s="538"/>
      <c r="J39" s="538"/>
      <c r="K39" s="550"/>
      <c r="L39" s="550"/>
      <c r="M39" s="550"/>
      <c r="N39" s="550"/>
      <c r="O39" s="550"/>
      <c r="P39" s="684"/>
      <c r="Q39" s="547">
        <f t="shared" si="0"/>
        <v>0</v>
      </c>
      <c r="R39" s="96"/>
      <c r="S39" s="96"/>
      <c r="T39" s="106"/>
      <c r="V39" s="380"/>
      <c r="W39" s="382"/>
      <c r="X39" s="382"/>
      <c r="Y39" s="382"/>
      <c r="Z39" s="382"/>
      <c r="AA39" s="382"/>
      <c r="AB39" s="382"/>
      <c r="AC39" s="382"/>
      <c r="AD39" s="382"/>
      <c r="AE39" s="382"/>
      <c r="AF39" s="382"/>
      <c r="AG39" s="382"/>
      <c r="AH39" s="382"/>
      <c r="AI39" s="383"/>
    </row>
    <row r="40" spans="2:35" ht="22.95" customHeight="1">
      <c r="B40" s="117"/>
      <c r="C40" s="480"/>
      <c r="D40" s="476"/>
      <c r="E40" s="539"/>
      <c r="F40" s="539"/>
      <c r="G40" s="481"/>
      <c r="H40" s="539"/>
      <c r="I40" s="539"/>
      <c r="J40" s="539"/>
      <c r="K40" s="551"/>
      <c r="L40" s="551"/>
      <c r="M40" s="551"/>
      <c r="N40" s="551"/>
      <c r="O40" s="551"/>
      <c r="P40" s="685"/>
      <c r="Q40" s="548">
        <f t="shared" si="0"/>
        <v>0</v>
      </c>
      <c r="R40" s="96"/>
      <c r="S40" s="96"/>
      <c r="T40" s="106"/>
      <c r="V40" s="380"/>
      <c r="W40" s="382"/>
      <c r="X40" s="382"/>
      <c r="Y40" s="382"/>
      <c r="Z40" s="382"/>
      <c r="AA40" s="382"/>
      <c r="AB40" s="382"/>
      <c r="AC40" s="382"/>
      <c r="AD40" s="382"/>
      <c r="AE40" s="382"/>
      <c r="AF40" s="382"/>
      <c r="AG40" s="382"/>
      <c r="AH40" s="382"/>
      <c r="AI40" s="383"/>
    </row>
    <row r="41" spans="2:35" ht="22.95" customHeight="1">
      <c r="B41" s="117"/>
      <c r="C41" s="482"/>
      <c r="D41" s="477"/>
      <c r="E41" s="540"/>
      <c r="F41" s="540"/>
      <c r="G41" s="482"/>
      <c r="H41" s="540"/>
      <c r="I41" s="540"/>
      <c r="J41" s="540"/>
      <c r="K41" s="552"/>
      <c r="L41" s="552"/>
      <c r="M41" s="552"/>
      <c r="N41" s="552"/>
      <c r="O41" s="552"/>
      <c r="P41" s="686"/>
      <c r="Q41" s="549">
        <f t="shared" si="0"/>
        <v>0</v>
      </c>
      <c r="R41" s="96"/>
      <c r="S41" s="96"/>
      <c r="T41" s="106"/>
      <c r="V41" s="380"/>
      <c r="W41" s="382"/>
      <c r="X41" s="382"/>
      <c r="Y41" s="382"/>
      <c r="Z41" s="382"/>
      <c r="AA41" s="382"/>
      <c r="AB41" s="382"/>
      <c r="AC41" s="382"/>
      <c r="AD41" s="382"/>
      <c r="AE41" s="382"/>
      <c r="AF41" s="382"/>
      <c r="AG41" s="382"/>
      <c r="AH41" s="382"/>
      <c r="AI41" s="383"/>
    </row>
    <row r="42" spans="2:35" ht="22.95" customHeight="1" thickBot="1">
      <c r="B42" s="117"/>
      <c r="C42" s="209"/>
      <c r="D42" s="209"/>
      <c r="E42" s="210"/>
      <c r="F42" s="210"/>
      <c r="G42" s="210"/>
      <c r="H42" s="1029" t="s">
        <v>584</v>
      </c>
      <c r="I42" s="1068"/>
      <c r="J42" s="1030"/>
      <c r="K42" s="231">
        <f t="shared" ref="K42:Q42" si="1">SUM(K17:K41)</f>
        <v>0</v>
      </c>
      <c r="L42" s="222">
        <f t="shared" si="1"/>
        <v>0</v>
      </c>
      <c r="M42" s="230">
        <f t="shared" si="1"/>
        <v>0</v>
      </c>
      <c r="N42" s="230">
        <f t="shared" si="1"/>
        <v>0</v>
      </c>
      <c r="O42" s="231">
        <f t="shared" si="1"/>
        <v>0</v>
      </c>
      <c r="P42" s="231">
        <f t="shared" si="1"/>
        <v>0</v>
      </c>
      <c r="Q42" s="376">
        <f t="shared" si="1"/>
        <v>0</v>
      </c>
      <c r="R42" s="96"/>
      <c r="S42" s="96"/>
      <c r="T42" s="106"/>
      <c r="V42" s="380"/>
      <c r="W42" s="382"/>
      <c r="X42" s="382"/>
      <c r="Y42" s="382"/>
      <c r="Z42" s="382"/>
      <c r="AA42" s="382"/>
      <c r="AB42" s="382"/>
      <c r="AC42" s="382"/>
      <c r="AD42" s="382"/>
      <c r="AE42" s="382"/>
      <c r="AF42" s="382"/>
      <c r="AG42" s="382"/>
      <c r="AH42" s="382"/>
      <c r="AI42" s="383"/>
    </row>
    <row r="43" spans="2:35" ht="22.95" customHeight="1">
      <c r="B43" s="117"/>
      <c r="C43" s="209"/>
      <c r="D43" s="209"/>
      <c r="E43" s="210"/>
      <c r="F43" s="210"/>
      <c r="G43" s="210"/>
      <c r="H43" s="788"/>
      <c r="I43" s="788"/>
      <c r="J43" s="788"/>
      <c r="K43" s="210"/>
      <c r="L43" s="210"/>
      <c r="M43" s="210"/>
      <c r="N43" s="210"/>
      <c r="O43" s="210"/>
      <c r="P43" s="210"/>
      <c r="Q43" s="210"/>
      <c r="R43" s="210"/>
      <c r="S43" s="96"/>
      <c r="T43" s="106"/>
      <c r="V43" s="380"/>
      <c r="W43" s="382"/>
      <c r="X43" s="382"/>
      <c r="Y43" s="382"/>
      <c r="Z43" s="382"/>
      <c r="AA43" s="382"/>
      <c r="AB43" s="382"/>
      <c r="AC43" s="382"/>
      <c r="AD43" s="382"/>
      <c r="AE43" s="382"/>
      <c r="AF43" s="382"/>
      <c r="AG43" s="382"/>
      <c r="AH43" s="382"/>
      <c r="AI43" s="383"/>
    </row>
    <row r="44" spans="2:35" ht="22.95" customHeight="1">
      <c r="B44" s="117"/>
      <c r="C44" s="209"/>
      <c r="D44" s="209"/>
      <c r="E44" s="210"/>
      <c r="F44" s="210"/>
      <c r="G44" s="210"/>
      <c r="H44" s="788"/>
      <c r="I44" s="788"/>
      <c r="J44" s="788"/>
      <c r="K44" s="210"/>
      <c r="L44" s="210"/>
      <c r="M44" s="210"/>
      <c r="N44" s="210"/>
      <c r="O44" s="210"/>
      <c r="P44" s="210"/>
      <c r="Q44" s="210"/>
      <c r="R44" s="210"/>
      <c r="S44" s="210"/>
      <c r="T44" s="106"/>
      <c r="V44" s="380"/>
      <c r="W44" s="382"/>
      <c r="X44" s="382"/>
      <c r="Y44" s="382"/>
      <c r="Z44" s="382"/>
      <c r="AA44" s="382"/>
      <c r="AB44" s="382"/>
      <c r="AC44" s="382"/>
      <c r="AD44" s="382"/>
      <c r="AE44" s="382"/>
      <c r="AF44" s="382"/>
      <c r="AG44" s="382"/>
      <c r="AH44" s="382"/>
      <c r="AI44" s="383"/>
    </row>
    <row r="45" spans="2:35" ht="22.95" customHeight="1">
      <c r="B45" s="117"/>
      <c r="C45" s="66" t="s">
        <v>928</v>
      </c>
      <c r="D45" s="150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106"/>
      <c r="V45" s="380"/>
      <c r="W45" s="382"/>
      <c r="X45" s="382"/>
      <c r="Y45" s="382"/>
      <c r="Z45" s="382"/>
      <c r="AA45" s="382"/>
      <c r="AB45" s="382"/>
      <c r="AC45" s="382"/>
      <c r="AD45" s="382"/>
      <c r="AE45" s="382"/>
      <c r="AF45" s="382"/>
      <c r="AG45" s="382"/>
      <c r="AH45" s="382"/>
      <c r="AI45" s="383"/>
    </row>
    <row r="46" spans="2:35" ht="22.95" customHeight="1">
      <c r="B46" s="117"/>
      <c r="C46" s="150"/>
      <c r="D46" s="150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106"/>
      <c r="V46" s="380"/>
      <c r="W46" s="382"/>
      <c r="X46" s="382"/>
      <c r="Y46" s="382"/>
      <c r="Z46" s="382"/>
      <c r="AA46" s="382"/>
      <c r="AB46" s="382"/>
      <c r="AC46" s="382"/>
      <c r="AD46" s="382"/>
      <c r="AE46" s="382"/>
      <c r="AF46" s="382"/>
      <c r="AG46" s="382"/>
      <c r="AH46" s="382"/>
      <c r="AI46" s="383"/>
    </row>
    <row r="47" spans="2:35" ht="39" customHeight="1">
      <c r="B47" s="117"/>
      <c r="C47" s="192" t="s">
        <v>576</v>
      </c>
      <c r="D47" s="237" t="s">
        <v>578</v>
      </c>
      <c r="E47" s="192" t="s">
        <v>796</v>
      </c>
      <c r="F47" s="192" t="s">
        <v>796</v>
      </c>
      <c r="G47" s="192" t="s">
        <v>580</v>
      </c>
      <c r="H47" s="192" t="s">
        <v>585</v>
      </c>
      <c r="I47" s="192" t="s">
        <v>587</v>
      </c>
      <c r="J47" s="192" t="s">
        <v>859</v>
      </c>
      <c r="K47" s="192" t="s">
        <v>582</v>
      </c>
      <c r="L47" s="192" t="s">
        <v>798</v>
      </c>
      <c r="M47" s="348" t="s">
        <v>811</v>
      </c>
      <c r="N47" s="192" t="s">
        <v>800</v>
      </c>
      <c r="O47" s="192" t="s">
        <v>799</v>
      </c>
      <c r="P47" s="797" t="s">
        <v>860</v>
      </c>
      <c r="Q47" s="192" t="s">
        <v>798</v>
      </c>
      <c r="R47" s="1054" t="s">
        <v>927</v>
      </c>
      <c r="S47" s="1055"/>
      <c r="T47" s="106"/>
      <c r="V47" s="380"/>
      <c r="W47" s="382"/>
      <c r="X47" s="382"/>
      <c r="Y47" s="382"/>
      <c r="Z47" s="382"/>
      <c r="AA47" s="382"/>
      <c r="AB47" s="382"/>
      <c r="AC47" s="382"/>
      <c r="AD47" s="382"/>
      <c r="AE47" s="382"/>
      <c r="AF47" s="382"/>
      <c r="AG47" s="382"/>
      <c r="AH47" s="382"/>
      <c r="AI47" s="383"/>
    </row>
    <row r="48" spans="2:35" ht="22.95" customHeight="1">
      <c r="B48" s="117"/>
      <c r="C48" s="241" t="s">
        <v>577</v>
      </c>
      <c r="D48" s="242" t="s">
        <v>577</v>
      </c>
      <c r="E48" s="241" t="s">
        <v>579</v>
      </c>
      <c r="F48" s="241" t="s">
        <v>797</v>
      </c>
      <c r="G48" s="241" t="s">
        <v>581</v>
      </c>
      <c r="H48" s="241" t="s">
        <v>586</v>
      </c>
      <c r="I48" s="241" t="s">
        <v>838</v>
      </c>
      <c r="J48" s="241" t="s">
        <v>923</v>
      </c>
      <c r="K48" s="241" t="s">
        <v>583</v>
      </c>
      <c r="L48" s="241">
        <f>ejercicio-1</f>
        <v>2017</v>
      </c>
      <c r="M48" s="241">
        <f>ejercicio</f>
        <v>2018</v>
      </c>
      <c r="N48" s="241">
        <f>ejercicio</f>
        <v>2018</v>
      </c>
      <c r="O48" s="241">
        <f>ejercicio</f>
        <v>2018</v>
      </c>
      <c r="P48" s="241">
        <f>ejercicio</f>
        <v>2018</v>
      </c>
      <c r="Q48" s="241">
        <f>ejercicio</f>
        <v>2018</v>
      </c>
      <c r="R48" s="374" t="s">
        <v>801</v>
      </c>
      <c r="S48" s="373" t="s">
        <v>802</v>
      </c>
      <c r="T48" s="106"/>
      <c r="V48" s="380"/>
      <c r="W48" s="382"/>
      <c r="X48" s="382"/>
      <c r="Y48" s="382"/>
      <c r="Z48" s="382"/>
      <c r="AA48" s="382"/>
      <c r="AB48" s="382"/>
      <c r="AC48" s="382"/>
      <c r="AD48" s="382"/>
      <c r="AE48" s="382"/>
      <c r="AF48" s="382"/>
      <c r="AG48" s="382"/>
      <c r="AH48" s="382"/>
      <c r="AI48" s="383"/>
    </row>
    <row r="49" spans="2:35" ht="22.95" customHeight="1">
      <c r="B49" s="117"/>
      <c r="C49" s="480"/>
      <c r="D49" s="475" t="s">
        <v>991</v>
      </c>
      <c r="E49" s="538"/>
      <c r="F49" s="538"/>
      <c r="G49" s="480" t="s">
        <v>989</v>
      </c>
      <c r="H49" s="962" t="s">
        <v>1019</v>
      </c>
      <c r="I49" s="538"/>
      <c r="J49" s="798"/>
      <c r="K49" s="550">
        <v>18000000</v>
      </c>
      <c r="L49" s="550">
        <f>8739981.2+1283565.67</f>
        <v>10023546.869999999</v>
      </c>
      <c r="M49" s="806"/>
      <c r="N49" s="806">
        <f>1283565.67</f>
        <v>1283565.67</v>
      </c>
      <c r="O49" s="806">
        <v>122503.8</v>
      </c>
      <c r="P49" s="684"/>
      <c r="Q49" s="546">
        <f>L49+M49-N49</f>
        <v>8739981.1999999993</v>
      </c>
      <c r="R49" s="866">
        <v>1297523.3999999999</v>
      </c>
      <c r="S49" s="867">
        <f>+Q49-R49</f>
        <v>7442457.7999999989</v>
      </c>
      <c r="T49" s="106"/>
      <c r="V49" s="380"/>
      <c r="W49" s="382"/>
      <c r="X49" s="382"/>
      <c r="Y49" s="382"/>
      <c r="Z49" s="382"/>
      <c r="AA49" s="382"/>
      <c r="AB49" s="382"/>
      <c r="AC49" s="382"/>
      <c r="AD49" s="382"/>
      <c r="AE49" s="382"/>
      <c r="AF49" s="382"/>
      <c r="AG49" s="382"/>
      <c r="AH49" s="382"/>
      <c r="AI49" s="383"/>
    </row>
    <row r="50" spans="2:35" ht="22.95" customHeight="1">
      <c r="B50" s="117"/>
      <c r="C50" s="480"/>
      <c r="D50" s="475" t="s">
        <v>991</v>
      </c>
      <c r="E50" s="538"/>
      <c r="F50" s="538"/>
      <c r="G50" s="480" t="s">
        <v>990</v>
      </c>
      <c r="H50" s="538">
        <v>170</v>
      </c>
      <c r="I50" s="538"/>
      <c r="J50" s="538"/>
      <c r="K50" s="550">
        <v>1300000</v>
      </c>
      <c r="L50" s="550">
        <f>719644.96+111806.38</f>
        <v>831451.34</v>
      </c>
      <c r="M50" s="550"/>
      <c r="N50" s="550">
        <f>111806.38+0.01</f>
        <v>111806.39</v>
      </c>
      <c r="O50" s="550">
        <v>16072.78</v>
      </c>
      <c r="P50" s="684"/>
      <c r="Q50" s="547">
        <f t="shared" ref="Q50:Q73" si="2">L50+M50-N50</f>
        <v>719644.95</v>
      </c>
      <c r="R50" s="868">
        <v>114053.69</v>
      </c>
      <c r="S50" s="869">
        <f>+Q50-R50</f>
        <v>605591.26</v>
      </c>
      <c r="T50" s="106"/>
      <c r="V50" s="380"/>
      <c r="W50" s="382"/>
      <c r="X50" s="382"/>
      <c r="Y50" s="382"/>
      <c r="Z50" s="382"/>
      <c r="AA50" s="382"/>
      <c r="AB50" s="382"/>
      <c r="AC50" s="382"/>
      <c r="AD50" s="382"/>
      <c r="AE50" s="382"/>
      <c r="AF50" s="382"/>
      <c r="AG50" s="382"/>
      <c r="AH50" s="382"/>
      <c r="AI50" s="383"/>
    </row>
    <row r="51" spans="2:35" ht="22.95" customHeight="1">
      <c r="B51" s="117"/>
      <c r="C51" s="480"/>
      <c r="D51" s="475" t="s">
        <v>991</v>
      </c>
      <c r="E51" s="538" t="s">
        <v>785</v>
      </c>
      <c r="F51" s="538"/>
      <c r="G51" s="480" t="s">
        <v>455</v>
      </c>
      <c r="H51" s="538">
        <v>170</v>
      </c>
      <c r="I51" s="538"/>
      <c r="J51" s="538"/>
      <c r="K51" s="550">
        <f>31463793.27+3300173.14</f>
        <v>34763966.409999996</v>
      </c>
      <c r="L51" s="550">
        <v>0</v>
      </c>
      <c r="M51" s="550">
        <f>31463793.27+3300173.14</f>
        <v>34763966.409999996</v>
      </c>
      <c r="N51" s="550"/>
      <c r="O51" s="550">
        <v>347639.66</v>
      </c>
      <c r="P51" s="684"/>
      <c r="Q51" s="547">
        <f t="shared" si="2"/>
        <v>34763966.409999996</v>
      </c>
      <c r="R51" s="868">
        <v>3300173.14</v>
      </c>
      <c r="S51" s="869">
        <f>+Q51-R51</f>
        <v>31463793.269999996</v>
      </c>
      <c r="T51" s="106"/>
      <c r="V51" s="380"/>
      <c r="W51" s="382"/>
      <c r="X51" s="382"/>
      <c r="Y51" s="382"/>
      <c r="Z51" s="382"/>
      <c r="AA51" s="382"/>
      <c r="AB51" s="382"/>
      <c r="AC51" s="382"/>
      <c r="AD51" s="382"/>
      <c r="AE51" s="382"/>
      <c r="AF51" s="382"/>
      <c r="AG51" s="382"/>
      <c r="AH51" s="382"/>
      <c r="AI51" s="383"/>
    </row>
    <row r="52" spans="2:35" ht="22.95" customHeight="1">
      <c r="B52" s="117"/>
      <c r="C52" s="480"/>
      <c r="D52" s="475"/>
      <c r="E52" s="538"/>
      <c r="F52" s="538"/>
      <c r="G52" s="480"/>
      <c r="H52" s="538"/>
      <c r="I52" s="538"/>
      <c r="J52" s="538"/>
      <c r="K52" s="550"/>
      <c r="L52" s="550"/>
      <c r="M52" s="550"/>
      <c r="N52" s="550"/>
      <c r="O52" s="550"/>
      <c r="P52" s="684"/>
      <c r="Q52" s="547">
        <f t="shared" si="2"/>
        <v>0</v>
      </c>
      <c r="R52" s="868"/>
      <c r="S52" s="869"/>
      <c r="T52" s="106"/>
      <c r="V52" s="380"/>
      <c r="W52" s="382"/>
      <c r="X52" s="382"/>
      <c r="Y52" s="382"/>
      <c r="Z52" s="382"/>
      <c r="AA52" s="382"/>
      <c r="AB52" s="382"/>
      <c r="AC52" s="382"/>
      <c r="AD52" s="382"/>
      <c r="AE52" s="382"/>
      <c r="AF52" s="382"/>
      <c r="AG52" s="382"/>
      <c r="AH52" s="382"/>
      <c r="AI52" s="383"/>
    </row>
    <row r="53" spans="2:35" ht="22.95" customHeight="1">
      <c r="B53" s="117"/>
      <c r="C53" s="480"/>
      <c r="D53" s="475"/>
      <c r="E53" s="538"/>
      <c r="F53" s="538"/>
      <c r="G53" s="480"/>
      <c r="H53" s="538"/>
      <c r="I53" s="538"/>
      <c r="J53" s="538"/>
      <c r="K53" s="550"/>
      <c r="L53" s="550"/>
      <c r="M53" s="550"/>
      <c r="N53" s="550"/>
      <c r="O53" s="550"/>
      <c r="P53" s="684"/>
      <c r="Q53" s="547">
        <f t="shared" si="2"/>
        <v>0</v>
      </c>
      <c r="R53" s="868"/>
      <c r="S53" s="869"/>
      <c r="T53" s="106"/>
      <c r="V53" s="380"/>
      <c r="W53" s="382"/>
      <c r="X53" s="382"/>
      <c r="Y53" s="382"/>
      <c r="Z53" s="382"/>
      <c r="AA53" s="382"/>
      <c r="AB53" s="382"/>
      <c r="AC53" s="382"/>
      <c r="AD53" s="382"/>
      <c r="AE53" s="382"/>
      <c r="AF53" s="382"/>
      <c r="AG53" s="382"/>
      <c r="AH53" s="382"/>
      <c r="AI53" s="383"/>
    </row>
    <row r="54" spans="2:35" ht="22.95" customHeight="1">
      <c r="B54" s="117"/>
      <c r="C54" s="480"/>
      <c r="D54" s="475"/>
      <c r="E54" s="538"/>
      <c r="F54" s="538"/>
      <c r="G54" s="480"/>
      <c r="H54" s="538"/>
      <c r="I54" s="538"/>
      <c r="J54" s="538"/>
      <c r="K54" s="550"/>
      <c r="L54" s="550"/>
      <c r="M54" s="550"/>
      <c r="N54" s="550"/>
      <c r="O54" s="550"/>
      <c r="P54" s="684"/>
      <c r="Q54" s="547">
        <f t="shared" si="2"/>
        <v>0</v>
      </c>
      <c r="R54" s="868"/>
      <c r="S54" s="869"/>
      <c r="T54" s="106"/>
      <c r="V54" s="380"/>
      <c r="W54" s="382"/>
      <c r="X54" s="382"/>
      <c r="Y54" s="382"/>
      <c r="Z54" s="382"/>
      <c r="AA54" s="382"/>
      <c r="AB54" s="382"/>
      <c r="AC54" s="382"/>
      <c r="AD54" s="382"/>
      <c r="AE54" s="382"/>
      <c r="AF54" s="382"/>
      <c r="AG54" s="382"/>
      <c r="AH54" s="382"/>
      <c r="AI54" s="383"/>
    </row>
    <row r="55" spans="2:35" ht="22.95" customHeight="1">
      <c r="B55" s="117"/>
      <c r="C55" s="480"/>
      <c r="D55" s="475"/>
      <c r="E55" s="538"/>
      <c r="F55" s="538"/>
      <c r="G55" s="480"/>
      <c r="H55" s="538"/>
      <c r="I55" s="538"/>
      <c r="J55" s="538"/>
      <c r="K55" s="550"/>
      <c r="L55" s="550"/>
      <c r="M55" s="550"/>
      <c r="N55" s="550"/>
      <c r="O55" s="550"/>
      <c r="P55" s="684"/>
      <c r="Q55" s="547">
        <f t="shared" si="2"/>
        <v>0</v>
      </c>
      <c r="R55" s="868"/>
      <c r="S55" s="869"/>
      <c r="T55" s="106"/>
      <c r="V55" s="380"/>
      <c r="W55" s="382"/>
      <c r="X55" s="382"/>
      <c r="Y55" s="382"/>
      <c r="Z55" s="382"/>
      <c r="AA55" s="382"/>
      <c r="AB55" s="382"/>
      <c r="AC55" s="382"/>
      <c r="AD55" s="382"/>
      <c r="AE55" s="382"/>
      <c r="AF55" s="382"/>
      <c r="AG55" s="382"/>
      <c r="AH55" s="382"/>
      <c r="AI55" s="383"/>
    </row>
    <row r="56" spans="2:35" ht="22.95" customHeight="1">
      <c r="B56" s="117"/>
      <c r="C56" s="480"/>
      <c r="D56" s="475"/>
      <c r="E56" s="538"/>
      <c r="F56" s="538"/>
      <c r="G56" s="480"/>
      <c r="H56" s="538"/>
      <c r="I56" s="538"/>
      <c r="J56" s="538"/>
      <c r="K56" s="550"/>
      <c r="L56" s="550"/>
      <c r="M56" s="550"/>
      <c r="N56" s="550"/>
      <c r="O56" s="550"/>
      <c r="P56" s="684"/>
      <c r="Q56" s="547">
        <f t="shared" si="2"/>
        <v>0</v>
      </c>
      <c r="R56" s="868"/>
      <c r="S56" s="869"/>
      <c r="T56" s="106"/>
      <c r="V56" s="380"/>
      <c r="W56" s="382"/>
      <c r="X56" s="382"/>
      <c r="Y56" s="382"/>
      <c r="Z56" s="382"/>
      <c r="AA56" s="382"/>
      <c r="AB56" s="382"/>
      <c r="AC56" s="382"/>
      <c r="AD56" s="382"/>
      <c r="AE56" s="382"/>
      <c r="AF56" s="382"/>
      <c r="AG56" s="382"/>
      <c r="AH56" s="382"/>
      <c r="AI56" s="383"/>
    </row>
    <row r="57" spans="2:35" ht="22.95" customHeight="1">
      <c r="B57" s="117"/>
      <c r="C57" s="480"/>
      <c r="D57" s="475"/>
      <c r="E57" s="538"/>
      <c r="F57" s="538"/>
      <c r="G57" s="480"/>
      <c r="H57" s="538"/>
      <c r="I57" s="538"/>
      <c r="J57" s="538"/>
      <c r="K57" s="550"/>
      <c r="L57" s="550"/>
      <c r="M57" s="550"/>
      <c r="N57" s="550"/>
      <c r="O57" s="550"/>
      <c r="P57" s="684"/>
      <c r="Q57" s="547">
        <f t="shared" si="2"/>
        <v>0</v>
      </c>
      <c r="R57" s="868"/>
      <c r="S57" s="869"/>
      <c r="T57" s="106"/>
      <c r="V57" s="380"/>
      <c r="W57" s="382"/>
      <c r="X57" s="382"/>
      <c r="Y57" s="382"/>
      <c r="Z57" s="382"/>
      <c r="AA57" s="382"/>
      <c r="AB57" s="382"/>
      <c r="AC57" s="382"/>
      <c r="AD57" s="382"/>
      <c r="AE57" s="382"/>
      <c r="AF57" s="382"/>
      <c r="AG57" s="382"/>
      <c r="AH57" s="382"/>
      <c r="AI57" s="383"/>
    </row>
    <row r="58" spans="2:35" ht="22.95" customHeight="1">
      <c r="B58" s="117"/>
      <c r="C58" s="480"/>
      <c r="D58" s="475"/>
      <c r="E58" s="538"/>
      <c r="F58" s="538"/>
      <c r="G58" s="480"/>
      <c r="H58" s="538"/>
      <c r="I58" s="538"/>
      <c r="J58" s="538"/>
      <c r="K58" s="550"/>
      <c r="L58" s="550"/>
      <c r="M58" s="550"/>
      <c r="N58" s="550"/>
      <c r="O58" s="550"/>
      <c r="P58" s="684"/>
      <c r="Q58" s="547">
        <f t="shared" si="2"/>
        <v>0</v>
      </c>
      <c r="R58" s="868"/>
      <c r="S58" s="869"/>
      <c r="T58" s="106"/>
      <c r="V58" s="380"/>
      <c r="W58" s="382"/>
      <c r="X58" s="382"/>
      <c r="Y58" s="382"/>
      <c r="Z58" s="382"/>
      <c r="AA58" s="382"/>
      <c r="AB58" s="382"/>
      <c r="AC58" s="382"/>
      <c r="AD58" s="382"/>
      <c r="AE58" s="382"/>
      <c r="AF58" s="382"/>
      <c r="AG58" s="382"/>
      <c r="AH58" s="382"/>
      <c r="AI58" s="383"/>
    </row>
    <row r="59" spans="2:35" ht="22.95" customHeight="1">
      <c r="B59" s="117"/>
      <c r="C59" s="480"/>
      <c r="D59" s="475"/>
      <c r="E59" s="538"/>
      <c r="F59" s="538"/>
      <c r="G59" s="480"/>
      <c r="H59" s="538"/>
      <c r="I59" s="538"/>
      <c r="J59" s="538"/>
      <c r="K59" s="550"/>
      <c r="L59" s="550"/>
      <c r="M59" s="550"/>
      <c r="N59" s="550"/>
      <c r="O59" s="550"/>
      <c r="P59" s="684"/>
      <c r="Q59" s="547">
        <f t="shared" si="2"/>
        <v>0</v>
      </c>
      <c r="R59" s="868"/>
      <c r="S59" s="869"/>
      <c r="T59" s="106"/>
      <c r="V59" s="380"/>
      <c r="W59" s="382"/>
      <c r="X59" s="382"/>
      <c r="Y59" s="382"/>
      <c r="Z59" s="382"/>
      <c r="AA59" s="382"/>
      <c r="AB59" s="382"/>
      <c r="AC59" s="382"/>
      <c r="AD59" s="382"/>
      <c r="AE59" s="382"/>
      <c r="AF59" s="382"/>
      <c r="AG59" s="382"/>
      <c r="AH59" s="382"/>
      <c r="AI59" s="383"/>
    </row>
    <row r="60" spans="2:35" ht="22.95" customHeight="1">
      <c r="B60" s="117"/>
      <c r="C60" s="480"/>
      <c r="D60" s="475"/>
      <c r="E60" s="538"/>
      <c r="F60" s="538"/>
      <c r="G60" s="480"/>
      <c r="H60" s="538"/>
      <c r="I60" s="538"/>
      <c r="J60" s="538"/>
      <c r="K60" s="550"/>
      <c r="L60" s="550"/>
      <c r="M60" s="550"/>
      <c r="N60" s="550"/>
      <c r="O60" s="550"/>
      <c r="P60" s="684"/>
      <c r="Q60" s="547">
        <f t="shared" si="2"/>
        <v>0</v>
      </c>
      <c r="R60" s="868"/>
      <c r="S60" s="869"/>
      <c r="T60" s="106"/>
      <c r="V60" s="380"/>
      <c r="W60" s="382"/>
      <c r="X60" s="382"/>
      <c r="Y60" s="382"/>
      <c r="Z60" s="382"/>
      <c r="AA60" s="382"/>
      <c r="AB60" s="382"/>
      <c r="AC60" s="382"/>
      <c r="AD60" s="382"/>
      <c r="AE60" s="382"/>
      <c r="AF60" s="382"/>
      <c r="AG60" s="382"/>
      <c r="AH60" s="382"/>
      <c r="AI60" s="383"/>
    </row>
    <row r="61" spans="2:35" ht="22.95" customHeight="1">
      <c r="B61" s="117"/>
      <c r="C61" s="480"/>
      <c r="D61" s="475"/>
      <c r="E61" s="538"/>
      <c r="F61" s="538"/>
      <c r="G61" s="480"/>
      <c r="H61" s="538"/>
      <c r="I61" s="538"/>
      <c r="J61" s="538"/>
      <c r="K61" s="550"/>
      <c r="L61" s="550"/>
      <c r="M61" s="550"/>
      <c r="N61" s="550"/>
      <c r="O61" s="550"/>
      <c r="P61" s="684"/>
      <c r="Q61" s="547">
        <f t="shared" si="2"/>
        <v>0</v>
      </c>
      <c r="R61" s="868"/>
      <c r="S61" s="869"/>
      <c r="T61" s="106"/>
      <c r="V61" s="380"/>
      <c r="W61" s="382"/>
      <c r="X61" s="382"/>
      <c r="Y61" s="382"/>
      <c r="Z61" s="382"/>
      <c r="AA61" s="382"/>
      <c r="AB61" s="382"/>
      <c r="AC61" s="382"/>
      <c r="AD61" s="382"/>
      <c r="AE61" s="382"/>
      <c r="AF61" s="382"/>
      <c r="AG61" s="382"/>
      <c r="AH61" s="382"/>
      <c r="AI61" s="383"/>
    </row>
    <row r="62" spans="2:35" ht="22.95" customHeight="1">
      <c r="B62" s="117"/>
      <c r="C62" s="480"/>
      <c r="D62" s="475"/>
      <c r="E62" s="538"/>
      <c r="F62" s="538"/>
      <c r="G62" s="480"/>
      <c r="H62" s="538"/>
      <c r="I62" s="538"/>
      <c r="J62" s="538"/>
      <c r="K62" s="550"/>
      <c r="L62" s="550"/>
      <c r="M62" s="550"/>
      <c r="N62" s="550"/>
      <c r="O62" s="550"/>
      <c r="P62" s="684"/>
      <c r="Q62" s="547">
        <f t="shared" si="2"/>
        <v>0</v>
      </c>
      <c r="R62" s="868"/>
      <c r="S62" s="869"/>
      <c r="T62" s="106"/>
      <c r="V62" s="380"/>
      <c r="W62" s="382"/>
      <c r="X62" s="382"/>
      <c r="Y62" s="382"/>
      <c r="Z62" s="382"/>
      <c r="AA62" s="382"/>
      <c r="AB62" s="382"/>
      <c r="AC62" s="382"/>
      <c r="AD62" s="382"/>
      <c r="AE62" s="382"/>
      <c r="AF62" s="382"/>
      <c r="AG62" s="382"/>
      <c r="AH62" s="382"/>
      <c r="AI62" s="383"/>
    </row>
    <row r="63" spans="2:35" ht="22.95" customHeight="1">
      <c r="B63" s="117"/>
      <c r="C63" s="480"/>
      <c r="D63" s="475"/>
      <c r="E63" s="538"/>
      <c r="F63" s="538"/>
      <c r="G63" s="480"/>
      <c r="H63" s="538"/>
      <c r="I63" s="538"/>
      <c r="J63" s="538"/>
      <c r="K63" s="550"/>
      <c r="L63" s="550"/>
      <c r="M63" s="550"/>
      <c r="N63" s="550"/>
      <c r="O63" s="550"/>
      <c r="P63" s="684"/>
      <c r="Q63" s="547">
        <f t="shared" si="2"/>
        <v>0</v>
      </c>
      <c r="R63" s="868"/>
      <c r="S63" s="869"/>
      <c r="T63" s="106"/>
      <c r="V63" s="380"/>
      <c r="W63" s="382"/>
      <c r="X63" s="382"/>
      <c r="Y63" s="382"/>
      <c r="Z63" s="382"/>
      <c r="AA63" s="382"/>
      <c r="AB63" s="382"/>
      <c r="AC63" s="382"/>
      <c r="AD63" s="382"/>
      <c r="AE63" s="382"/>
      <c r="AF63" s="382"/>
      <c r="AG63" s="382"/>
      <c r="AH63" s="382"/>
      <c r="AI63" s="383"/>
    </row>
    <row r="64" spans="2:35" ht="22.95" customHeight="1">
      <c r="B64" s="117"/>
      <c r="C64" s="480"/>
      <c r="D64" s="475"/>
      <c r="E64" s="538"/>
      <c r="F64" s="538"/>
      <c r="G64" s="480"/>
      <c r="H64" s="538"/>
      <c r="I64" s="538"/>
      <c r="J64" s="538"/>
      <c r="K64" s="550"/>
      <c r="L64" s="550"/>
      <c r="M64" s="550"/>
      <c r="N64" s="550"/>
      <c r="O64" s="550"/>
      <c r="P64" s="684"/>
      <c r="Q64" s="547">
        <f t="shared" si="2"/>
        <v>0</v>
      </c>
      <c r="R64" s="868"/>
      <c r="S64" s="869"/>
      <c r="T64" s="106"/>
      <c r="V64" s="380"/>
      <c r="W64" s="382"/>
      <c r="X64" s="382"/>
      <c r="Y64" s="382"/>
      <c r="Z64" s="382"/>
      <c r="AA64" s="382"/>
      <c r="AB64" s="382"/>
      <c r="AC64" s="382"/>
      <c r="AD64" s="382"/>
      <c r="AE64" s="382"/>
      <c r="AF64" s="382"/>
      <c r="AG64" s="382"/>
      <c r="AH64" s="382"/>
      <c r="AI64" s="383"/>
    </row>
    <row r="65" spans="2:35" ht="22.95" customHeight="1">
      <c r="B65" s="117"/>
      <c r="C65" s="480"/>
      <c r="D65" s="475"/>
      <c r="E65" s="538"/>
      <c r="F65" s="538"/>
      <c r="G65" s="480"/>
      <c r="H65" s="538"/>
      <c r="I65" s="538"/>
      <c r="J65" s="538"/>
      <c r="K65" s="550"/>
      <c r="L65" s="550"/>
      <c r="M65" s="550"/>
      <c r="N65" s="550"/>
      <c r="O65" s="550"/>
      <c r="P65" s="684"/>
      <c r="Q65" s="547">
        <f t="shared" si="2"/>
        <v>0</v>
      </c>
      <c r="R65" s="868"/>
      <c r="S65" s="869"/>
      <c r="T65" s="106"/>
      <c r="V65" s="380"/>
      <c r="W65" s="382"/>
      <c r="X65" s="382"/>
      <c r="Y65" s="382"/>
      <c r="Z65" s="382"/>
      <c r="AA65" s="382"/>
      <c r="AB65" s="382"/>
      <c r="AC65" s="382"/>
      <c r="AD65" s="382"/>
      <c r="AE65" s="382"/>
      <c r="AF65" s="382"/>
      <c r="AG65" s="382"/>
      <c r="AH65" s="382"/>
      <c r="AI65" s="383"/>
    </row>
    <row r="66" spans="2:35" ht="22.95" customHeight="1">
      <c r="B66" s="117"/>
      <c r="C66" s="480"/>
      <c r="D66" s="475"/>
      <c r="E66" s="538"/>
      <c r="F66" s="538"/>
      <c r="G66" s="480"/>
      <c r="H66" s="538"/>
      <c r="I66" s="538"/>
      <c r="J66" s="538"/>
      <c r="K66" s="550"/>
      <c r="L66" s="550"/>
      <c r="M66" s="550"/>
      <c r="N66" s="550"/>
      <c r="O66" s="550"/>
      <c r="P66" s="684"/>
      <c r="Q66" s="547">
        <f t="shared" si="2"/>
        <v>0</v>
      </c>
      <c r="R66" s="868"/>
      <c r="S66" s="869"/>
      <c r="T66" s="106"/>
      <c r="V66" s="380"/>
      <c r="W66" s="382"/>
      <c r="X66" s="382"/>
      <c r="Y66" s="382"/>
      <c r="Z66" s="382"/>
      <c r="AA66" s="382"/>
      <c r="AB66" s="382"/>
      <c r="AC66" s="382"/>
      <c r="AD66" s="382"/>
      <c r="AE66" s="382"/>
      <c r="AF66" s="382"/>
      <c r="AG66" s="382"/>
      <c r="AH66" s="382"/>
      <c r="AI66" s="383"/>
    </row>
    <row r="67" spans="2:35" ht="22.95" customHeight="1">
      <c r="B67" s="117"/>
      <c r="C67" s="480"/>
      <c r="D67" s="475"/>
      <c r="E67" s="538"/>
      <c r="F67" s="538"/>
      <c r="G67" s="480"/>
      <c r="H67" s="538"/>
      <c r="I67" s="538"/>
      <c r="J67" s="538"/>
      <c r="K67" s="550"/>
      <c r="L67" s="550"/>
      <c r="M67" s="550"/>
      <c r="N67" s="550"/>
      <c r="O67" s="550"/>
      <c r="P67" s="684"/>
      <c r="Q67" s="547">
        <f t="shared" si="2"/>
        <v>0</v>
      </c>
      <c r="R67" s="868"/>
      <c r="S67" s="869"/>
      <c r="T67" s="106"/>
      <c r="V67" s="380"/>
      <c r="W67" s="382"/>
      <c r="X67" s="382"/>
      <c r="Y67" s="382"/>
      <c r="Z67" s="382"/>
      <c r="AA67" s="382"/>
      <c r="AB67" s="382"/>
      <c r="AC67" s="382"/>
      <c r="AD67" s="382"/>
      <c r="AE67" s="382"/>
      <c r="AF67" s="382"/>
      <c r="AG67" s="382"/>
      <c r="AH67" s="382"/>
      <c r="AI67" s="383"/>
    </row>
    <row r="68" spans="2:35" ht="22.95" customHeight="1">
      <c r="B68" s="117"/>
      <c r="C68" s="480"/>
      <c r="D68" s="475"/>
      <c r="E68" s="538"/>
      <c r="F68" s="538"/>
      <c r="G68" s="480"/>
      <c r="H68" s="538"/>
      <c r="I68" s="538"/>
      <c r="J68" s="538"/>
      <c r="K68" s="550"/>
      <c r="L68" s="550"/>
      <c r="M68" s="550"/>
      <c r="N68" s="550"/>
      <c r="O68" s="550"/>
      <c r="P68" s="684"/>
      <c r="Q68" s="547">
        <f t="shared" si="2"/>
        <v>0</v>
      </c>
      <c r="R68" s="868"/>
      <c r="S68" s="869"/>
      <c r="T68" s="106"/>
      <c r="V68" s="380"/>
      <c r="W68" s="382"/>
      <c r="X68" s="382"/>
      <c r="Y68" s="382"/>
      <c r="Z68" s="382"/>
      <c r="AA68" s="382"/>
      <c r="AB68" s="382"/>
      <c r="AC68" s="382"/>
      <c r="AD68" s="382"/>
      <c r="AE68" s="382"/>
      <c r="AF68" s="382"/>
      <c r="AG68" s="382"/>
      <c r="AH68" s="382"/>
      <c r="AI68" s="383"/>
    </row>
    <row r="69" spans="2:35" ht="22.95" customHeight="1">
      <c r="B69" s="117"/>
      <c r="C69" s="480"/>
      <c r="D69" s="475"/>
      <c r="E69" s="538"/>
      <c r="F69" s="538"/>
      <c r="G69" s="480"/>
      <c r="H69" s="538"/>
      <c r="I69" s="538"/>
      <c r="J69" s="538"/>
      <c r="K69" s="550"/>
      <c r="L69" s="550"/>
      <c r="M69" s="550"/>
      <c r="N69" s="550"/>
      <c r="O69" s="550"/>
      <c r="P69" s="684"/>
      <c r="Q69" s="547">
        <f t="shared" si="2"/>
        <v>0</v>
      </c>
      <c r="R69" s="868"/>
      <c r="S69" s="869"/>
      <c r="T69" s="106"/>
      <c r="V69" s="380"/>
      <c r="W69" s="382"/>
      <c r="X69" s="382"/>
      <c r="Y69" s="382"/>
      <c r="Z69" s="382"/>
      <c r="AA69" s="382"/>
      <c r="AB69" s="382"/>
      <c r="AC69" s="382"/>
      <c r="AD69" s="382"/>
      <c r="AE69" s="382"/>
      <c r="AF69" s="382"/>
      <c r="AG69" s="382"/>
      <c r="AH69" s="382"/>
      <c r="AI69" s="383"/>
    </row>
    <row r="70" spans="2:35" ht="22.95" customHeight="1">
      <c r="B70" s="117"/>
      <c r="C70" s="480"/>
      <c r="D70" s="475"/>
      <c r="E70" s="538"/>
      <c r="F70" s="538"/>
      <c r="G70" s="480"/>
      <c r="H70" s="538"/>
      <c r="I70" s="538"/>
      <c r="J70" s="538"/>
      <c r="K70" s="550"/>
      <c r="L70" s="550"/>
      <c r="M70" s="550"/>
      <c r="N70" s="550"/>
      <c r="O70" s="550"/>
      <c r="P70" s="684"/>
      <c r="Q70" s="547">
        <f t="shared" si="2"/>
        <v>0</v>
      </c>
      <c r="R70" s="868"/>
      <c r="S70" s="869"/>
      <c r="T70" s="106"/>
      <c r="V70" s="380"/>
      <c r="W70" s="382"/>
      <c r="X70" s="382"/>
      <c r="Y70" s="382"/>
      <c r="Z70" s="382"/>
      <c r="AA70" s="382"/>
      <c r="AB70" s="382"/>
      <c r="AC70" s="382"/>
      <c r="AD70" s="382"/>
      <c r="AE70" s="382"/>
      <c r="AF70" s="382"/>
      <c r="AG70" s="382"/>
      <c r="AH70" s="382"/>
      <c r="AI70" s="383"/>
    </row>
    <row r="71" spans="2:35" ht="22.95" customHeight="1">
      <c r="B71" s="117"/>
      <c r="C71" s="480"/>
      <c r="D71" s="475"/>
      <c r="E71" s="538"/>
      <c r="F71" s="538"/>
      <c r="G71" s="480"/>
      <c r="H71" s="538"/>
      <c r="I71" s="538"/>
      <c r="J71" s="538"/>
      <c r="K71" s="550"/>
      <c r="L71" s="550"/>
      <c r="M71" s="550"/>
      <c r="N71" s="550"/>
      <c r="O71" s="550"/>
      <c r="P71" s="684"/>
      <c r="Q71" s="547">
        <f t="shared" si="2"/>
        <v>0</v>
      </c>
      <c r="R71" s="868"/>
      <c r="S71" s="869"/>
      <c r="T71" s="106"/>
      <c r="V71" s="380"/>
      <c r="W71" s="382"/>
      <c r="X71" s="382"/>
      <c r="Y71" s="382"/>
      <c r="Z71" s="382"/>
      <c r="AA71" s="382"/>
      <c r="AB71" s="382"/>
      <c r="AC71" s="382"/>
      <c r="AD71" s="382"/>
      <c r="AE71" s="382"/>
      <c r="AF71" s="382"/>
      <c r="AG71" s="382"/>
      <c r="AH71" s="382"/>
      <c r="AI71" s="383"/>
    </row>
    <row r="72" spans="2:35" ht="22.95" customHeight="1">
      <c r="B72" s="117"/>
      <c r="C72" s="480"/>
      <c r="D72" s="476"/>
      <c r="E72" s="539"/>
      <c r="F72" s="539"/>
      <c r="G72" s="481"/>
      <c r="H72" s="539"/>
      <c r="I72" s="539"/>
      <c r="J72" s="539"/>
      <c r="K72" s="551"/>
      <c r="L72" s="551"/>
      <c r="M72" s="551"/>
      <c r="N72" s="551"/>
      <c r="O72" s="551"/>
      <c r="P72" s="685"/>
      <c r="Q72" s="548">
        <f t="shared" si="2"/>
        <v>0</v>
      </c>
      <c r="R72" s="868"/>
      <c r="S72" s="869"/>
      <c r="T72" s="106"/>
      <c r="V72" s="380"/>
      <c r="W72" s="382"/>
      <c r="X72" s="382"/>
      <c r="Y72" s="382"/>
      <c r="Z72" s="382"/>
      <c r="AA72" s="382"/>
      <c r="AB72" s="382"/>
      <c r="AC72" s="382"/>
      <c r="AD72" s="382"/>
      <c r="AE72" s="382"/>
      <c r="AF72" s="382"/>
      <c r="AG72" s="382"/>
      <c r="AH72" s="382"/>
      <c r="AI72" s="383"/>
    </row>
    <row r="73" spans="2:35" ht="22.95" customHeight="1">
      <c r="B73" s="117"/>
      <c r="C73" s="482"/>
      <c r="D73" s="477"/>
      <c r="E73" s="540"/>
      <c r="F73" s="540"/>
      <c r="G73" s="482"/>
      <c r="H73" s="540"/>
      <c r="I73" s="540"/>
      <c r="J73" s="540"/>
      <c r="K73" s="552"/>
      <c r="L73" s="552"/>
      <c r="M73" s="552"/>
      <c r="N73" s="552"/>
      <c r="O73" s="552"/>
      <c r="P73" s="686"/>
      <c r="Q73" s="549">
        <f t="shared" si="2"/>
        <v>0</v>
      </c>
      <c r="R73" s="870"/>
      <c r="S73" s="871"/>
      <c r="T73" s="106"/>
      <c r="V73" s="380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3"/>
    </row>
    <row r="74" spans="2:35" ht="22.95" customHeight="1" thickBot="1">
      <c r="B74" s="117"/>
      <c r="C74" s="209"/>
      <c r="D74" s="209"/>
      <c r="E74" s="210"/>
      <c r="F74" s="210"/>
      <c r="G74" s="210"/>
      <c r="H74" s="1029" t="s">
        <v>584</v>
      </c>
      <c r="I74" s="1068"/>
      <c r="J74" s="1030"/>
      <c r="K74" s="231">
        <f t="shared" ref="K74:S74" si="3">SUM(K49:K73)</f>
        <v>54063966.409999996</v>
      </c>
      <c r="L74" s="222">
        <f t="shared" si="3"/>
        <v>10854998.209999999</v>
      </c>
      <c r="M74" s="230">
        <f t="shared" si="3"/>
        <v>34763966.409999996</v>
      </c>
      <c r="N74" s="230">
        <f t="shared" si="3"/>
        <v>1395372.0599999998</v>
      </c>
      <c r="O74" s="231">
        <f t="shared" si="3"/>
        <v>486216.24</v>
      </c>
      <c r="P74" s="231">
        <f t="shared" si="3"/>
        <v>0</v>
      </c>
      <c r="Q74" s="376">
        <f t="shared" si="3"/>
        <v>44223592.559999995</v>
      </c>
      <c r="R74" s="230">
        <f t="shared" si="3"/>
        <v>4711750.2300000004</v>
      </c>
      <c r="S74" s="127">
        <f t="shared" si="3"/>
        <v>39511842.329999998</v>
      </c>
      <c r="T74" s="106"/>
      <c r="V74" s="380"/>
      <c r="W74" s="382"/>
      <c r="X74" s="382"/>
      <c r="Y74" s="382"/>
      <c r="Z74" s="382"/>
      <c r="AA74" s="382"/>
      <c r="AB74" s="382"/>
      <c r="AC74" s="382"/>
      <c r="AD74" s="382"/>
      <c r="AE74" s="382"/>
      <c r="AF74" s="382"/>
      <c r="AG74" s="382"/>
      <c r="AH74" s="382"/>
      <c r="AI74" s="383"/>
    </row>
    <row r="75" spans="2:35" ht="22.95" customHeight="1">
      <c r="B75" s="117"/>
      <c r="C75" s="209"/>
      <c r="D75" s="209"/>
      <c r="E75" s="210"/>
      <c r="F75" s="210"/>
      <c r="G75" s="210"/>
      <c r="H75" s="788"/>
      <c r="I75" s="788"/>
      <c r="J75" s="788"/>
      <c r="K75" s="210"/>
      <c r="L75" s="210"/>
      <c r="M75" s="210"/>
      <c r="N75" s="210"/>
      <c r="O75" s="210"/>
      <c r="P75" s="210"/>
      <c r="Q75" s="210"/>
      <c r="R75" s="210"/>
      <c r="S75" s="210"/>
      <c r="T75" s="106"/>
      <c r="V75" s="380"/>
      <c r="W75" s="382"/>
      <c r="X75" s="382"/>
      <c r="Y75" s="382"/>
      <c r="Z75" s="382"/>
      <c r="AA75" s="382"/>
      <c r="AB75" s="382"/>
      <c r="AC75" s="382"/>
      <c r="AD75" s="382"/>
      <c r="AE75" s="382"/>
      <c r="AF75" s="382"/>
      <c r="AG75" s="382"/>
      <c r="AH75" s="382"/>
      <c r="AI75" s="383"/>
    </row>
    <row r="76" spans="2:35" s="235" customFormat="1" ht="18" customHeight="1">
      <c r="B76" s="799"/>
      <c r="C76" s="800" t="s">
        <v>514</v>
      </c>
      <c r="D76" s="801"/>
      <c r="E76" s="802"/>
      <c r="F76" s="802"/>
      <c r="G76" s="802"/>
      <c r="H76" s="802"/>
      <c r="I76" s="802"/>
      <c r="J76" s="802"/>
      <c r="K76" s="802"/>
      <c r="L76" s="802"/>
      <c r="M76" s="802"/>
      <c r="N76" s="108"/>
      <c r="O76" s="108"/>
      <c r="P76" s="108"/>
      <c r="Q76" s="108"/>
      <c r="R76" s="108"/>
      <c r="S76" s="108"/>
      <c r="T76" s="238"/>
      <c r="V76" s="393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5"/>
    </row>
    <row r="77" spans="2:35" s="235" customFormat="1" ht="18" customHeight="1">
      <c r="B77" s="799"/>
      <c r="C77" s="801" t="s">
        <v>1006</v>
      </c>
      <c r="D77" s="801"/>
      <c r="E77" s="802"/>
      <c r="F77" s="802"/>
      <c r="G77" s="802"/>
      <c r="H77" s="802"/>
      <c r="I77" s="802"/>
      <c r="J77" s="802"/>
      <c r="K77" s="802"/>
      <c r="L77" s="802"/>
      <c r="M77" s="802"/>
      <c r="N77" s="108"/>
      <c r="O77" s="108"/>
      <c r="P77" s="108"/>
      <c r="Q77" s="108"/>
      <c r="R77" s="108"/>
      <c r="S77" s="108"/>
      <c r="T77" s="238"/>
      <c r="V77" s="393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5"/>
    </row>
    <row r="78" spans="2:35" s="235" customFormat="1" ht="18" customHeight="1">
      <c r="B78" s="799"/>
      <c r="C78" s="801" t="s">
        <v>1007</v>
      </c>
      <c r="D78" s="801"/>
      <c r="E78" s="802"/>
      <c r="F78" s="802"/>
      <c r="G78" s="802"/>
      <c r="H78" s="802"/>
      <c r="I78" s="802"/>
      <c r="J78" s="802"/>
      <c r="K78" s="802"/>
      <c r="L78" s="802"/>
      <c r="M78" s="802"/>
      <c r="N78" s="108"/>
      <c r="O78" s="108"/>
      <c r="P78" s="108"/>
      <c r="Q78" s="108"/>
      <c r="R78" s="108"/>
      <c r="S78" s="108"/>
      <c r="T78" s="238"/>
      <c r="V78" s="393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5"/>
    </row>
    <row r="79" spans="2:35" s="235" customFormat="1" ht="18" customHeight="1">
      <c r="B79" s="799"/>
      <c r="C79" s="803" t="s">
        <v>924</v>
      </c>
      <c r="D79" s="801"/>
      <c r="E79" s="802"/>
      <c r="F79" s="802"/>
      <c r="G79" s="802"/>
      <c r="H79" s="802"/>
      <c r="I79" s="802"/>
      <c r="J79" s="802"/>
      <c r="K79" s="802"/>
      <c r="L79" s="802"/>
      <c r="M79" s="802"/>
      <c r="N79" s="108"/>
      <c r="O79" s="108"/>
      <c r="P79" s="108"/>
      <c r="Q79" s="108"/>
      <c r="R79" s="108"/>
      <c r="S79" s="108"/>
      <c r="T79" s="238"/>
      <c r="V79" s="393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5"/>
    </row>
    <row r="80" spans="2:35" s="235" customFormat="1" ht="18" customHeight="1">
      <c r="B80" s="799"/>
      <c r="C80" s="235" t="s">
        <v>0</v>
      </c>
      <c r="D80" s="801"/>
      <c r="E80" s="802"/>
      <c r="F80" s="802"/>
      <c r="G80" s="802"/>
      <c r="H80" s="802"/>
      <c r="I80" s="802"/>
      <c r="J80" s="802"/>
      <c r="K80" s="802"/>
      <c r="L80" s="802"/>
      <c r="M80" s="802"/>
      <c r="N80" s="108"/>
      <c r="O80" s="108"/>
      <c r="P80" s="108"/>
      <c r="Q80" s="108"/>
      <c r="R80" s="108"/>
      <c r="S80" s="108"/>
      <c r="T80" s="238"/>
      <c r="V80" s="393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5"/>
    </row>
    <row r="81" spans="2:35" s="235" customFormat="1" ht="18" customHeight="1">
      <c r="B81" s="799"/>
      <c r="C81" s="804" t="s">
        <v>925</v>
      </c>
      <c r="D81" s="801"/>
      <c r="E81" s="805"/>
      <c r="F81" s="805"/>
      <c r="G81" s="805"/>
      <c r="H81" s="805"/>
      <c r="I81" s="805"/>
      <c r="J81" s="805"/>
      <c r="K81" s="805"/>
      <c r="L81" s="805"/>
      <c r="M81" s="805"/>
      <c r="N81" s="108"/>
      <c r="O81" s="108"/>
      <c r="P81" s="108"/>
      <c r="Q81" s="108"/>
      <c r="R81" s="108"/>
      <c r="S81" s="108"/>
      <c r="T81" s="238"/>
      <c r="V81" s="393"/>
      <c r="W81" s="394"/>
      <c r="X81" s="394"/>
      <c r="Y81" s="394"/>
      <c r="Z81" s="394"/>
      <c r="AA81" s="394"/>
      <c r="AB81" s="394"/>
      <c r="AC81" s="394"/>
      <c r="AD81" s="394"/>
      <c r="AE81" s="394"/>
      <c r="AF81" s="394"/>
      <c r="AG81" s="394"/>
      <c r="AH81" s="394"/>
      <c r="AI81" s="395"/>
    </row>
    <row r="82" spans="2:35" s="235" customFormat="1" ht="18" customHeight="1">
      <c r="B82" s="799"/>
      <c r="C82" s="804" t="s">
        <v>926</v>
      </c>
      <c r="D82" s="801"/>
      <c r="E82" s="805"/>
      <c r="F82" s="805"/>
      <c r="G82" s="805"/>
      <c r="H82" s="805"/>
      <c r="I82" s="805"/>
      <c r="J82" s="805"/>
      <c r="K82" s="805"/>
      <c r="L82" s="805"/>
      <c r="M82" s="805"/>
      <c r="N82" s="108"/>
      <c r="O82" s="108"/>
      <c r="P82" s="108"/>
      <c r="Q82" s="108"/>
      <c r="R82" s="108"/>
      <c r="S82" s="108"/>
      <c r="T82" s="238"/>
      <c r="V82" s="393"/>
      <c r="W82" s="394"/>
      <c r="X82" s="394"/>
      <c r="Y82" s="394"/>
      <c r="Z82" s="394"/>
      <c r="AA82" s="394"/>
      <c r="AB82" s="394"/>
      <c r="AC82" s="394"/>
      <c r="AD82" s="394"/>
      <c r="AE82" s="394"/>
      <c r="AF82" s="394"/>
      <c r="AG82" s="394"/>
      <c r="AH82" s="394"/>
      <c r="AI82" s="395"/>
    </row>
    <row r="83" spans="2:35" s="235" customFormat="1" ht="18" customHeight="1">
      <c r="B83" s="799"/>
      <c r="C83" s="804" t="s">
        <v>1</v>
      </c>
      <c r="D83" s="801"/>
      <c r="E83" s="805"/>
      <c r="F83" s="805"/>
      <c r="G83" s="805"/>
      <c r="H83" s="805"/>
      <c r="I83" s="805"/>
      <c r="J83" s="805"/>
      <c r="K83" s="805"/>
      <c r="L83" s="805"/>
      <c r="M83" s="805"/>
      <c r="N83" s="108"/>
      <c r="O83" s="108"/>
      <c r="P83" s="108"/>
      <c r="Q83" s="108"/>
      <c r="R83" s="108"/>
      <c r="S83" s="108"/>
      <c r="T83" s="238"/>
      <c r="V83" s="393"/>
      <c r="W83" s="394"/>
      <c r="X83" s="394"/>
      <c r="Y83" s="394"/>
      <c r="Z83" s="394"/>
      <c r="AA83" s="394"/>
      <c r="AB83" s="394"/>
      <c r="AC83" s="394"/>
      <c r="AD83" s="394"/>
      <c r="AE83" s="394"/>
      <c r="AF83" s="394"/>
      <c r="AG83" s="394"/>
      <c r="AH83" s="394"/>
      <c r="AI83" s="395"/>
    </row>
    <row r="84" spans="2:35" ht="22.95" customHeight="1" thickBot="1">
      <c r="B84" s="121"/>
      <c r="C84" s="1003"/>
      <c r="D84" s="100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123"/>
      <c r="V84" s="396"/>
      <c r="W84" s="397"/>
      <c r="X84" s="397"/>
      <c r="Y84" s="397"/>
      <c r="Z84" s="397"/>
      <c r="AA84" s="397"/>
      <c r="AB84" s="397"/>
      <c r="AC84" s="397"/>
      <c r="AD84" s="397"/>
      <c r="AE84" s="397"/>
      <c r="AF84" s="397"/>
      <c r="AG84" s="397"/>
      <c r="AH84" s="397"/>
      <c r="AI84" s="398"/>
    </row>
    <row r="85" spans="2:35" ht="22.95" customHeight="1">
      <c r="C85" s="104"/>
      <c r="D85" s="104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</row>
    <row r="86" spans="2:35" ht="13.2">
      <c r="C86" s="124" t="s">
        <v>174</v>
      </c>
      <c r="D86" s="104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95" t="s">
        <v>153</v>
      </c>
    </row>
    <row r="87" spans="2:35" ht="13.2">
      <c r="C87" s="125" t="s">
        <v>175</v>
      </c>
      <c r="D87" s="104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</row>
    <row r="88" spans="2:35" ht="13.2">
      <c r="C88" s="125" t="s">
        <v>176</v>
      </c>
      <c r="D88" s="104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</row>
    <row r="89" spans="2:35" ht="13.2">
      <c r="C89" s="125" t="s">
        <v>177</v>
      </c>
      <c r="D89" s="104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</row>
    <row r="90" spans="2:35" ht="13.2">
      <c r="C90" s="125" t="s">
        <v>178</v>
      </c>
      <c r="D90" s="104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</row>
    <row r="91" spans="2:35" ht="22.95" customHeight="1">
      <c r="C91" s="104"/>
      <c r="D91" s="104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</row>
    <row r="92" spans="2:35" ht="22.95" customHeight="1">
      <c r="C92" s="104"/>
      <c r="D92" s="104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</row>
    <row r="93" spans="2:35" ht="22.95" customHeight="1">
      <c r="C93" s="104"/>
      <c r="D93" s="104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</row>
    <row r="94" spans="2:35" ht="22.95" customHeight="1">
      <c r="C94" s="104"/>
      <c r="D94" s="104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</row>
    <row r="95" spans="2:35" ht="22.95" customHeight="1"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zoomScale="85" zoomScaleNormal="85" zoomScalePageLayoutView="125" workbookViewId="0">
      <selection activeCell="B1" sqref="B1:J42"/>
    </sheetView>
  </sheetViews>
  <sheetFormatPr baseColWidth="10" defaultColWidth="10.54296875" defaultRowHeight="22.95" customHeight="1"/>
  <cols>
    <col min="1" max="2" width="3.1796875" style="97" customWidth="1"/>
    <col min="3" max="3" width="13.54296875" style="97" customWidth="1"/>
    <col min="4" max="4" width="14.453125" style="97" customWidth="1"/>
    <col min="5" max="5" width="26.81640625" style="98" customWidth="1"/>
    <col min="6" max="9" width="13.453125" style="98" customWidth="1"/>
    <col min="10" max="10" width="3.453125" style="97" customWidth="1"/>
    <col min="11" max="16384" width="10.54296875" style="97"/>
  </cols>
  <sheetData>
    <row r="2" spans="2:25" ht="22.95" customHeight="1">
      <c r="D2" s="209" t="s">
        <v>477</v>
      </c>
    </row>
    <row r="3" spans="2:25" ht="22.95" customHeight="1">
      <c r="D3" s="209" t="s">
        <v>478</v>
      </c>
    </row>
    <row r="4" spans="2:25" ht="22.95" customHeight="1" thickBot="1"/>
    <row r="5" spans="2:25" ht="9" customHeight="1">
      <c r="B5" s="99"/>
      <c r="C5" s="100"/>
      <c r="D5" s="100"/>
      <c r="E5" s="101"/>
      <c r="F5" s="101"/>
      <c r="G5" s="101"/>
      <c r="H5" s="101"/>
      <c r="I5" s="101"/>
      <c r="J5" s="102"/>
      <c r="L5" s="377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9"/>
    </row>
    <row r="6" spans="2:25" ht="30" customHeight="1">
      <c r="B6" s="103"/>
      <c r="C6" s="67" t="s">
        <v>97</v>
      </c>
      <c r="D6" s="104"/>
      <c r="E6" s="105"/>
      <c r="F6" s="105"/>
      <c r="G6" s="105"/>
      <c r="H6" s="105"/>
      <c r="I6" s="984">
        <f>ejercicio</f>
        <v>2018</v>
      </c>
      <c r="J6" s="106"/>
      <c r="L6" s="380"/>
      <c r="M6" s="381" t="s">
        <v>810</v>
      </c>
      <c r="N6" s="382"/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3"/>
    </row>
    <row r="7" spans="2:25" ht="30" customHeight="1">
      <c r="B7" s="103"/>
      <c r="C7" s="67" t="s">
        <v>98</v>
      </c>
      <c r="D7" s="104"/>
      <c r="E7" s="105"/>
      <c r="F7" s="105"/>
      <c r="G7" s="105"/>
      <c r="H7" s="105"/>
      <c r="I7" s="984"/>
      <c r="J7" s="106"/>
      <c r="L7" s="380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3"/>
    </row>
    <row r="8" spans="2:25" ht="30" customHeight="1">
      <c r="B8" s="103"/>
      <c r="C8" s="107"/>
      <c r="D8" s="104"/>
      <c r="E8" s="105"/>
      <c r="F8" s="105"/>
      <c r="G8" s="105"/>
      <c r="H8" s="105"/>
      <c r="I8" s="108"/>
      <c r="J8" s="106"/>
      <c r="L8" s="380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2"/>
      <c r="X8" s="382"/>
      <c r="Y8" s="383"/>
    </row>
    <row r="9" spans="2:25" s="184" customFormat="1" ht="30" customHeight="1">
      <c r="B9" s="182"/>
      <c r="C9" s="40" t="s">
        <v>99</v>
      </c>
      <c r="D9" s="1004" t="str">
        <f>Entidad</f>
        <v>INSTITUTO TECNOLÓGICO Y DE ENERGÍAS RENOVALBES S.A. (ITER)</v>
      </c>
      <c r="E9" s="1004"/>
      <c r="F9" s="1004"/>
      <c r="G9" s="1004"/>
      <c r="H9" s="1004"/>
      <c r="I9" s="1004"/>
      <c r="J9" s="183"/>
      <c r="L9" s="380"/>
      <c r="M9" s="382"/>
      <c r="N9" s="382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3"/>
    </row>
    <row r="10" spans="2:25" ht="7.2" customHeight="1">
      <c r="B10" s="103"/>
      <c r="C10" s="104"/>
      <c r="D10" s="104"/>
      <c r="E10" s="105"/>
      <c r="F10" s="105"/>
      <c r="G10" s="105"/>
      <c r="H10" s="105"/>
      <c r="I10" s="105"/>
      <c r="J10" s="106"/>
      <c r="L10" s="380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2"/>
      <c r="X10" s="382"/>
      <c r="Y10" s="383"/>
    </row>
    <row r="11" spans="2:25" s="115" customFormat="1" ht="30" customHeight="1">
      <c r="B11" s="111"/>
      <c r="C11" s="112" t="s">
        <v>554</v>
      </c>
      <c r="D11" s="112"/>
      <c r="E11" s="113"/>
      <c r="F11" s="113"/>
      <c r="G11" s="113"/>
      <c r="H11" s="113"/>
      <c r="I11" s="113"/>
      <c r="J11" s="114"/>
      <c r="L11" s="380"/>
      <c r="M11" s="382"/>
      <c r="N11" s="382"/>
      <c r="O11" s="382"/>
      <c r="P11" s="382"/>
      <c r="Q11" s="382"/>
      <c r="R11" s="382"/>
      <c r="S11" s="382"/>
      <c r="T11" s="382"/>
      <c r="U11" s="382"/>
      <c r="V11" s="382"/>
      <c r="W11" s="382"/>
      <c r="X11" s="382"/>
      <c r="Y11" s="383"/>
    </row>
    <row r="12" spans="2:25" s="115" customFormat="1" ht="30" customHeight="1">
      <c r="B12" s="111"/>
      <c r="C12" s="1043"/>
      <c r="D12" s="1043"/>
      <c r="E12" s="96"/>
      <c r="F12" s="96"/>
      <c r="G12" s="96"/>
      <c r="H12" s="96"/>
      <c r="I12" s="96"/>
      <c r="J12" s="114"/>
      <c r="L12" s="380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3"/>
    </row>
    <row r="13" spans="2:25" s="115" customFormat="1" ht="16.2" customHeight="1">
      <c r="B13" s="111"/>
      <c r="C13" s="214"/>
      <c r="D13" s="217"/>
      <c r="E13" s="218"/>
      <c r="F13" s="215" t="s">
        <v>556</v>
      </c>
      <c r="G13" s="1069" t="s">
        <v>561</v>
      </c>
      <c r="H13" s="1070"/>
      <c r="I13" s="1071"/>
      <c r="J13" s="114"/>
      <c r="L13" s="380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2"/>
      <c r="X13" s="382"/>
      <c r="Y13" s="383"/>
    </row>
    <row r="14" spans="2:25" s="115" customFormat="1" ht="16.2" customHeight="1">
      <c r="B14" s="111"/>
      <c r="C14" s="216"/>
      <c r="D14" s="219"/>
      <c r="E14" s="220"/>
      <c r="F14" s="200" t="s">
        <v>557</v>
      </c>
      <c r="G14" s="215" t="s">
        <v>558</v>
      </c>
      <c r="H14" s="215" t="s">
        <v>559</v>
      </c>
      <c r="I14" s="215" t="s">
        <v>560</v>
      </c>
      <c r="J14" s="114"/>
      <c r="L14" s="380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2"/>
      <c r="Y14" s="383"/>
    </row>
    <row r="15" spans="2:25" s="184" customFormat="1" ht="16.2" customHeight="1">
      <c r="B15" s="182"/>
      <c r="C15" s="1072" t="s">
        <v>555</v>
      </c>
      <c r="D15" s="1073"/>
      <c r="E15" s="1074"/>
      <c r="F15" s="195">
        <f>ejercicio</f>
        <v>2018</v>
      </c>
      <c r="G15" s="195">
        <f>ejercicio+1</f>
        <v>2019</v>
      </c>
      <c r="H15" s="195">
        <f>ejercicio+1</f>
        <v>2019</v>
      </c>
      <c r="I15" s="195">
        <f>ejercicio+1</f>
        <v>2019</v>
      </c>
      <c r="J15" s="183"/>
      <c r="L15" s="380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2"/>
      <c r="Y15" s="383"/>
    </row>
    <row r="16" spans="2:25" s="184" customFormat="1" ht="7.95" customHeight="1">
      <c r="B16" s="182"/>
      <c r="C16" s="67"/>
      <c r="D16" s="67"/>
      <c r="E16" s="181"/>
      <c r="F16" s="181"/>
      <c r="G16" s="181"/>
      <c r="H16" s="181"/>
      <c r="I16" s="181"/>
      <c r="J16" s="183"/>
      <c r="L16" s="380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2"/>
      <c r="X16" s="382"/>
      <c r="Y16" s="383"/>
    </row>
    <row r="17" spans="1:25" s="120" customFormat="1" ht="22.95" customHeight="1" thickBot="1">
      <c r="A17" s="184"/>
      <c r="B17" s="182"/>
      <c r="C17" s="157" t="s">
        <v>562</v>
      </c>
      <c r="D17" s="158"/>
      <c r="E17" s="223"/>
      <c r="F17" s="483">
        <v>4806946.09</v>
      </c>
      <c r="G17" s="948">
        <f>+[1]Banesto!C64</f>
        <v>107485.19148341235</v>
      </c>
      <c r="H17" s="949">
        <f>+[1]Banesto!C65+'[1]Caixa NAP'!J15</f>
        <v>164344.58514202473</v>
      </c>
      <c r="I17" s="950">
        <f>+[1]Banesto!C66</f>
        <v>107717.84353896073</v>
      </c>
      <c r="J17" s="118"/>
      <c r="L17" s="380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2"/>
      <c r="X17" s="382"/>
      <c r="Y17" s="383"/>
    </row>
    <row r="18" spans="1:25" s="120" customFormat="1" ht="9" customHeight="1">
      <c r="A18" s="184"/>
      <c r="B18" s="182"/>
      <c r="C18" s="32"/>
      <c r="D18" s="32"/>
      <c r="E18" s="32"/>
      <c r="F18" s="226"/>
      <c r="G18" s="227"/>
      <c r="H18" s="228"/>
      <c r="I18" s="229"/>
      <c r="J18" s="118"/>
      <c r="L18" s="380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  <c r="X18" s="382"/>
      <c r="Y18" s="383"/>
    </row>
    <row r="19" spans="1:25" s="120" customFormat="1" ht="22.95" customHeight="1" thickBot="1">
      <c r="A19" s="184"/>
      <c r="B19" s="182"/>
      <c r="C19" s="157" t="s">
        <v>387</v>
      </c>
      <c r="D19" s="158"/>
      <c r="E19" s="223"/>
      <c r="F19" s="127">
        <f>SUM(F20:F24)</f>
        <v>39559521.719999999</v>
      </c>
      <c r="G19" s="221">
        <f>SUM(G20:G24)</f>
        <v>0</v>
      </c>
      <c r="H19" s="222">
        <f>SUM(H20:H24)</f>
        <v>0</v>
      </c>
      <c r="I19" s="230">
        <f>SUM(I20:I24)</f>
        <v>0</v>
      </c>
      <c r="J19" s="118"/>
      <c r="L19" s="380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2"/>
      <c r="X19" s="382"/>
      <c r="Y19" s="383"/>
    </row>
    <row r="20" spans="1:25" s="120" customFormat="1" ht="22.95" customHeight="1">
      <c r="B20" s="117"/>
      <c r="C20" s="177" t="s">
        <v>563</v>
      </c>
      <c r="D20" s="178"/>
      <c r="E20" s="180"/>
      <c r="F20" s="471"/>
      <c r="G20" s="484"/>
      <c r="H20" s="450"/>
      <c r="I20" s="527"/>
      <c r="J20" s="118"/>
      <c r="L20" s="380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3"/>
    </row>
    <row r="21" spans="1:25" s="120" customFormat="1" ht="22.95" customHeight="1">
      <c r="B21" s="117"/>
      <c r="C21" s="177" t="s">
        <v>564</v>
      </c>
      <c r="D21" s="178"/>
      <c r="E21" s="180"/>
      <c r="F21" s="471">
        <v>39511842.329999998</v>
      </c>
      <c r="G21" s="484"/>
      <c r="H21" s="450"/>
      <c r="I21" s="527"/>
      <c r="J21" s="118"/>
      <c r="L21" s="380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2"/>
      <c r="X21" s="382"/>
      <c r="Y21" s="383"/>
    </row>
    <row r="22" spans="1:25" s="120" customFormat="1" ht="22.95" customHeight="1">
      <c r="B22" s="117"/>
      <c r="C22" s="177" t="s">
        <v>565</v>
      </c>
      <c r="D22" s="178"/>
      <c r="E22" s="180"/>
      <c r="F22" s="471"/>
      <c r="G22" s="484"/>
      <c r="H22" s="450"/>
      <c r="I22" s="527"/>
      <c r="J22" s="118"/>
      <c r="L22" s="380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2"/>
      <c r="X22" s="382"/>
      <c r="Y22" s="383"/>
    </row>
    <row r="23" spans="1:25" ht="22.95" customHeight="1">
      <c r="B23" s="117"/>
      <c r="C23" s="153" t="s">
        <v>566</v>
      </c>
      <c r="D23" s="154"/>
      <c r="E23" s="172"/>
      <c r="F23" s="472"/>
      <c r="G23" s="485"/>
      <c r="H23" s="443"/>
      <c r="I23" s="528"/>
      <c r="J23" s="106"/>
      <c r="L23" s="380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3"/>
    </row>
    <row r="24" spans="1:25" ht="22.95" customHeight="1">
      <c r="B24" s="117"/>
      <c r="C24" s="155" t="s">
        <v>567</v>
      </c>
      <c r="D24" s="156"/>
      <c r="E24" s="173"/>
      <c r="F24" s="474">
        <v>47679.39</v>
      </c>
      <c r="G24" s="486"/>
      <c r="H24" s="447"/>
      <c r="I24" s="529"/>
      <c r="J24" s="106"/>
      <c r="L24" s="380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2"/>
      <c r="X24" s="382"/>
      <c r="Y24" s="383"/>
    </row>
    <row r="25" spans="1:25" ht="7.95" customHeight="1">
      <c r="B25" s="103"/>
      <c r="C25" s="1048"/>
      <c r="D25" s="1048"/>
      <c r="E25" s="1048"/>
      <c r="F25" s="1048"/>
      <c r="G25" s="1048"/>
      <c r="H25" s="1048"/>
      <c r="I25" s="1048"/>
      <c r="J25" s="106"/>
      <c r="L25" s="380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2"/>
      <c r="Y25" s="383"/>
    </row>
    <row r="26" spans="1:25" s="120" customFormat="1" ht="22.95" customHeight="1" thickBot="1">
      <c r="A26" s="184"/>
      <c r="B26" s="182"/>
      <c r="C26" s="157" t="s">
        <v>568</v>
      </c>
      <c r="D26" s="158"/>
      <c r="E26" s="223"/>
      <c r="F26" s="127">
        <f>+SUM(F27:F28)</f>
        <v>0</v>
      </c>
      <c r="G26" s="221">
        <f>SUM(G27:G28)</f>
        <v>0</v>
      </c>
      <c r="H26" s="222">
        <f>SUM(H27:H28)</f>
        <v>0</v>
      </c>
      <c r="I26" s="230">
        <f>SUM(I27:I28)</f>
        <v>0</v>
      </c>
      <c r="J26" s="118"/>
      <c r="L26" s="380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2"/>
      <c r="X26" s="382"/>
      <c r="Y26" s="383"/>
    </row>
    <row r="27" spans="1:25" s="120" customFormat="1" ht="22.95" customHeight="1">
      <c r="B27" s="117"/>
      <c r="C27" s="177" t="s">
        <v>569</v>
      </c>
      <c r="D27" s="178"/>
      <c r="E27" s="180"/>
      <c r="F27" s="471"/>
      <c r="G27" s="530"/>
      <c r="H27" s="531"/>
      <c r="I27" s="527"/>
      <c r="J27" s="118"/>
      <c r="L27" s="380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2"/>
      <c r="X27" s="382"/>
      <c r="Y27" s="383"/>
    </row>
    <row r="28" spans="1:25" ht="22.95" customHeight="1">
      <c r="B28" s="117"/>
      <c r="C28" s="155" t="s">
        <v>570</v>
      </c>
      <c r="D28" s="156"/>
      <c r="E28" s="173"/>
      <c r="F28" s="474"/>
      <c r="G28" s="532"/>
      <c r="H28" s="533"/>
      <c r="I28" s="534"/>
      <c r="J28" s="106"/>
      <c r="L28" s="380"/>
      <c r="M28" s="382"/>
      <c r="N28" s="382"/>
      <c r="O28" s="382"/>
      <c r="P28" s="382"/>
      <c r="Q28" s="382"/>
      <c r="R28" s="382"/>
      <c r="S28" s="382"/>
      <c r="T28" s="382"/>
      <c r="U28" s="382"/>
      <c r="V28" s="382"/>
      <c r="W28" s="382"/>
      <c r="X28" s="382"/>
      <c r="Y28" s="383"/>
    </row>
    <row r="29" spans="1:25" ht="7.95" customHeight="1">
      <c r="B29" s="103"/>
      <c r="C29" s="1048"/>
      <c r="D29" s="1048"/>
      <c r="E29" s="1048"/>
      <c r="F29" s="1048"/>
      <c r="G29" s="1048"/>
      <c r="H29" s="1048"/>
      <c r="I29" s="1048"/>
      <c r="J29" s="106"/>
      <c r="L29" s="380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2"/>
      <c r="X29" s="382"/>
      <c r="Y29" s="383"/>
    </row>
    <row r="30" spans="1:25" ht="22.95" customHeight="1" thickBot="1">
      <c r="B30" s="117"/>
      <c r="C30" s="157" t="s">
        <v>571</v>
      </c>
      <c r="D30" s="158"/>
      <c r="E30" s="223"/>
      <c r="F30" s="127">
        <f>SUM(F31:F32)</f>
        <v>0</v>
      </c>
      <c r="G30" s="221">
        <f>SUM(G31:G32)</f>
        <v>0</v>
      </c>
      <c r="H30" s="222">
        <f>SUM(H31:H32)</f>
        <v>0</v>
      </c>
      <c r="I30" s="230">
        <f>SUM(I31:I32)</f>
        <v>0</v>
      </c>
      <c r="J30" s="106"/>
      <c r="L30" s="380"/>
      <c r="M30" s="382"/>
      <c r="N30" s="382"/>
      <c r="O30" s="382"/>
      <c r="P30" s="382"/>
      <c r="Q30" s="382"/>
      <c r="R30" s="382"/>
      <c r="S30" s="382"/>
      <c r="T30" s="382"/>
      <c r="U30" s="382"/>
      <c r="V30" s="382"/>
      <c r="W30" s="382"/>
      <c r="X30" s="382"/>
      <c r="Y30" s="383"/>
    </row>
    <row r="31" spans="1:25" ht="22.95" customHeight="1">
      <c r="B31" s="117"/>
      <c r="C31" s="177" t="s">
        <v>569</v>
      </c>
      <c r="D31" s="178"/>
      <c r="E31" s="180"/>
      <c r="F31" s="471"/>
      <c r="G31" s="535"/>
      <c r="H31" s="536"/>
      <c r="I31" s="537"/>
      <c r="J31" s="106"/>
      <c r="L31" s="380"/>
      <c r="M31" s="382"/>
      <c r="N31" s="382"/>
      <c r="O31" s="382"/>
      <c r="P31" s="382"/>
      <c r="Q31" s="382"/>
      <c r="R31" s="382"/>
      <c r="S31" s="382"/>
      <c r="T31" s="382"/>
      <c r="U31" s="382"/>
      <c r="V31" s="382"/>
      <c r="W31" s="382"/>
      <c r="X31" s="382"/>
      <c r="Y31" s="383"/>
    </row>
    <row r="32" spans="1:25" ht="22.95" customHeight="1">
      <c r="B32" s="117"/>
      <c r="C32" s="155" t="s">
        <v>570</v>
      </c>
      <c r="D32" s="156"/>
      <c r="E32" s="173"/>
      <c r="F32" s="474"/>
      <c r="G32" s="532"/>
      <c r="H32" s="533"/>
      <c r="I32" s="534"/>
      <c r="J32" s="106"/>
      <c r="L32" s="380"/>
      <c r="M32" s="382"/>
      <c r="N32" s="382"/>
      <c r="O32" s="382"/>
      <c r="P32" s="382"/>
      <c r="Q32" s="382"/>
      <c r="R32" s="382"/>
      <c r="S32" s="382"/>
      <c r="T32" s="382"/>
      <c r="U32" s="382"/>
      <c r="V32" s="382"/>
      <c r="W32" s="382"/>
      <c r="X32" s="382"/>
      <c r="Y32" s="383"/>
    </row>
    <row r="33" spans="2:25" ht="22.95" customHeight="1">
      <c r="B33" s="117"/>
      <c r="C33" s="209"/>
      <c r="D33" s="209"/>
      <c r="E33" s="210"/>
      <c r="F33" s="211"/>
      <c r="G33" s="210"/>
      <c r="H33" s="210"/>
      <c r="I33" s="212"/>
      <c r="J33" s="106"/>
      <c r="L33" s="380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2"/>
      <c r="X33" s="382"/>
      <c r="Y33" s="383"/>
    </row>
    <row r="34" spans="2:25" ht="22.95" customHeight="1">
      <c r="B34" s="117"/>
      <c r="C34" s="166" t="s">
        <v>514</v>
      </c>
      <c r="D34" s="164"/>
      <c r="E34" s="165"/>
      <c r="F34" s="165"/>
      <c r="G34" s="165"/>
      <c r="H34" s="165"/>
      <c r="I34" s="96"/>
      <c r="J34" s="106"/>
      <c r="L34" s="380"/>
      <c r="M34" s="382"/>
      <c r="N34" s="382"/>
      <c r="O34" s="382"/>
      <c r="P34" s="382"/>
      <c r="Q34" s="382"/>
      <c r="R34" s="382"/>
      <c r="S34" s="382"/>
      <c r="T34" s="382"/>
      <c r="U34" s="382"/>
      <c r="V34" s="382"/>
      <c r="W34" s="382"/>
      <c r="X34" s="382"/>
      <c r="Y34" s="383"/>
    </row>
    <row r="35" spans="2:25" ht="17.399999999999999">
      <c r="B35" s="117"/>
      <c r="C35" s="225" t="s">
        <v>572</v>
      </c>
      <c r="D35" s="164"/>
      <c r="E35" s="165"/>
      <c r="F35" s="165"/>
      <c r="G35" s="165"/>
      <c r="H35" s="165"/>
      <c r="I35" s="96"/>
      <c r="J35" s="106"/>
      <c r="L35" s="380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2"/>
      <c r="X35" s="382"/>
      <c r="Y35" s="383"/>
    </row>
    <row r="36" spans="2:25" ht="22.95" customHeight="1" thickBot="1">
      <c r="B36" s="121"/>
      <c r="C36" s="1003"/>
      <c r="D36" s="1003"/>
      <c r="E36" s="1003"/>
      <c r="F36" s="1003"/>
      <c r="G36" s="53"/>
      <c r="H36" s="53"/>
      <c r="I36" s="122"/>
      <c r="J36" s="123"/>
      <c r="L36" s="396"/>
      <c r="M36" s="397"/>
      <c r="N36" s="397"/>
      <c r="O36" s="397"/>
      <c r="P36" s="397"/>
      <c r="Q36" s="397"/>
      <c r="R36" s="397"/>
      <c r="S36" s="397"/>
      <c r="T36" s="397"/>
      <c r="U36" s="397"/>
      <c r="V36" s="397"/>
      <c r="W36" s="397"/>
      <c r="X36" s="397"/>
      <c r="Y36" s="398"/>
    </row>
    <row r="37" spans="2:25" ht="22.95" customHeight="1">
      <c r="C37" s="104"/>
      <c r="D37" s="104"/>
      <c r="E37" s="105"/>
      <c r="F37" s="105"/>
      <c r="G37" s="105"/>
      <c r="H37" s="105"/>
      <c r="I37" s="105"/>
    </row>
    <row r="38" spans="2:25" ht="13.2">
      <c r="C38" s="124" t="s">
        <v>174</v>
      </c>
      <c r="D38" s="104"/>
      <c r="E38" s="105"/>
      <c r="F38" s="105"/>
      <c r="G38" s="105"/>
      <c r="H38" s="105"/>
      <c r="I38" s="95" t="s">
        <v>155</v>
      </c>
    </row>
    <row r="39" spans="2:25" ht="13.2">
      <c r="C39" s="125" t="s">
        <v>175</v>
      </c>
      <c r="D39" s="104"/>
      <c r="E39" s="105"/>
      <c r="F39" s="105"/>
      <c r="G39" s="105"/>
      <c r="H39" s="105"/>
      <c r="I39" s="105"/>
    </row>
    <row r="40" spans="2:25" ht="13.2">
      <c r="C40" s="125" t="s">
        <v>176</v>
      </c>
      <c r="D40" s="104"/>
      <c r="E40" s="105"/>
      <c r="F40" s="105"/>
      <c r="G40" s="105"/>
      <c r="H40" s="105"/>
      <c r="I40" s="105"/>
    </row>
    <row r="41" spans="2:25" ht="13.2">
      <c r="C41" s="125" t="s">
        <v>177</v>
      </c>
      <c r="D41" s="104"/>
      <c r="E41" s="105"/>
      <c r="F41" s="105"/>
      <c r="G41" s="105"/>
      <c r="H41" s="105"/>
      <c r="I41" s="105"/>
    </row>
    <row r="42" spans="2:25" ht="13.2">
      <c r="C42" s="125" t="s">
        <v>178</v>
      </c>
      <c r="D42" s="104"/>
      <c r="E42" s="105"/>
      <c r="F42" s="105"/>
      <c r="G42" s="105"/>
      <c r="H42" s="105"/>
      <c r="I42" s="105"/>
    </row>
    <row r="43" spans="2:25" ht="22.95" customHeight="1">
      <c r="C43" s="104"/>
      <c r="D43" s="104"/>
      <c r="E43" s="105"/>
      <c r="F43" s="105"/>
      <c r="G43" s="105"/>
      <c r="H43" s="105"/>
      <c r="I43" s="105"/>
    </row>
    <row r="44" spans="2:25" ht="22.95" customHeight="1">
      <c r="C44" s="104"/>
      <c r="D44" s="104"/>
      <c r="E44" s="105"/>
      <c r="F44" s="105"/>
      <c r="G44" s="105"/>
      <c r="H44" s="105"/>
      <c r="I44" s="105"/>
    </row>
    <row r="45" spans="2:25" ht="22.95" customHeight="1">
      <c r="C45" s="104"/>
      <c r="D45" s="104"/>
      <c r="E45" s="105"/>
      <c r="F45" s="105"/>
      <c r="G45" s="105"/>
      <c r="H45" s="105"/>
      <c r="I45" s="105"/>
    </row>
    <row r="46" spans="2:25" ht="22.95" customHeight="1">
      <c r="C46" s="104"/>
      <c r="D46" s="104"/>
      <c r="E46" s="105"/>
      <c r="F46" s="105"/>
      <c r="G46" s="105"/>
      <c r="H46" s="105"/>
      <c r="I46" s="105"/>
    </row>
    <row r="47" spans="2:25" ht="22.95" customHeight="1">
      <c r="F47" s="105"/>
      <c r="G47" s="105"/>
      <c r="H47" s="105"/>
      <c r="I47" s="105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19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="70" zoomScaleNormal="70" zoomScalePageLayoutView="125" workbookViewId="0">
      <selection activeCell="B1" sqref="B1:O30"/>
    </sheetView>
  </sheetViews>
  <sheetFormatPr baseColWidth="10" defaultColWidth="10.54296875" defaultRowHeight="22.95" customHeight="1"/>
  <cols>
    <col min="1" max="2" width="3.1796875" style="97" customWidth="1"/>
    <col min="3" max="3" width="13.54296875" style="97" customWidth="1"/>
    <col min="4" max="4" width="33.453125" style="97" customWidth="1"/>
    <col min="5" max="14" width="13.453125" style="98" customWidth="1"/>
    <col min="15" max="15" width="3.453125" style="97" customWidth="1"/>
    <col min="16" max="16384" width="10.54296875" style="97"/>
  </cols>
  <sheetData>
    <row r="2" spans="2:30" ht="22.95" customHeight="1">
      <c r="D2" s="209" t="s">
        <v>477</v>
      </c>
    </row>
    <row r="3" spans="2:30" ht="22.95" customHeight="1">
      <c r="D3" s="209" t="s">
        <v>478</v>
      </c>
    </row>
    <row r="4" spans="2:30" ht="22.95" customHeight="1" thickBot="1"/>
    <row r="5" spans="2:30" ht="9" customHeight="1">
      <c r="B5" s="99"/>
      <c r="C5" s="100"/>
      <c r="D5" s="100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2"/>
      <c r="Q5" s="402"/>
      <c r="R5" s="403"/>
      <c r="S5" s="403"/>
      <c r="T5" s="403"/>
      <c r="U5" s="403"/>
      <c r="V5" s="403"/>
      <c r="W5" s="403"/>
      <c r="X5" s="403"/>
      <c r="Y5" s="403"/>
      <c r="Z5" s="403"/>
      <c r="AA5" s="403"/>
      <c r="AB5" s="403"/>
      <c r="AC5" s="403"/>
      <c r="AD5" s="404"/>
    </row>
    <row r="6" spans="2:30" ht="30" customHeight="1">
      <c r="B6" s="103"/>
      <c r="C6" s="67" t="s">
        <v>97</v>
      </c>
      <c r="D6" s="104"/>
      <c r="E6" s="105"/>
      <c r="F6" s="105"/>
      <c r="G6" s="105"/>
      <c r="H6" s="105"/>
      <c r="I6" s="105"/>
      <c r="J6" s="105"/>
      <c r="K6" s="105"/>
      <c r="L6" s="105"/>
      <c r="M6" s="105"/>
      <c r="N6" s="984">
        <f>ejercicio</f>
        <v>2018</v>
      </c>
      <c r="O6" s="106"/>
      <c r="Q6" s="405"/>
      <c r="R6" s="406" t="s">
        <v>810</v>
      </c>
      <c r="S6" s="406"/>
      <c r="T6" s="406"/>
      <c r="U6" s="406"/>
      <c r="V6" s="407"/>
      <c r="W6" s="407"/>
      <c r="X6" s="407"/>
      <c r="Y6" s="407"/>
      <c r="Z6" s="407"/>
      <c r="AA6" s="407"/>
      <c r="AB6" s="407"/>
      <c r="AC6" s="407"/>
      <c r="AD6" s="408"/>
    </row>
    <row r="7" spans="2:30" ht="30" customHeight="1">
      <c r="B7" s="103"/>
      <c r="C7" s="67" t="s">
        <v>98</v>
      </c>
      <c r="D7" s="104"/>
      <c r="E7" s="105"/>
      <c r="F7" s="105"/>
      <c r="G7" s="105"/>
      <c r="H7" s="105"/>
      <c r="I7" s="105"/>
      <c r="J7" s="105"/>
      <c r="K7" s="105"/>
      <c r="L7" s="105"/>
      <c r="M7" s="105"/>
      <c r="N7" s="984"/>
      <c r="O7" s="106"/>
      <c r="Q7" s="405"/>
      <c r="R7" s="407"/>
      <c r="S7" s="407"/>
      <c r="T7" s="407"/>
      <c r="U7" s="407"/>
      <c r="V7" s="407"/>
      <c r="W7" s="407"/>
      <c r="X7" s="407"/>
      <c r="Y7" s="407"/>
      <c r="Z7" s="407"/>
      <c r="AA7" s="407"/>
      <c r="AB7" s="407"/>
      <c r="AC7" s="407"/>
      <c r="AD7" s="408"/>
    </row>
    <row r="8" spans="2:30" ht="30" customHeight="1">
      <c r="B8" s="103"/>
      <c r="C8" s="107"/>
      <c r="D8" s="104"/>
      <c r="E8" s="105"/>
      <c r="F8" s="105"/>
      <c r="G8" s="105"/>
      <c r="H8" s="105"/>
      <c r="I8" s="105"/>
      <c r="J8" s="105"/>
      <c r="K8" s="105"/>
      <c r="L8" s="105"/>
      <c r="M8" s="105"/>
      <c r="N8" s="108"/>
      <c r="O8" s="106"/>
      <c r="Q8" s="405"/>
      <c r="R8" s="407"/>
      <c r="S8" s="407"/>
      <c r="T8" s="407"/>
      <c r="U8" s="407"/>
      <c r="V8" s="407"/>
      <c r="W8" s="407"/>
      <c r="X8" s="407"/>
      <c r="Y8" s="407"/>
      <c r="Z8" s="407"/>
      <c r="AA8" s="407"/>
      <c r="AB8" s="407"/>
      <c r="AC8" s="407"/>
      <c r="AD8" s="408"/>
    </row>
    <row r="9" spans="2:30" s="184" customFormat="1" ht="30" customHeight="1">
      <c r="B9" s="182"/>
      <c r="C9" s="40" t="s">
        <v>99</v>
      </c>
      <c r="D9" s="1004" t="str">
        <f>Entidad</f>
        <v>INSTITUTO TECNOLÓGICO Y DE ENERGÍAS RENOVALBES S.A. (ITER)</v>
      </c>
      <c r="E9" s="1004"/>
      <c r="F9" s="1004"/>
      <c r="G9" s="1004"/>
      <c r="H9" s="1004"/>
      <c r="I9" s="1004"/>
      <c r="J9" s="1004"/>
      <c r="K9" s="1004"/>
      <c r="L9" s="1004"/>
      <c r="M9" s="1004"/>
      <c r="N9" s="1004"/>
      <c r="O9" s="183"/>
      <c r="Q9" s="405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2" customHeight="1">
      <c r="B10" s="103"/>
      <c r="C10" s="104"/>
      <c r="D10" s="104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6"/>
      <c r="Q10" s="405"/>
      <c r="R10" s="407"/>
      <c r="S10" s="407"/>
      <c r="T10" s="407"/>
      <c r="U10" s="407"/>
      <c r="V10" s="407"/>
      <c r="W10" s="407"/>
      <c r="X10" s="407"/>
      <c r="Y10" s="407"/>
      <c r="Z10" s="407"/>
      <c r="AA10" s="407"/>
      <c r="AB10" s="407"/>
      <c r="AC10" s="407"/>
      <c r="AD10" s="408"/>
    </row>
    <row r="11" spans="2:30" s="115" customFormat="1" ht="30" customHeight="1">
      <c r="B11" s="111"/>
      <c r="C11" s="112" t="s">
        <v>574</v>
      </c>
      <c r="D11" s="112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4"/>
      <c r="Q11" s="405"/>
      <c r="R11" s="407"/>
      <c r="S11" s="407"/>
      <c r="T11" s="407"/>
      <c r="U11" s="407"/>
      <c r="V11" s="407"/>
      <c r="W11" s="407"/>
      <c r="X11" s="407"/>
      <c r="Y11" s="407"/>
      <c r="Z11" s="407"/>
      <c r="AA11" s="407"/>
      <c r="AB11" s="407"/>
      <c r="AC11" s="407"/>
      <c r="AD11" s="408"/>
    </row>
    <row r="12" spans="2:30" s="115" customFormat="1" ht="30" customHeight="1">
      <c r="B12" s="111"/>
      <c r="C12" s="1043"/>
      <c r="D12" s="1043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114"/>
      <c r="Q12" s="405"/>
      <c r="R12" s="407"/>
      <c r="S12" s="407"/>
      <c r="T12" s="407"/>
      <c r="U12" s="407"/>
      <c r="V12" s="407"/>
      <c r="W12" s="407"/>
      <c r="X12" s="407"/>
      <c r="Y12" s="407"/>
      <c r="Z12" s="407"/>
      <c r="AA12" s="407"/>
      <c r="AB12" s="407"/>
      <c r="AC12" s="407"/>
      <c r="AD12" s="408"/>
    </row>
    <row r="13" spans="2:30" s="115" customFormat="1" ht="19.2" customHeight="1">
      <c r="B13" s="111"/>
      <c r="C13" s="214"/>
      <c r="D13" s="217"/>
      <c r="E13" s="1075" t="s">
        <v>573</v>
      </c>
      <c r="F13" s="1076"/>
      <c r="G13" s="1076"/>
      <c r="H13" s="1076"/>
      <c r="I13" s="1076"/>
      <c r="J13" s="1076"/>
      <c r="K13" s="1076"/>
      <c r="L13" s="1076"/>
      <c r="M13" s="1076"/>
      <c r="N13" s="1077"/>
      <c r="O13" s="114"/>
      <c r="Q13" s="405"/>
      <c r="R13" s="407"/>
      <c r="S13" s="407"/>
      <c r="T13" s="407"/>
      <c r="U13" s="407"/>
      <c r="V13" s="407"/>
      <c r="W13" s="407"/>
      <c r="X13" s="407"/>
      <c r="Y13" s="407"/>
      <c r="Z13" s="407"/>
      <c r="AA13" s="407"/>
      <c r="AB13" s="407"/>
      <c r="AC13" s="407"/>
      <c r="AD13" s="408"/>
    </row>
    <row r="14" spans="2:30" s="184" customFormat="1" ht="19.2" customHeight="1">
      <c r="B14" s="182"/>
      <c r="C14" s="1072" t="s">
        <v>555</v>
      </c>
      <c r="D14" s="1073"/>
      <c r="E14" s="232">
        <f>ejercicio</f>
        <v>2018</v>
      </c>
      <c r="F14" s="233">
        <f>ejercicio+1</f>
        <v>2019</v>
      </c>
      <c r="G14" s="233">
        <f>ejercicio+2</f>
        <v>2020</v>
      </c>
      <c r="H14" s="233">
        <f>ejercicio+3</f>
        <v>2021</v>
      </c>
      <c r="I14" s="233">
        <f>ejercicio+4</f>
        <v>2022</v>
      </c>
      <c r="J14" s="233">
        <f>ejercicio+5</f>
        <v>2023</v>
      </c>
      <c r="K14" s="233">
        <f>ejercicio+6</f>
        <v>2024</v>
      </c>
      <c r="L14" s="233">
        <f>ejercicio+7</f>
        <v>2025</v>
      </c>
      <c r="M14" s="233">
        <f>ejercicio+8</f>
        <v>2026</v>
      </c>
      <c r="N14" s="234">
        <f>ejercicio+9</f>
        <v>2027</v>
      </c>
      <c r="O14" s="183"/>
      <c r="Q14" s="405"/>
      <c r="R14" s="407"/>
      <c r="S14" s="407"/>
      <c r="T14" s="407"/>
      <c r="U14" s="407"/>
      <c r="V14" s="407"/>
      <c r="W14" s="407"/>
      <c r="X14" s="407"/>
      <c r="Y14" s="407"/>
      <c r="Z14" s="407"/>
      <c r="AA14" s="407"/>
      <c r="AB14" s="407"/>
      <c r="AC14" s="407"/>
      <c r="AD14" s="408"/>
    </row>
    <row r="15" spans="2:30" s="120" customFormat="1" ht="22.95" customHeight="1">
      <c r="B15" s="117"/>
      <c r="C15" s="177" t="s">
        <v>563</v>
      </c>
      <c r="D15" s="178"/>
      <c r="E15" s="438"/>
      <c r="F15" s="439"/>
      <c r="G15" s="439"/>
      <c r="H15" s="439"/>
      <c r="I15" s="439"/>
      <c r="J15" s="439"/>
      <c r="K15" s="439"/>
      <c r="L15" s="439"/>
      <c r="M15" s="439"/>
      <c r="N15" s="865"/>
      <c r="O15" s="118"/>
      <c r="Q15" s="405"/>
      <c r="R15" s="407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8"/>
    </row>
    <row r="16" spans="2:30" s="120" customFormat="1" ht="22.95" customHeight="1">
      <c r="B16" s="117"/>
      <c r="C16" s="177" t="s">
        <v>564</v>
      </c>
      <c r="D16" s="178"/>
      <c r="E16" s="449">
        <v>1395372.0509408133</v>
      </c>
      <c r="F16" s="450">
        <v>4711750.2345253117</v>
      </c>
      <c r="G16" s="450">
        <v>4792863.3710244782</v>
      </c>
      <c r="H16" s="450">
        <v>4875404.0289939651</v>
      </c>
      <c r="I16" s="450">
        <v>4959397.7773413509</v>
      </c>
      <c r="J16" s="450">
        <v>5044870.6491979202</v>
      </c>
      <c r="K16" s="450">
        <v>5089636.6695613889</v>
      </c>
      <c r="L16" s="450">
        <v>4338045.7186158057</v>
      </c>
      <c r="M16" s="450">
        <v>3705540.8109666528</v>
      </c>
      <c r="N16" s="527">
        <v>3770387.7751585697</v>
      </c>
      <c r="O16" s="118"/>
      <c r="Q16" s="405"/>
      <c r="R16" s="407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8"/>
    </row>
    <row r="17" spans="1:30" s="120" customFormat="1" ht="22.95" customHeight="1">
      <c r="B17" s="117"/>
      <c r="C17" s="177" t="s">
        <v>565</v>
      </c>
      <c r="D17" s="178"/>
      <c r="E17" s="449"/>
      <c r="F17" s="450"/>
      <c r="G17" s="450"/>
      <c r="H17" s="450"/>
      <c r="I17" s="450"/>
      <c r="J17" s="450"/>
      <c r="K17" s="450"/>
      <c r="L17" s="450"/>
      <c r="M17" s="450"/>
      <c r="N17" s="527"/>
      <c r="O17" s="118"/>
      <c r="Q17" s="405"/>
      <c r="R17" s="407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8"/>
    </row>
    <row r="18" spans="1:30" ht="22.95" customHeight="1">
      <c r="B18" s="117"/>
      <c r="C18" s="153" t="s">
        <v>566</v>
      </c>
      <c r="D18" s="154"/>
      <c r="E18" s="442"/>
      <c r="F18" s="443"/>
      <c r="G18" s="443"/>
      <c r="H18" s="443"/>
      <c r="I18" s="443"/>
      <c r="J18" s="443"/>
      <c r="K18" s="443"/>
      <c r="L18" s="443"/>
      <c r="M18" s="443"/>
      <c r="N18" s="528"/>
      <c r="O18" s="106"/>
      <c r="Q18" s="405"/>
      <c r="R18" s="407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8"/>
    </row>
    <row r="19" spans="1:30" ht="22.95" customHeight="1">
      <c r="B19" s="117"/>
      <c r="C19" s="155" t="s">
        <v>567</v>
      </c>
      <c r="D19" s="156"/>
      <c r="E19" s="446">
        <v>2196302.9300000002</v>
      </c>
      <c r="F19" s="447">
        <v>122893.06</v>
      </c>
      <c r="G19" s="447">
        <v>47679.41</v>
      </c>
      <c r="H19" s="447"/>
      <c r="I19" s="447"/>
      <c r="J19" s="447"/>
      <c r="K19" s="447"/>
      <c r="L19" s="447"/>
      <c r="M19" s="447"/>
      <c r="N19" s="529"/>
      <c r="O19" s="106"/>
      <c r="Q19" s="405"/>
      <c r="R19" s="407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8"/>
    </row>
    <row r="20" spans="1:30" s="120" customFormat="1" ht="22.95" customHeight="1" thickBot="1">
      <c r="A20" s="184"/>
      <c r="B20" s="182"/>
      <c r="C20" s="157" t="s">
        <v>575</v>
      </c>
      <c r="D20" s="158"/>
      <c r="E20" s="231">
        <f>SUM(E15:E19)</f>
        <v>3591674.9809408132</v>
      </c>
      <c r="F20" s="222">
        <f t="shared" ref="F20:N20" si="0">SUM(F15:F19)</f>
        <v>4834643.2945253113</v>
      </c>
      <c r="G20" s="222">
        <f t="shared" si="0"/>
        <v>4840542.7810244784</v>
      </c>
      <c r="H20" s="222">
        <f t="shared" si="0"/>
        <v>4875404.0289939651</v>
      </c>
      <c r="I20" s="222">
        <f t="shared" si="0"/>
        <v>4959397.7773413509</v>
      </c>
      <c r="J20" s="222">
        <f t="shared" si="0"/>
        <v>5044870.6491979202</v>
      </c>
      <c r="K20" s="222">
        <f t="shared" si="0"/>
        <v>5089636.6695613889</v>
      </c>
      <c r="L20" s="222">
        <f t="shared" si="0"/>
        <v>4338045.7186158057</v>
      </c>
      <c r="M20" s="222">
        <f t="shared" si="0"/>
        <v>3705540.8109666528</v>
      </c>
      <c r="N20" s="230">
        <f t="shared" si="0"/>
        <v>3770387.7751585697</v>
      </c>
      <c r="O20" s="118"/>
      <c r="Q20" s="405"/>
      <c r="R20" s="407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8"/>
    </row>
    <row r="21" spans="1:30" ht="22.95" customHeight="1">
      <c r="B21" s="117"/>
      <c r="C21" s="209"/>
      <c r="D21" s="209"/>
      <c r="E21" s="210"/>
      <c r="F21" s="210"/>
      <c r="G21" s="210"/>
      <c r="H21" s="210"/>
      <c r="I21" s="210"/>
      <c r="J21" s="210"/>
      <c r="K21" s="210"/>
      <c r="L21" s="210"/>
      <c r="M21" s="210"/>
      <c r="N21" s="212"/>
      <c r="O21" s="106"/>
      <c r="Q21" s="405"/>
      <c r="R21" s="407"/>
      <c r="S21" s="407"/>
      <c r="T21" s="407"/>
      <c r="U21" s="407"/>
      <c r="V21" s="407"/>
      <c r="W21" s="407"/>
      <c r="X21" s="407"/>
      <c r="Y21" s="407"/>
      <c r="Z21" s="407"/>
      <c r="AA21" s="407"/>
      <c r="AB21" s="407"/>
      <c r="AC21" s="407"/>
      <c r="AD21" s="408"/>
    </row>
    <row r="22" spans="1:30" ht="22.95" customHeight="1">
      <c r="B22" s="117"/>
      <c r="C22" s="166" t="s">
        <v>48</v>
      </c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96"/>
      <c r="O22" s="106"/>
      <c r="Q22" s="405"/>
      <c r="R22" s="407"/>
      <c r="S22" s="407"/>
      <c r="T22" s="407"/>
      <c r="U22" s="407"/>
      <c r="V22" s="407"/>
      <c r="W22" s="407"/>
      <c r="X22" s="407"/>
      <c r="Y22" s="407"/>
      <c r="Z22" s="407"/>
      <c r="AA22" s="407"/>
      <c r="AB22" s="407"/>
      <c r="AC22" s="407"/>
      <c r="AD22" s="408"/>
    </row>
    <row r="23" spans="1:30" ht="17.399999999999999">
      <c r="B23" s="117"/>
      <c r="C23" s="225" t="s">
        <v>572</v>
      </c>
      <c r="D23" s="164"/>
      <c r="E23" s="165"/>
      <c r="F23" s="165"/>
      <c r="G23" s="165"/>
      <c r="H23" s="165"/>
      <c r="I23" s="165"/>
      <c r="J23" s="165"/>
      <c r="K23" s="165"/>
      <c r="L23" s="165"/>
      <c r="M23" s="165"/>
      <c r="N23" s="96"/>
      <c r="O23" s="106"/>
      <c r="Q23" s="405"/>
      <c r="R23" s="407"/>
      <c r="S23" s="407"/>
      <c r="T23" s="407"/>
      <c r="U23" s="407"/>
      <c r="V23" s="407"/>
      <c r="W23" s="407"/>
      <c r="X23" s="407"/>
      <c r="Y23" s="407"/>
      <c r="Z23" s="407"/>
      <c r="AA23" s="407"/>
      <c r="AB23" s="407"/>
      <c r="AC23" s="407"/>
      <c r="AD23" s="408"/>
    </row>
    <row r="24" spans="1:30" ht="22.95" customHeight="1" thickBot="1">
      <c r="B24" s="121"/>
      <c r="C24" s="1003"/>
      <c r="D24" s="1003"/>
      <c r="E24" s="53"/>
      <c r="F24" s="53"/>
      <c r="G24" s="53"/>
      <c r="H24" s="53"/>
      <c r="I24" s="53"/>
      <c r="J24" s="53"/>
      <c r="K24" s="53"/>
      <c r="L24" s="53"/>
      <c r="M24" s="53"/>
      <c r="N24" s="122"/>
      <c r="O24" s="123"/>
      <c r="Q24" s="399"/>
      <c r="R24" s="400"/>
      <c r="S24" s="400"/>
      <c r="T24" s="400"/>
      <c r="U24" s="400"/>
      <c r="V24" s="400"/>
      <c r="W24" s="400"/>
      <c r="X24" s="400"/>
      <c r="Y24" s="400"/>
      <c r="Z24" s="400"/>
      <c r="AA24" s="400"/>
      <c r="AB24" s="400"/>
      <c r="AC24" s="400"/>
      <c r="AD24" s="401"/>
    </row>
    <row r="25" spans="1:30" ht="22.95" customHeight="1">
      <c r="C25" s="104"/>
      <c r="D25" s="104"/>
      <c r="E25" s="105"/>
      <c r="F25" s="105"/>
      <c r="G25" s="105"/>
      <c r="H25" s="105"/>
      <c r="I25" s="105"/>
      <c r="J25" s="105"/>
      <c r="K25" s="105"/>
      <c r="L25" s="105"/>
      <c r="M25" s="105"/>
      <c r="N25" s="105"/>
    </row>
    <row r="26" spans="1:30" ht="13.2">
      <c r="C26" s="124" t="s">
        <v>174</v>
      </c>
      <c r="D26" s="104"/>
      <c r="E26" s="105"/>
      <c r="F26" s="105"/>
      <c r="G26" s="105"/>
      <c r="H26" s="105"/>
      <c r="I26" s="105"/>
      <c r="J26" s="105"/>
      <c r="K26" s="105"/>
      <c r="L26" s="105"/>
      <c r="M26" s="105"/>
      <c r="N26" s="95" t="s">
        <v>157</v>
      </c>
    </row>
    <row r="27" spans="1:30" ht="13.2">
      <c r="C27" s="125" t="s">
        <v>175</v>
      </c>
      <c r="D27" s="104"/>
      <c r="E27" s="105"/>
      <c r="F27" s="105"/>
      <c r="G27" s="105"/>
      <c r="H27" s="105"/>
      <c r="I27" s="105"/>
      <c r="J27" s="105"/>
      <c r="K27" s="105"/>
      <c r="L27" s="105"/>
      <c r="M27" s="105"/>
      <c r="N27" s="105"/>
    </row>
    <row r="28" spans="1:30" ht="13.2">
      <c r="C28" s="125" t="s">
        <v>176</v>
      </c>
      <c r="D28" s="104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30" ht="13.2">
      <c r="C29" s="125" t="s">
        <v>177</v>
      </c>
      <c r="D29" s="104"/>
      <c r="E29" s="105"/>
      <c r="F29" s="105"/>
      <c r="G29" s="105"/>
      <c r="H29" s="105"/>
      <c r="I29" s="105"/>
      <c r="J29" s="105"/>
      <c r="K29" s="105"/>
      <c r="L29" s="105"/>
      <c r="M29" s="105"/>
      <c r="N29" s="105"/>
    </row>
    <row r="30" spans="1:30" ht="13.2">
      <c r="C30" s="125" t="s">
        <v>178</v>
      </c>
      <c r="D30" s="104"/>
      <c r="E30" s="105"/>
      <c r="F30" s="105"/>
      <c r="G30" s="105"/>
      <c r="H30" s="105"/>
      <c r="I30" s="105"/>
      <c r="J30" s="105"/>
      <c r="K30" s="105"/>
      <c r="L30" s="105"/>
      <c r="M30" s="105"/>
      <c r="N30" s="105"/>
    </row>
    <row r="31" spans="1:30" ht="22.95" customHeight="1">
      <c r="C31" s="104"/>
      <c r="D31" s="104"/>
      <c r="E31" s="105"/>
      <c r="F31" s="105"/>
      <c r="G31" s="105"/>
      <c r="H31" s="105"/>
      <c r="I31" s="105"/>
      <c r="J31" s="105"/>
      <c r="K31" s="105"/>
      <c r="L31" s="105"/>
      <c r="M31" s="105"/>
      <c r="N31" s="105"/>
    </row>
    <row r="32" spans="1:30" ht="22.95" customHeight="1">
      <c r="C32" s="104"/>
      <c r="D32" s="104"/>
      <c r="E32" s="105"/>
      <c r="F32" s="105"/>
      <c r="G32" s="105"/>
      <c r="H32" s="105"/>
      <c r="I32" s="105"/>
      <c r="J32" s="105"/>
      <c r="K32" s="105"/>
      <c r="L32" s="105"/>
      <c r="M32" s="105"/>
      <c r="N32" s="105"/>
    </row>
    <row r="33" spans="3:14" ht="22.95" customHeight="1">
      <c r="C33" s="104"/>
      <c r="D33" s="104"/>
      <c r="E33" s="105"/>
      <c r="F33" s="105"/>
      <c r="G33" s="105"/>
      <c r="H33" s="105"/>
      <c r="I33" s="105"/>
      <c r="J33" s="105"/>
      <c r="K33" s="105"/>
      <c r="L33" s="105"/>
      <c r="M33" s="105"/>
      <c r="N33" s="105"/>
    </row>
    <row r="34" spans="3:14" ht="22.95" customHeight="1">
      <c r="C34" s="104"/>
      <c r="D34" s="104"/>
      <c r="E34" s="105"/>
      <c r="F34" s="105"/>
      <c r="G34" s="105"/>
      <c r="H34" s="105"/>
      <c r="I34" s="105"/>
      <c r="J34" s="105"/>
      <c r="K34" s="105"/>
      <c r="L34" s="105"/>
      <c r="M34" s="105"/>
      <c r="N34" s="105"/>
    </row>
    <row r="35" spans="3:14" ht="22.95" customHeight="1">
      <c r="E35" s="105"/>
      <c r="F35" s="105"/>
      <c r="G35" s="105"/>
      <c r="H35" s="105"/>
      <c r="I35" s="105"/>
      <c r="J35" s="105"/>
      <c r="K35" s="105"/>
      <c r="L35" s="105"/>
      <c r="M35" s="105"/>
      <c r="N35" s="105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6"/>
  <sheetViews>
    <sheetView zoomScale="55" zoomScaleNormal="55" workbookViewId="0">
      <selection activeCell="B1" sqref="B1:K71"/>
    </sheetView>
  </sheetViews>
  <sheetFormatPr baseColWidth="10" defaultColWidth="10.54296875" defaultRowHeight="22.95" customHeight="1"/>
  <cols>
    <col min="1" max="2" width="3.1796875" style="97" customWidth="1"/>
    <col min="3" max="3" width="5.453125" style="97" customWidth="1"/>
    <col min="4" max="4" width="18.81640625" style="97" customWidth="1"/>
    <col min="5" max="5" width="13.453125" style="97" customWidth="1"/>
    <col min="6" max="10" width="18.54296875" style="98" customWidth="1"/>
    <col min="11" max="11" width="3.453125" style="97" customWidth="1"/>
    <col min="12" max="16384" width="10.54296875" style="97"/>
  </cols>
  <sheetData>
    <row r="2" spans="2:26" ht="22.95" customHeight="1">
      <c r="E2" s="209" t="s">
        <v>477</v>
      </c>
    </row>
    <row r="3" spans="2:26" ht="22.95" customHeight="1">
      <c r="E3" s="209" t="s">
        <v>478</v>
      </c>
    </row>
    <row r="4" spans="2:26" ht="22.95" customHeight="1" thickBot="1"/>
    <row r="5" spans="2:26" ht="9" customHeight="1">
      <c r="B5" s="99"/>
      <c r="C5" s="100"/>
      <c r="D5" s="100"/>
      <c r="E5" s="100"/>
      <c r="F5" s="101"/>
      <c r="G5" s="101"/>
      <c r="H5" s="101"/>
      <c r="I5" s="101"/>
      <c r="J5" s="101"/>
      <c r="K5" s="102"/>
      <c r="M5" s="402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4"/>
    </row>
    <row r="6" spans="2:26" ht="30" customHeight="1">
      <c r="B6" s="103"/>
      <c r="C6" s="67" t="s">
        <v>97</v>
      </c>
      <c r="D6" s="104"/>
      <c r="E6" s="105"/>
      <c r="F6" s="105"/>
      <c r="G6" s="105"/>
      <c r="H6" s="105"/>
      <c r="I6" s="105"/>
      <c r="J6" s="984">
        <f>ejercicio</f>
        <v>2018</v>
      </c>
      <c r="K6" s="106"/>
      <c r="M6" s="405"/>
      <c r="N6" s="406" t="s">
        <v>810</v>
      </c>
      <c r="O6" s="406"/>
      <c r="P6" s="406"/>
      <c r="Q6" s="406"/>
      <c r="R6" s="407"/>
      <c r="S6" s="407"/>
      <c r="T6" s="407"/>
      <c r="U6" s="407"/>
      <c r="V6" s="407"/>
      <c r="W6" s="407"/>
      <c r="X6" s="407"/>
      <c r="Y6" s="407"/>
      <c r="Z6" s="408"/>
    </row>
    <row r="7" spans="2:26" ht="30" customHeight="1">
      <c r="B7" s="103"/>
      <c r="C7" s="67" t="s">
        <v>98</v>
      </c>
      <c r="D7" s="104"/>
      <c r="E7" s="105"/>
      <c r="F7" s="105"/>
      <c r="G7" s="105"/>
      <c r="H7" s="105"/>
      <c r="I7" s="105"/>
      <c r="J7" s="984"/>
      <c r="K7" s="106"/>
      <c r="M7" s="405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7"/>
      <c r="Y7" s="407"/>
      <c r="Z7" s="408"/>
    </row>
    <row r="8" spans="2:26" ht="30" customHeight="1">
      <c r="B8" s="103"/>
      <c r="C8" s="107"/>
      <c r="D8" s="104"/>
      <c r="E8" s="105"/>
      <c r="F8" s="105"/>
      <c r="G8" s="105"/>
      <c r="H8" s="105"/>
      <c r="I8" s="105"/>
      <c r="J8" s="108"/>
      <c r="K8" s="106"/>
      <c r="M8" s="405"/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407"/>
      <c r="Y8" s="407"/>
      <c r="Z8" s="408"/>
    </row>
    <row r="9" spans="2:26" s="184" customFormat="1" ht="30" customHeight="1">
      <c r="B9" s="182"/>
      <c r="C9" s="40" t="s">
        <v>99</v>
      </c>
      <c r="D9" s="252"/>
      <c r="E9" s="1004" t="str">
        <f>Entidad</f>
        <v>INSTITUTO TECNOLÓGICO Y DE ENERGÍAS RENOVALBES S.A. (ITER)</v>
      </c>
      <c r="F9" s="1004"/>
      <c r="G9" s="1004"/>
      <c r="H9" s="1004"/>
      <c r="I9" s="1004"/>
      <c r="J9" s="1004"/>
      <c r="K9" s="106"/>
      <c r="M9" s="405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7"/>
      <c r="Y9" s="407"/>
      <c r="Z9" s="408"/>
    </row>
    <row r="10" spans="2:26" ht="7.2" customHeight="1">
      <c r="B10" s="103"/>
      <c r="C10" s="104"/>
      <c r="D10" s="104"/>
      <c r="E10" s="105"/>
      <c r="F10" s="105"/>
      <c r="G10" s="105"/>
      <c r="H10" s="105"/>
      <c r="I10" s="105"/>
      <c r="J10" s="104"/>
      <c r="K10" s="106"/>
      <c r="M10" s="405"/>
      <c r="N10" s="407"/>
      <c r="O10" s="407"/>
      <c r="P10" s="407"/>
      <c r="Q10" s="407"/>
      <c r="R10" s="407"/>
      <c r="S10" s="407"/>
      <c r="T10" s="407"/>
      <c r="U10" s="407"/>
      <c r="V10" s="407"/>
      <c r="W10" s="407"/>
      <c r="X10" s="407"/>
      <c r="Y10" s="407"/>
      <c r="Z10" s="408"/>
    </row>
    <row r="11" spans="2:26" s="115" customFormat="1" ht="30" customHeight="1">
      <c r="B11" s="111"/>
      <c r="C11" s="112" t="s">
        <v>588</v>
      </c>
      <c r="D11" s="112"/>
      <c r="E11" s="113"/>
      <c r="F11" s="113"/>
      <c r="G11" s="113"/>
      <c r="H11" s="113"/>
      <c r="I11" s="113"/>
      <c r="J11" s="113"/>
      <c r="K11" s="106"/>
      <c r="M11" s="405"/>
      <c r="N11" s="407"/>
      <c r="O11" s="407"/>
      <c r="P11" s="407"/>
      <c r="Q11" s="407"/>
      <c r="R11" s="407"/>
      <c r="S11" s="407"/>
      <c r="T11" s="407"/>
      <c r="U11" s="407"/>
      <c r="V11" s="407"/>
      <c r="W11" s="407"/>
      <c r="X11" s="407"/>
      <c r="Y11" s="407"/>
      <c r="Z11" s="408"/>
    </row>
    <row r="12" spans="2:26" s="115" customFormat="1" ht="30" customHeight="1">
      <c r="B12" s="111"/>
      <c r="C12" s="1043"/>
      <c r="D12" s="1043"/>
      <c r="E12" s="96"/>
      <c r="F12" s="96"/>
      <c r="G12" s="96"/>
      <c r="H12" s="96"/>
      <c r="I12" s="96"/>
      <c r="J12" s="251"/>
      <c r="K12" s="106"/>
      <c r="M12" s="405"/>
      <c r="N12" s="407"/>
      <c r="O12" s="407"/>
      <c r="P12" s="407"/>
      <c r="Q12" s="407"/>
      <c r="R12" s="407"/>
      <c r="S12" s="407"/>
      <c r="T12" s="407"/>
      <c r="U12" s="407"/>
      <c r="V12" s="407"/>
      <c r="W12" s="407"/>
      <c r="X12" s="407"/>
      <c r="Y12" s="407"/>
      <c r="Z12" s="408"/>
    </row>
    <row r="13" spans="2:26" ht="28.95" customHeight="1">
      <c r="B13" s="117"/>
      <c r="C13" s="66" t="s">
        <v>613</v>
      </c>
      <c r="D13" s="150"/>
      <c r="E13" s="96"/>
      <c r="F13" s="96"/>
      <c r="G13" s="96"/>
      <c r="H13" s="96"/>
      <c r="I13" s="96"/>
      <c r="J13" s="104"/>
      <c r="K13" s="106"/>
      <c r="M13" s="405"/>
      <c r="N13" s="407"/>
      <c r="O13" s="407"/>
      <c r="P13" s="407"/>
      <c r="Q13" s="407"/>
      <c r="R13" s="407"/>
      <c r="S13" s="407"/>
      <c r="T13" s="407"/>
      <c r="U13" s="407"/>
      <c r="V13" s="407"/>
      <c r="W13" s="407"/>
      <c r="X13" s="407"/>
      <c r="Y13" s="407"/>
      <c r="Z13" s="408"/>
    </row>
    <row r="14" spans="2:26" ht="25.2" customHeight="1">
      <c r="B14" s="117"/>
      <c r="C14" s="553" t="s">
        <v>622</v>
      </c>
      <c r="D14" s="554"/>
      <c r="E14" s="150"/>
      <c r="F14" s="96"/>
      <c r="G14" s="96"/>
      <c r="H14" s="96"/>
      <c r="I14" s="96"/>
      <c r="J14" s="96"/>
      <c r="K14" s="106"/>
      <c r="M14" s="405"/>
      <c r="N14" s="407"/>
      <c r="O14" s="407"/>
      <c r="P14" s="407"/>
      <c r="Q14" s="407"/>
      <c r="R14" s="407"/>
      <c r="S14" s="407"/>
      <c r="T14" s="407"/>
      <c r="U14" s="407"/>
      <c r="V14" s="407"/>
      <c r="W14" s="407"/>
      <c r="X14" s="407"/>
      <c r="Y14" s="407"/>
      <c r="Z14" s="408"/>
    </row>
    <row r="15" spans="2:26" ht="22.95" customHeight="1">
      <c r="B15" s="117"/>
      <c r="C15" s="487" t="s">
        <v>786</v>
      </c>
      <c r="D15" s="209" t="s">
        <v>589</v>
      </c>
      <c r="F15" s="96"/>
      <c r="G15" s="96"/>
      <c r="H15" s="96"/>
      <c r="I15" s="96"/>
      <c r="J15" s="96"/>
      <c r="K15" s="106"/>
      <c r="M15" s="405"/>
      <c r="N15" s="407"/>
      <c r="O15" s="407"/>
      <c r="P15" s="407"/>
      <c r="Q15" s="407"/>
      <c r="R15" s="407"/>
      <c r="S15" s="407"/>
      <c r="T15" s="407"/>
      <c r="U15" s="407"/>
      <c r="V15" s="407"/>
      <c r="W15" s="407"/>
      <c r="X15" s="407"/>
      <c r="Y15" s="407"/>
      <c r="Z15" s="408"/>
    </row>
    <row r="16" spans="2:26" ht="9" customHeight="1">
      <c r="B16" s="117"/>
      <c r="C16" s="149"/>
      <c r="D16" s="209"/>
      <c r="F16" s="96"/>
      <c r="G16" s="96"/>
      <c r="H16" s="96"/>
      <c r="I16" s="96"/>
      <c r="J16" s="96"/>
      <c r="K16" s="106"/>
      <c r="M16" s="405"/>
      <c r="N16" s="407"/>
      <c r="O16" s="407"/>
      <c r="P16" s="407"/>
      <c r="Q16" s="407"/>
      <c r="R16" s="407"/>
      <c r="S16" s="407"/>
      <c r="T16" s="407"/>
      <c r="U16" s="407"/>
      <c r="V16" s="407"/>
      <c r="W16" s="407"/>
      <c r="X16" s="407"/>
      <c r="Y16" s="407"/>
      <c r="Z16" s="408"/>
    </row>
    <row r="17" spans="2:26" ht="22.95" customHeight="1">
      <c r="B17" s="117"/>
      <c r="C17" s="487"/>
      <c r="D17" s="209" t="s">
        <v>590</v>
      </c>
      <c r="F17" s="96"/>
      <c r="G17" s="96"/>
      <c r="H17" s="96"/>
      <c r="I17" s="96"/>
      <c r="J17" s="96"/>
      <c r="K17" s="106"/>
      <c r="M17" s="405"/>
      <c r="N17" s="407"/>
      <c r="O17" s="407"/>
      <c r="P17" s="407"/>
      <c r="Q17" s="407"/>
      <c r="R17" s="407"/>
      <c r="S17" s="407"/>
      <c r="T17" s="407"/>
      <c r="U17" s="407"/>
      <c r="V17" s="407"/>
      <c r="W17" s="407"/>
      <c r="X17" s="407"/>
      <c r="Y17" s="407"/>
      <c r="Z17" s="408"/>
    </row>
    <row r="18" spans="2:26" ht="10.199999999999999" customHeight="1">
      <c r="B18" s="117"/>
      <c r="C18" s="149"/>
      <c r="D18" s="209"/>
      <c r="F18" s="96"/>
      <c r="G18" s="96"/>
      <c r="H18" s="96"/>
      <c r="I18" s="96"/>
      <c r="J18" s="96"/>
      <c r="K18" s="106"/>
      <c r="M18" s="405"/>
      <c r="N18" s="407"/>
      <c r="O18" s="407"/>
      <c r="P18" s="407"/>
      <c r="Q18" s="407"/>
      <c r="R18" s="407"/>
      <c r="S18" s="407"/>
      <c r="T18" s="407"/>
      <c r="U18" s="407"/>
      <c r="V18" s="407"/>
      <c r="W18" s="407"/>
      <c r="X18" s="407"/>
      <c r="Y18" s="407"/>
      <c r="Z18" s="408"/>
    </row>
    <row r="19" spans="2:26" ht="22.95" customHeight="1">
      <c r="B19" s="117"/>
      <c r="C19" s="487"/>
      <c r="D19" s="209" t="s">
        <v>591</v>
      </c>
      <c r="F19" s="96"/>
      <c r="G19" s="96"/>
      <c r="H19" s="96"/>
      <c r="I19" s="96"/>
      <c r="J19" s="96"/>
      <c r="K19" s="106"/>
      <c r="M19" s="405"/>
      <c r="N19" s="407"/>
      <c r="O19" s="407"/>
      <c r="P19" s="407"/>
      <c r="Q19" s="407"/>
      <c r="R19" s="407"/>
      <c r="S19" s="407"/>
      <c r="T19" s="407"/>
      <c r="U19" s="407"/>
      <c r="V19" s="407"/>
      <c r="W19" s="407"/>
      <c r="X19" s="407"/>
      <c r="Y19" s="407"/>
      <c r="Z19" s="408"/>
    </row>
    <row r="20" spans="2:26" ht="9" customHeight="1">
      <c r="B20" s="117"/>
      <c r="C20" s="149"/>
      <c r="D20" s="209"/>
      <c r="F20" s="96"/>
      <c r="G20" s="96"/>
      <c r="H20" s="96"/>
      <c r="I20" s="96"/>
      <c r="J20" s="96"/>
      <c r="K20" s="106"/>
      <c r="M20" s="405"/>
      <c r="N20" s="407"/>
      <c r="O20" s="407"/>
      <c r="P20" s="407"/>
      <c r="Q20" s="407"/>
      <c r="R20" s="407"/>
      <c r="S20" s="407"/>
      <c r="T20" s="407"/>
      <c r="U20" s="407"/>
      <c r="V20" s="407"/>
      <c r="W20" s="407"/>
      <c r="X20" s="407"/>
      <c r="Y20" s="407"/>
      <c r="Z20" s="408"/>
    </row>
    <row r="21" spans="2:26" ht="22.95" customHeight="1">
      <c r="B21" s="117"/>
      <c r="C21" s="487"/>
      <c r="D21" s="209" t="s">
        <v>592</v>
      </c>
      <c r="F21" s="96"/>
      <c r="G21" s="96"/>
      <c r="H21" s="96"/>
      <c r="I21" s="96"/>
      <c r="J21" s="96"/>
      <c r="K21" s="106"/>
      <c r="M21" s="405"/>
      <c r="N21" s="407"/>
      <c r="O21" s="407"/>
      <c r="P21" s="407"/>
      <c r="Q21" s="407"/>
      <c r="R21" s="407"/>
      <c r="S21" s="407"/>
      <c r="T21" s="407"/>
      <c r="U21" s="407"/>
      <c r="V21" s="407"/>
      <c r="W21" s="407"/>
      <c r="X21" s="407"/>
      <c r="Y21" s="407"/>
      <c r="Z21" s="408"/>
    </row>
    <row r="22" spans="2:26" ht="9" customHeight="1">
      <c r="B22" s="117"/>
      <c r="C22" s="149"/>
      <c r="D22" s="209"/>
      <c r="F22" s="96"/>
      <c r="G22" s="96"/>
      <c r="H22" s="96"/>
      <c r="I22" s="96"/>
      <c r="J22" s="96"/>
      <c r="K22" s="106"/>
      <c r="M22" s="405"/>
      <c r="N22" s="407"/>
      <c r="O22" s="407"/>
      <c r="P22" s="407"/>
      <c r="Q22" s="407"/>
      <c r="R22" s="407"/>
      <c r="S22" s="407"/>
      <c r="T22" s="407"/>
      <c r="U22" s="407"/>
      <c r="V22" s="407"/>
      <c r="W22" s="407"/>
      <c r="X22" s="407"/>
      <c r="Y22" s="407"/>
      <c r="Z22" s="408"/>
    </row>
    <row r="23" spans="2:26" ht="22.95" customHeight="1">
      <c r="B23" s="117"/>
      <c r="C23" s="487"/>
      <c r="D23" s="209" t="s">
        <v>593</v>
      </c>
      <c r="F23" s="96"/>
      <c r="G23" s="96"/>
      <c r="H23" s="96"/>
      <c r="I23" s="96"/>
      <c r="J23" s="96"/>
      <c r="K23" s="106"/>
      <c r="M23" s="405"/>
      <c r="N23" s="407"/>
      <c r="O23" s="407"/>
      <c r="P23" s="407"/>
      <c r="Q23" s="407"/>
      <c r="R23" s="407"/>
      <c r="S23" s="407"/>
      <c r="T23" s="407"/>
      <c r="U23" s="407"/>
      <c r="V23" s="407"/>
      <c r="W23" s="407"/>
      <c r="X23" s="407"/>
      <c r="Y23" s="407"/>
      <c r="Z23" s="408"/>
    </row>
    <row r="24" spans="2:26" ht="22.95" customHeight="1">
      <c r="B24" s="117"/>
      <c r="C24" s="149"/>
      <c r="D24" s="209"/>
      <c r="F24" s="96"/>
      <c r="G24" s="96"/>
      <c r="H24" s="96"/>
      <c r="I24" s="96"/>
      <c r="J24" s="96"/>
      <c r="K24" s="106"/>
      <c r="M24" s="405"/>
      <c r="N24" s="407"/>
      <c r="O24" s="407"/>
      <c r="P24" s="407"/>
      <c r="Q24" s="407"/>
      <c r="R24" s="407"/>
      <c r="S24" s="407"/>
      <c r="T24" s="407"/>
      <c r="U24" s="407"/>
      <c r="V24" s="407"/>
      <c r="W24" s="407"/>
      <c r="X24" s="407"/>
      <c r="Y24" s="407"/>
      <c r="Z24" s="408"/>
    </row>
    <row r="25" spans="2:26" ht="22.95" customHeight="1">
      <c r="B25" s="117"/>
      <c r="C25" s="32"/>
      <c r="D25" s="150"/>
      <c r="E25" s="150"/>
      <c r="F25" s="96"/>
      <c r="G25" s="96"/>
      <c r="H25" s="96"/>
      <c r="I25" s="96"/>
      <c r="J25" s="96"/>
      <c r="K25" s="106"/>
      <c r="M25" s="405"/>
      <c r="N25" s="407"/>
      <c r="O25" s="407"/>
      <c r="P25" s="407"/>
      <c r="Q25" s="407"/>
      <c r="R25" s="407"/>
      <c r="S25" s="407"/>
      <c r="T25" s="407"/>
      <c r="U25" s="407"/>
      <c r="V25" s="407"/>
      <c r="W25" s="407"/>
      <c r="X25" s="407"/>
      <c r="Y25" s="407"/>
      <c r="Z25" s="408"/>
    </row>
    <row r="26" spans="2:26" ht="22.95" customHeight="1">
      <c r="B26" s="117"/>
      <c r="C26" s="66" t="s">
        <v>596</v>
      </c>
      <c r="E26" s="150"/>
      <c r="F26" s="96"/>
      <c r="G26" s="96"/>
      <c r="H26" s="96"/>
      <c r="I26" s="96"/>
      <c r="J26" s="96"/>
      <c r="K26" s="106"/>
      <c r="M26" s="405"/>
      <c r="N26" s="407"/>
      <c r="O26" s="407"/>
      <c r="P26" s="407"/>
      <c r="Q26" s="407"/>
      <c r="R26" s="407"/>
      <c r="S26" s="407"/>
      <c r="T26" s="407"/>
      <c r="U26" s="407"/>
      <c r="V26" s="407"/>
      <c r="W26" s="407"/>
      <c r="X26" s="407"/>
      <c r="Y26" s="407"/>
      <c r="Z26" s="408"/>
    </row>
    <row r="27" spans="2:26" ht="9" customHeight="1">
      <c r="B27" s="117"/>
      <c r="C27" s="66"/>
      <c r="E27" s="150"/>
      <c r="F27" s="96"/>
      <c r="G27" s="96"/>
      <c r="H27" s="96"/>
      <c r="I27" s="96"/>
      <c r="J27" s="96"/>
      <c r="K27" s="106"/>
      <c r="M27" s="405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7"/>
      <c r="Y27" s="407"/>
      <c r="Z27" s="408"/>
    </row>
    <row r="28" spans="2:26" ht="22.95" customHeight="1">
      <c r="B28" s="117"/>
      <c r="C28" s="185" t="str">
        <f>IF(VLOOKUP("X",C15:D23,2,FALSE)="#N/A",VLOOKUP("x",C15:D23,2,FALSE),VLOOKUP("X",C15:D23,2,FALSE))</f>
        <v xml:space="preserve">  Administracion General y Resto de sectores</v>
      </c>
      <c r="D28" s="186"/>
      <c r="E28" s="186"/>
      <c r="F28" s="186"/>
      <c r="G28" s="186"/>
      <c r="H28" s="262"/>
      <c r="I28" s="96"/>
      <c r="J28" s="96"/>
      <c r="K28" s="106"/>
      <c r="M28" s="405"/>
      <c r="N28" s="407"/>
      <c r="O28" s="407"/>
      <c r="P28" s="407"/>
      <c r="Q28" s="407"/>
      <c r="R28" s="407"/>
      <c r="S28" s="407"/>
      <c r="T28" s="407"/>
      <c r="U28" s="407"/>
      <c r="V28" s="407"/>
      <c r="W28" s="407"/>
      <c r="X28" s="407"/>
      <c r="Y28" s="407"/>
      <c r="Z28" s="408"/>
    </row>
    <row r="29" spans="2:26" ht="22.95" customHeight="1">
      <c r="B29" s="117"/>
      <c r="C29" s="32"/>
      <c r="D29" s="150"/>
      <c r="E29" s="150"/>
      <c r="F29" s="96"/>
      <c r="G29" s="96"/>
      <c r="H29" s="96"/>
      <c r="I29" s="96"/>
      <c r="J29" s="96"/>
      <c r="K29" s="106"/>
      <c r="M29" s="405"/>
      <c r="N29" s="407"/>
      <c r="O29" s="407"/>
      <c r="P29" s="407"/>
      <c r="Q29" s="407"/>
      <c r="R29" s="407"/>
      <c r="S29" s="407"/>
      <c r="T29" s="407"/>
      <c r="U29" s="407"/>
      <c r="V29" s="407"/>
      <c r="W29" s="407"/>
      <c r="X29" s="407"/>
      <c r="Y29" s="407"/>
      <c r="Z29" s="408"/>
    </row>
    <row r="30" spans="2:26" s="129" customFormat="1" ht="22.95" customHeight="1">
      <c r="B30" s="160"/>
      <c r="C30" s="185" t="s">
        <v>594</v>
      </c>
      <c r="D30" s="176"/>
      <c r="E30" s="202"/>
      <c r="F30" s="187">
        <f>E45</f>
        <v>169</v>
      </c>
      <c r="G30" s="96"/>
      <c r="H30" s="96"/>
      <c r="I30" s="96"/>
      <c r="J30" s="96"/>
      <c r="K30" s="128"/>
      <c r="M30" s="405"/>
      <c r="N30" s="407"/>
      <c r="O30" s="407"/>
      <c r="P30" s="407"/>
      <c r="Q30" s="407"/>
      <c r="R30" s="407"/>
      <c r="S30" s="407"/>
      <c r="T30" s="407"/>
      <c r="U30" s="407"/>
      <c r="V30" s="407"/>
      <c r="W30" s="407"/>
      <c r="X30" s="407"/>
      <c r="Y30" s="407"/>
      <c r="Z30" s="408"/>
    </row>
    <row r="31" spans="2:26" s="129" customFormat="1" ht="22.95" customHeight="1">
      <c r="B31" s="160"/>
      <c r="C31" s="268" t="s">
        <v>595</v>
      </c>
      <c r="D31" s="269"/>
      <c r="E31" s="270"/>
      <c r="F31" s="187">
        <f>J45+F53</f>
        <v>5586206.4199999999</v>
      </c>
      <c r="G31" s="96"/>
      <c r="H31" s="96"/>
      <c r="I31" s="96"/>
      <c r="J31" s="96"/>
      <c r="K31" s="128"/>
      <c r="M31" s="405"/>
      <c r="N31" s="407"/>
      <c r="O31" s="407"/>
      <c r="P31" s="407"/>
      <c r="Q31" s="407"/>
      <c r="R31" s="407"/>
      <c r="S31" s="407"/>
      <c r="T31" s="407"/>
      <c r="U31" s="407"/>
      <c r="V31" s="407"/>
      <c r="W31" s="407"/>
      <c r="X31" s="407"/>
      <c r="Y31" s="407"/>
      <c r="Z31" s="408"/>
    </row>
    <row r="32" spans="2:26" ht="22.95" customHeight="1">
      <c r="B32" s="117"/>
      <c r="D32" s="209"/>
      <c r="E32" s="150"/>
      <c r="F32" s="210"/>
      <c r="G32" s="96"/>
      <c r="H32" s="96"/>
      <c r="I32" s="96"/>
      <c r="J32" s="96"/>
      <c r="K32" s="106"/>
      <c r="M32" s="405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8"/>
    </row>
    <row r="33" spans="2:26" ht="22.95" customHeight="1">
      <c r="B33" s="117"/>
      <c r="C33" s="32"/>
      <c r="D33" s="150"/>
      <c r="E33" s="150"/>
      <c r="F33" s="96"/>
      <c r="G33" s="96"/>
      <c r="H33" s="96"/>
      <c r="I33" s="96"/>
      <c r="J33" s="96"/>
      <c r="K33" s="106"/>
      <c r="M33" s="405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8"/>
    </row>
    <row r="34" spans="2:26" ht="22.95" customHeight="1">
      <c r="B34" s="117"/>
      <c r="C34" s="66" t="s">
        <v>597</v>
      </c>
      <c r="E34" s="150"/>
      <c r="F34" s="96"/>
      <c r="G34" s="96"/>
      <c r="H34" s="96"/>
      <c r="I34" s="96"/>
      <c r="J34" s="96"/>
      <c r="K34" s="106"/>
      <c r="M34" s="405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8"/>
    </row>
    <row r="35" spans="2:26" ht="22.95" customHeight="1">
      <c r="B35" s="117"/>
      <c r="C35" s="32"/>
      <c r="D35" s="150"/>
      <c r="E35" s="150"/>
      <c r="F35" s="96"/>
      <c r="G35" s="96"/>
      <c r="H35" s="96"/>
      <c r="I35" s="96"/>
      <c r="J35" s="96"/>
      <c r="K35" s="106"/>
      <c r="M35" s="405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8"/>
    </row>
    <row r="36" spans="2:26" s="235" customFormat="1" ht="22.95" customHeight="1">
      <c r="B36" s="236"/>
      <c r="C36" s="253"/>
      <c r="D36" s="256"/>
      <c r="E36" s="237"/>
      <c r="F36" s="1035" t="s">
        <v>616</v>
      </c>
      <c r="G36" s="1036"/>
      <c r="H36" s="1036"/>
      <c r="I36" s="1036"/>
      <c r="J36" s="1037"/>
      <c r="K36" s="238"/>
      <c r="M36" s="405"/>
      <c r="N36" s="407"/>
      <c r="O36" s="407"/>
      <c r="P36" s="407"/>
      <c r="Q36" s="407"/>
      <c r="R36" s="407"/>
      <c r="S36" s="407"/>
      <c r="T36" s="407"/>
      <c r="U36" s="407"/>
      <c r="V36" s="407"/>
      <c r="W36" s="407"/>
      <c r="X36" s="407"/>
      <c r="Y36" s="407"/>
      <c r="Z36" s="408"/>
    </row>
    <row r="37" spans="2:26" s="235" customFormat="1" ht="24" customHeight="1">
      <c r="B37" s="236"/>
      <c r="C37" s="1080" t="s">
        <v>598</v>
      </c>
      <c r="D37" s="1081"/>
      <c r="E37" s="240" t="s">
        <v>605</v>
      </c>
      <c r="F37" s="239" t="s">
        <v>607</v>
      </c>
      <c r="G37" s="239" t="s">
        <v>787</v>
      </c>
      <c r="H37" s="239" t="s">
        <v>610</v>
      </c>
      <c r="I37" s="239" t="s">
        <v>612</v>
      </c>
      <c r="J37" s="249" t="s">
        <v>614</v>
      </c>
      <c r="K37" s="238"/>
      <c r="M37" s="405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8"/>
    </row>
    <row r="38" spans="2:26" s="235" customFormat="1" ht="24" customHeight="1">
      <c r="B38" s="236"/>
      <c r="C38" s="1056" t="s">
        <v>159</v>
      </c>
      <c r="D38" s="1057"/>
      <c r="E38" s="242" t="s">
        <v>606</v>
      </c>
      <c r="F38" s="241" t="s">
        <v>608</v>
      </c>
      <c r="G38" s="241" t="s">
        <v>609</v>
      </c>
      <c r="H38" s="241" t="s">
        <v>611</v>
      </c>
      <c r="I38" s="241" t="s">
        <v>615</v>
      </c>
      <c r="J38" s="244" t="s">
        <v>615</v>
      </c>
      <c r="K38" s="238"/>
      <c r="M38" s="405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7"/>
      <c r="Y38" s="407"/>
      <c r="Z38" s="408"/>
    </row>
    <row r="39" spans="2:26" ht="22.95" customHeight="1">
      <c r="B39" s="117"/>
      <c r="C39" s="177" t="s">
        <v>599</v>
      </c>
      <c r="D39" s="259"/>
      <c r="E39" s="542"/>
      <c r="F39" s="541"/>
      <c r="G39" s="541"/>
      <c r="H39" s="541"/>
      <c r="I39" s="541"/>
      <c r="J39" s="555">
        <f t="shared" ref="J39:J44" si="0">SUM(F39:I39)</f>
        <v>0</v>
      </c>
      <c r="K39" s="106"/>
      <c r="M39" s="405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7"/>
      <c r="Z39" s="408"/>
    </row>
    <row r="40" spans="2:26" ht="22.95" customHeight="1">
      <c r="B40" s="117"/>
      <c r="C40" s="177" t="s">
        <v>600</v>
      </c>
      <c r="D40" s="259"/>
      <c r="E40" s="542"/>
      <c r="F40" s="541"/>
      <c r="G40" s="541"/>
      <c r="H40" s="541"/>
      <c r="I40" s="541"/>
      <c r="J40" s="555">
        <f t="shared" si="0"/>
        <v>0</v>
      </c>
      <c r="K40" s="106"/>
      <c r="M40" s="405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8"/>
    </row>
    <row r="41" spans="2:26" ht="22.95" customHeight="1">
      <c r="B41" s="117"/>
      <c r="C41" s="177" t="s">
        <v>601</v>
      </c>
      <c r="D41" s="259"/>
      <c r="E41" s="542">
        <v>1</v>
      </c>
      <c r="F41" s="541">
        <v>61917.84</v>
      </c>
      <c r="G41" s="541"/>
      <c r="H41" s="541"/>
      <c r="I41" s="541">
        <v>30319.64</v>
      </c>
      <c r="J41" s="555">
        <f t="shared" si="0"/>
        <v>92237.48</v>
      </c>
      <c r="K41" s="106"/>
      <c r="M41" s="405"/>
      <c r="N41" s="407"/>
      <c r="O41" s="407"/>
      <c r="P41" s="407"/>
      <c r="Q41" s="407"/>
      <c r="R41" s="407"/>
      <c r="S41" s="407"/>
      <c r="T41" s="407"/>
      <c r="U41" s="407"/>
      <c r="V41" s="407"/>
      <c r="W41" s="407"/>
      <c r="X41" s="407"/>
      <c r="Y41" s="407"/>
      <c r="Z41" s="408"/>
    </row>
    <row r="42" spans="2:26" ht="22.95" customHeight="1">
      <c r="B42" s="117"/>
      <c r="C42" s="177" t="s">
        <v>602</v>
      </c>
      <c r="D42" s="259"/>
      <c r="E42" s="542">
        <v>71</v>
      </c>
      <c r="F42" s="541">
        <v>1333861.72</v>
      </c>
      <c r="G42" s="541"/>
      <c r="H42" s="541"/>
      <c r="I42" s="541">
        <v>557769.32999999996</v>
      </c>
      <c r="J42" s="555">
        <f t="shared" si="0"/>
        <v>1891631.0499999998</v>
      </c>
      <c r="K42" s="106"/>
      <c r="M42" s="405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7"/>
      <c r="Z42" s="408"/>
    </row>
    <row r="43" spans="2:26" ht="22.95" customHeight="1">
      <c r="B43" s="117"/>
      <c r="C43" s="177" t="s">
        <v>603</v>
      </c>
      <c r="D43" s="259"/>
      <c r="E43" s="542">
        <v>97</v>
      </c>
      <c r="F43" s="541">
        <v>1818150.41</v>
      </c>
      <c r="G43" s="541"/>
      <c r="H43" s="541"/>
      <c r="I43" s="541">
        <v>357056.33</v>
      </c>
      <c r="J43" s="555">
        <f t="shared" si="0"/>
        <v>2175206.7399999998</v>
      </c>
      <c r="K43" s="106"/>
      <c r="M43" s="405"/>
      <c r="N43" s="407"/>
      <c r="O43" s="407"/>
      <c r="P43" s="407"/>
      <c r="Q43" s="407"/>
      <c r="R43" s="407"/>
      <c r="S43" s="407"/>
      <c r="T43" s="407"/>
      <c r="U43" s="407"/>
      <c r="V43" s="407"/>
      <c r="W43" s="407"/>
      <c r="X43" s="407"/>
      <c r="Y43" s="407"/>
      <c r="Z43" s="408"/>
    </row>
    <row r="44" spans="2:26" ht="22.95" customHeight="1">
      <c r="B44" s="117"/>
      <c r="C44" s="155" t="s">
        <v>604</v>
      </c>
      <c r="D44" s="260"/>
      <c r="E44" s="545"/>
      <c r="F44" s="544"/>
      <c r="G44" s="544"/>
      <c r="H44" s="544"/>
      <c r="I44" s="544"/>
      <c r="J44" s="555">
        <f t="shared" si="0"/>
        <v>0</v>
      </c>
      <c r="K44" s="106"/>
      <c r="M44" s="405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7"/>
      <c r="Y44" s="407"/>
      <c r="Z44" s="408"/>
    </row>
    <row r="45" spans="2:26" ht="22.95" customHeight="1" thickBot="1">
      <c r="B45" s="117"/>
      <c r="C45" s="1078" t="s">
        <v>618</v>
      </c>
      <c r="D45" s="1079"/>
      <c r="E45" s="266">
        <f t="shared" ref="E45:J45" si="1">SUM(E39:E44)</f>
        <v>169</v>
      </c>
      <c r="F45" s="266">
        <f t="shared" si="1"/>
        <v>3213929.9699999997</v>
      </c>
      <c r="G45" s="266">
        <f t="shared" si="1"/>
        <v>0</v>
      </c>
      <c r="H45" s="266">
        <f t="shared" si="1"/>
        <v>0</v>
      </c>
      <c r="I45" s="266">
        <f t="shared" si="1"/>
        <v>945145.3</v>
      </c>
      <c r="J45" s="266">
        <f t="shared" si="1"/>
        <v>4159075.2699999996</v>
      </c>
      <c r="K45" s="106"/>
      <c r="M45" s="405"/>
      <c r="N45" s="407"/>
      <c r="O45" s="407"/>
      <c r="P45" s="407"/>
      <c r="Q45" s="407"/>
      <c r="R45" s="407"/>
      <c r="S45" s="407"/>
      <c r="T45" s="407"/>
      <c r="U45" s="407"/>
      <c r="V45" s="407"/>
      <c r="W45" s="407"/>
      <c r="X45" s="407"/>
      <c r="Y45" s="407"/>
      <c r="Z45" s="408"/>
    </row>
    <row r="46" spans="2:26" ht="22.95" customHeight="1">
      <c r="B46" s="117"/>
      <c r="C46" s="32"/>
      <c r="D46" s="209"/>
      <c r="E46" s="209"/>
      <c r="F46" s="210"/>
      <c r="G46" s="210"/>
      <c r="H46" s="210"/>
      <c r="I46" s="210"/>
      <c r="J46" s="96"/>
      <c r="K46" s="106"/>
      <c r="M46" s="405"/>
      <c r="N46" s="407"/>
      <c r="O46" s="407"/>
      <c r="P46" s="407"/>
      <c r="Q46" s="407"/>
      <c r="R46" s="407"/>
      <c r="S46" s="407"/>
      <c r="T46" s="407"/>
      <c r="U46" s="407"/>
      <c r="V46" s="407"/>
      <c r="W46" s="407"/>
      <c r="X46" s="407"/>
      <c r="Y46" s="407"/>
      <c r="Z46" s="408"/>
    </row>
    <row r="47" spans="2:26" ht="22.95" customHeight="1">
      <c r="B47" s="117"/>
      <c r="C47" s="32"/>
      <c r="D47" s="209"/>
      <c r="E47" s="209"/>
      <c r="F47" s="210"/>
      <c r="G47" s="210"/>
      <c r="H47" s="210"/>
      <c r="I47" s="210"/>
      <c r="J47" s="96"/>
      <c r="K47" s="106"/>
      <c r="M47" s="405"/>
      <c r="N47" s="407"/>
      <c r="O47" s="407"/>
      <c r="P47" s="407"/>
      <c r="Q47" s="407"/>
      <c r="R47" s="407"/>
      <c r="S47" s="407"/>
      <c r="T47" s="407"/>
      <c r="U47" s="407"/>
      <c r="V47" s="407"/>
      <c r="W47" s="407"/>
      <c r="X47" s="407"/>
      <c r="Y47" s="407"/>
      <c r="Z47" s="408"/>
    </row>
    <row r="48" spans="2:26" ht="22.95" customHeight="1">
      <c r="B48" s="117"/>
      <c r="C48" s="66" t="s">
        <v>617</v>
      </c>
      <c r="D48" s="209"/>
      <c r="E48" s="209"/>
      <c r="F48" s="210"/>
      <c r="G48" s="210"/>
      <c r="H48" s="210"/>
      <c r="I48" s="210"/>
      <c r="J48" s="96"/>
      <c r="K48" s="106"/>
      <c r="M48" s="405"/>
      <c r="N48" s="407"/>
      <c r="O48" s="407"/>
      <c r="P48" s="407"/>
      <c r="Q48" s="407"/>
      <c r="R48" s="407"/>
      <c r="S48" s="407"/>
      <c r="T48" s="407"/>
      <c r="U48" s="407"/>
      <c r="V48" s="407"/>
      <c r="W48" s="407"/>
      <c r="X48" s="407"/>
      <c r="Y48" s="407"/>
      <c r="Z48" s="408"/>
    </row>
    <row r="49" spans="2:26" ht="22.95" customHeight="1">
      <c r="B49" s="117"/>
      <c r="C49" s="66"/>
      <c r="D49" s="209"/>
      <c r="E49" s="209"/>
      <c r="F49" s="210"/>
      <c r="G49" s="210"/>
      <c r="H49" s="210"/>
      <c r="I49" s="210"/>
      <c r="J49" s="96"/>
      <c r="K49" s="106"/>
      <c r="M49" s="405"/>
      <c r="N49" s="407"/>
      <c r="O49" s="407"/>
      <c r="P49" s="407"/>
      <c r="Q49" s="407"/>
      <c r="R49" s="407"/>
      <c r="S49" s="407"/>
      <c r="T49" s="407"/>
      <c r="U49" s="407"/>
      <c r="V49" s="407"/>
      <c r="W49" s="407"/>
      <c r="X49" s="407"/>
      <c r="Y49" s="407"/>
      <c r="Z49" s="408"/>
    </row>
    <row r="50" spans="2:26" ht="22.95" customHeight="1">
      <c r="B50" s="117"/>
      <c r="C50" s="1035" t="s">
        <v>555</v>
      </c>
      <c r="D50" s="1036"/>
      <c r="E50" s="1082"/>
      <c r="F50" s="263" t="s">
        <v>582</v>
      </c>
      <c r="G50" s="210"/>
      <c r="H50" s="210"/>
      <c r="I50" s="210"/>
      <c r="J50" s="96"/>
      <c r="K50" s="106"/>
      <c r="M50" s="405"/>
      <c r="N50" s="407"/>
      <c r="O50" s="407"/>
      <c r="P50" s="407"/>
      <c r="Q50" s="407"/>
      <c r="R50" s="407"/>
      <c r="S50" s="407"/>
      <c r="T50" s="407"/>
      <c r="U50" s="407"/>
      <c r="V50" s="407"/>
      <c r="W50" s="407"/>
      <c r="X50" s="407"/>
      <c r="Y50" s="407"/>
      <c r="Z50" s="408"/>
    </row>
    <row r="51" spans="2:26" s="184" customFormat="1" ht="22.95" customHeight="1">
      <c r="B51" s="182"/>
      <c r="C51" s="265" t="s">
        <v>619</v>
      </c>
      <c r="D51" s="264"/>
      <c r="E51" s="264"/>
      <c r="F51" s="556">
        <v>295725.07</v>
      </c>
      <c r="G51" s="210"/>
      <c r="H51" s="210"/>
      <c r="I51" s="210"/>
      <c r="J51" s="146"/>
      <c r="K51" s="183"/>
      <c r="M51" s="405"/>
      <c r="N51" s="407"/>
      <c r="O51" s="407"/>
      <c r="P51" s="407"/>
      <c r="Q51" s="407"/>
      <c r="R51" s="407"/>
      <c r="S51" s="407"/>
      <c r="T51" s="407"/>
      <c r="U51" s="407"/>
      <c r="V51" s="407"/>
      <c r="W51" s="407"/>
      <c r="X51" s="407"/>
      <c r="Y51" s="407"/>
      <c r="Z51" s="408"/>
    </row>
    <row r="52" spans="2:26" s="184" customFormat="1" ht="22.95" customHeight="1">
      <c r="B52" s="182"/>
      <c r="C52" s="265" t="s">
        <v>620</v>
      </c>
      <c r="D52" s="264"/>
      <c r="E52" s="264"/>
      <c r="F52" s="556">
        <v>1131406.08</v>
      </c>
      <c r="G52" s="210"/>
      <c r="H52" s="210"/>
      <c r="I52" s="210"/>
      <c r="J52" s="146"/>
      <c r="K52" s="183"/>
      <c r="M52" s="405"/>
      <c r="N52" s="407"/>
      <c r="O52" s="407"/>
      <c r="P52" s="407"/>
      <c r="Q52" s="407"/>
      <c r="R52" s="407"/>
      <c r="S52" s="407"/>
      <c r="T52" s="407"/>
      <c r="U52" s="407"/>
      <c r="V52" s="407"/>
      <c r="W52" s="407"/>
      <c r="X52" s="407"/>
      <c r="Y52" s="407"/>
      <c r="Z52" s="408"/>
    </row>
    <row r="53" spans="2:26" ht="22.95" customHeight="1" thickBot="1">
      <c r="B53" s="117"/>
      <c r="C53" s="1078" t="s">
        <v>618</v>
      </c>
      <c r="D53" s="1083"/>
      <c r="E53" s="267"/>
      <c r="F53" s="266">
        <f>SUM(F51:F52)</f>
        <v>1427131.1500000001</v>
      </c>
      <c r="G53" s="210"/>
      <c r="H53" s="210"/>
      <c r="I53" s="210"/>
      <c r="J53" s="146"/>
      <c r="K53" s="106"/>
      <c r="M53" s="405"/>
      <c r="N53" s="407"/>
      <c r="O53" s="407"/>
      <c r="P53" s="407"/>
      <c r="Q53" s="407"/>
      <c r="R53" s="407"/>
      <c r="S53" s="407"/>
      <c r="T53" s="407"/>
      <c r="U53" s="407"/>
      <c r="V53" s="407"/>
      <c r="W53" s="407"/>
      <c r="X53" s="407"/>
      <c r="Y53" s="407"/>
      <c r="Z53" s="408"/>
    </row>
    <row r="54" spans="2:26" ht="22.95" customHeight="1">
      <c r="B54" s="117"/>
      <c r="C54" s="32"/>
      <c r="D54" s="209"/>
      <c r="E54" s="209"/>
      <c r="F54" s="210"/>
      <c r="G54" s="210"/>
      <c r="H54" s="210"/>
      <c r="I54" s="210"/>
      <c r="J54" s="146"/>
      <c r="K54" s="106"/>
      <c r="M54" s="405"/>
      <c r="N54" s="407"/>
      <c r="O54" s="407"/>
      <c r="P54" s="407"/>
      <c r="Q54" s="407"/>
      <c r="R54" s="407"/>
      <c r="S54" s="407"/>
      <c r="T54" s="407"/>
      <c r="U54" s="407"/>
      <c r="V54" s="407"/>
      <c r="W54" s="407"/>
      <c r="X54" s="407"/>
      <c r="Y54" s="407"/>
      <c r="Z54" s="408"/>
    </row>
    <row r="55" spans="2:26" ht="22.95" customHeight="1">
      <c r="B55" s="117"/>
      <c r="C55" s="32"/>
      <c r="D55" s="209"/>
      <c r="E55" s="209"/>
      <c r="F55" s="210"/>
      <c r="G55" s="210"/>
      <c r="H55" s="210"/>
      <c r="I55" s="210"/>
      <c r="J55" s="146"/>
      <c r="K55" s="106"/>
      <c r="M55" s="405"/>
      <c r="N55" s="407"/>
      <c r="O55" s="407"/>
      <c r="P55" s="407"/>
      <c r="Q55" s="407"/>
      <c r="R55" s="407"/>
      <c r="S55" s="407"/>
      <c r="T55" s="407"/>
      <c r="U55" s="407"/>
      <c r="V55" s="407"/>
      <c r="W55" s="407"/>
      <c r="X55" s="407"/>
      <c r="Y55" s="407"/>
      <c r="Z55" s="408"/>
    </row>
    <row r="56" spans="2:26" ht="22.95" customHeight="1">
      <c r="B56" s="117"/>
      <c r="C56" s="66" t="s">
        <v>621</v>
      </c>
      <c r="D56" s="209"/>
      <c r="E56" s="209"/>
      <c r="F56" s="210"/>
      <c r="G56" s="210"/>
      <c r="H56" s="210"/>
      <c r="I56" s="210"/>
      <c r="J56" s="96"/>
      <c r="K56" s="106"/>
      <c r="M56" s="405"/>
      <c r="N56" s="407"/>
      <c r="O56" s="407"/>
      <c r="P56" s="407"/>
      <c r="Q56" s="407"/>
      <c r="R56" s="407"/>
      <c r="S56" s="407"/>
      <c r="T56" s="407"/>
      <c r="U56" s="407"/>
      <c r="V56" s="407"/>
      <c r="W56" s="407"/>
      <c r="X56" s="407"/>
      <c r="Y56" s="407"/>
      <c r="Z56" s="408"/>
    </row>
    <row r="57" spans="2:26" ht="22.95" customHeight="1">
      <c r="B57" s="117"/>
      <c r="C57" s="557"/>
      <c r="D57" s="558"/>
      <c r="E57" s="558"/>
      <c r="F57" s="558"/>
      <c r="G57" s="558"/>
      <c r="H57" s="558"/>
      <c r="I57" s="558"/>
      <c r="J57" s="559"/>
      <c r="K57" s="106"/>
      <c r="M57" s="405"/>
      <c r="N57" s="407"/>
      <c r="O57" s="407"/>
      <c r="P57" s="407"/>
      <c r="Q57" s="407"/>
      <c r="R57" s="407"/>
      <c r="S57" s="407"/>
      <c r="T57" s="407"/>
      <c r="U57" s="407"/>
      <c r="V57" s="407"/>
      <c r="W57" s="407"/>
      <c r="X57" s="407"/>
      <c r="Y57" s="407"/>
      <c r="Z57" s="408"/>
    </row>
    <row r="58" spans="2:26" ht="22.95" customHeight="1">
      <c r="B58" s="117"/>
      <c r="C58" s="560"/>
      <c r="D58" s="561"/>
      <c r="E58" s="561"/>
      <c r="F58" s="561"/>
      <c r="G58" s="561"/>
      <c r="H58" s="561"/>
      <c r="I58" s="561"/>
      <c r="J58" s="562"/>
      <c r="K58" s="106"/>
      <c r="M58" s="405"/>
      <c r="N58" s="407"/>
      <c r="O58" s="407"/>
      <c r="P58" s="407"/>
      <c r="Q58" s="407"/>
      <c r="R58" s="407"/>
      <c r="S58" s="407"/>
      <c r="T58" s="407"/>
      <c r="U58" s="407"/>
      <c r="V58" s="407"/>
      <c r="W58" s="407"/>
      <c r="X58" s="407"/>
      <c r="Y58" s="407"/>
      <c r="Z58" s="408"/>
    </row>
    <row r="59" spans="2:26" ht="22.95" customHeight="1">
      <c r="B59" s="117"/>
      <c r="C59" s="560"/>
      <c r="D59" s="561"/>
      <c r="E59" s="561"/>
      <c r="F59" s="561"/>
      <c r="G59" s="561"/>
      <c r="H59" s="561"/>
      <c r="I59" s="561"/>
      <c r="J59" s="562"/>
      <c r="K59" s="106"/>
      <c r="M59" s="405"/>
      <c r="N59" s="407"/>
      <c r="O59" s="407"/>
      <c r="P59" s="407"/>
      <c r="Q59" s="407"/>
      <c r="R59" s="407"/>
      <c r="S59" s="407"/>
      <c r="T59" s="407"/>
      <c r="U59" s="407"/>
      <c r="V59" s="407"/>
      <c r="W59" s="407"/>
      <c r="X59" s="407"/>
      <c r="Y59" s="407"/>
      <c r="Z59" s="408"/>
    </row>
    <row r="60" spans="2:26" ht="22.95" customHeight="1">
      <c r="B60" s="117"/>
      <c r="C60" s="563"/>
      <c r="D60" s="564"/>
      <c r="E60" s="564"/>
      <c r="F60" s="564"/>
      <c r="G60" s="564"/>
      <c r="H60" s="564"/>
      <c r="I60" s="564"/>
      <c r="J60" s="565"/>
      <c r="K60" s="106"/>
      <c r="M60" s="405"/>
      <c r="N60" s="407"/>
      <c r="O60" s="407"/>
      <c r="P60" s="407"/>
      <c r="Q60" s="407"/>
      <c r="R60" s="407"/>
      <c r="S60" s="407"/>
      <c r="T60" s="407"/>
      <c r="U60" s="407"/>
      <c r="V60" s="407"/>
      <c r="W60" s="407"/>
      <c r="X60" s="407"/>
      <c r="Y60" s="407"/>
      <c r="Z60" s="408"/>
    </row>
    <row r="61" spans="2:26" ht="22.95" customHeight="1">
      <c r="B61" s="117"/>
      <c r="C61" s="924"/>
      <c r="D61" s="924"/>
      <c r="E61" s="924"/>
      <c r="F61" s="924"/>
      <c r="G61" s="924"/>
      <c r="H61" s="924"/>
      <c r="I61" s="924"/>
      <c r="J61" s="924"/>
      <c r="K61" s="106"/>
      <c r="M61" s="405"/>
      <c r="N61" s="407"/>
      <c r="O61" s="407"/>
      <c r="P61" s="407"/>
      <c r="Q61" s="407"/>
      <c r="R61" s="407"/>
      <c r="S61" s="407"/>
      <c r="T61" s="407"/>
      <c r="U61" s="407"/>
      <c r="V61" s="407"/>
      <c r="W61" s="407"/>
      <c r="X61" s="407"/>
      <c r="Y61" s="407"/>
      <c r="Z61" s="408"/>
    </row>
    <row r="62" spans="2:26" ht="22.95" customHeight="1">
      <c r="B62" s="117"/>
      <c r="C62" s="925" t="s">
        <v>24</v>
      </c>
      <c r="D62" s="924"/>
      <c r="E62" s="924"/>
      <c r="F62" s="924"/>
      <c r="G62" s="924"/>
      <c r="H62" s="924"/>
      <c r="I62" s="924"/>
      <c r="J62" s="924"/>
      <c r="K62" s="106"/>
      <c r="M62" s="405"/>
      <c r="N62" s="407"/>
      <c r="O62" s="407"/>
      <c r="P62" s="407"/>
      <c r="Q62" s="407"/>
      <c r="R62" s="407"/>
      <c r="S62" s="407"/>
      <c r="T62" s="407"/>
      <c r="U62" s="407"/>
      <c r="V62" s="407"/>
      <c r="W62" s="407"/>
      <c r="X62" s="407"/>
      <c r="Y62" s="407"/>
      <c r="Z62" s="408"/>
    </row>
    <row r="63" spans="2:26" ht="22.95" customHeight="1">
      <c r="B63" s="117"/>
      <c r="C63" s="926" t="s">
        <v>47</v>
      </c>
      <c r="D63" s="924"/>
      <c r="E63" s="924"/>
      <c r="F63" s="924"/>
      <c r="G63" s="924"/>
      <c r="H63" s="924"/>
      <c r="I63" s="924"/>
      <c r="J63" s="924"/>
      <c r="K63" s="106"/>
      <c r="M63" s="405"/>
      <c r="N63" s="407"/>
      <c r="O63" s="407"/>
      <c r="P63" s="407"/>
      <c r="Q63" s="407"/>
      <c r="R63" s="407"/>
      <c r="S63" s="407"/>
      <c r="T63" s="407"/>
      <c r="U63" s="407"/>
      <c r="V63" s="407"/>
      <c r="W63" s="407"/>
      <c r="X63" s="407"/>
      <c r="Y63" s="407"/>
      <c r="Z63" s="408"/>
    </row>
    <row r="64" spans="2:26" ht="22.95" customHeight="1">
      <c r="B64" s="117"/>
      <c r="C64" s="924"/>
      <c r="D64" s="924"/>
      <c r="E64" s="924"/>
      <c r="F64" s="924"/>
      <c r="G64" s="924"/>
      <c r="H64" s="924"/>
      <c r="I64" s="924"/>
      <c r="J64" s="924"/>
      <c r="K64" s="106"/>
      <c r="M64" s="405"/>
      <c r="N64" s="407"/>
      <c r="O64" s="407"/>
      <c r="P64" s="407"/>
      <c r="Q64" s="407"/>
      <c r="R64" s="407"/>
      <c r="S64" s="407"/>
      <c r="T64" s="407"/>
      <c r="U64" s="407"/>
      <c r="V64" s="407"/>
      <c r="W64" s="407"/>
      <c r="X64" s="407"/>
      <c r="Y64" s="407"/>
      <c r="Z64" s="408"/>
    </row>
    <row r="65" spans="2:26" ht="22.95" customHeight="1" thickBot="1">
      <c r="B65" s="121"/>
      <c r="C65" s="53"/>
      <c r="D65" s="1003"/>
      <c r="E65" s="1003"/>
      <c r="F65" s="53"/>
      <c r="G65" s="53"/>
      <c r="H65" s="53"/>
      <c r="I65" s="53"/>
      <c r="J65" s="122"/>
      <c r="K65" s="123"/>
      <c r="M65" s="399"/>
      <c r="N65" s="400"/>
      <c r="O65" s="400"/>
      <c r="P65" s="400"/>
      <c r="Q65" s="400"/>
      <c r="R65" s="400"/>
      <c r="S65" s="400"/>
      <c r="T65" s="400"/>
      <c r="U65" s="400"/>
      <c r="V65" s="400"/>
      <c r="W65" s="400"/>
      <c r="X65" s="400"/>
      <c r="Y65" s="400"/>
      <c r="Z65" s="401"/>
    </row>
    <row r="66" spans="2:26" ht="22.95" customHeight="1">
      <c r="D66" s="104"/>
      <c r="E66" s="104"/>
      <c r="F66" s="105"/>
      <c r="G66" s="105"/>
      <c r="H66" s="105"/>
      <c r="I66" s="105"/>
      <c r="J66" s="105"/>
    </row>
    <row r="67" spans="2:26" ht="13.2">
      <c r="D67" s="124" t="s">
        <v>174</v>
      </c>
      <c r="E67" s="104"/>
      <c r="F67" s="105"/>
      <c r="G67" s="105"/>
      <c r="H67" s="105"/>
      <c r="I67" s="105"/>
      <c r="J67" s="95" t="s">
        <v>158</v>
      </c>
    </row>
    <row r="68" spans="2:26" ht="13.2">
      <c r="D68" s="125" t="s">
        <v>175</v>
      </c>
      <c r="E68" s="104"/>
      <c r="F68" s="105"/>
      <c r="G68" s="105"/>
      <c r="H68" s="105"/>
      <c r="I68" s="105"/>
      <c r="J68" s="105"/>
    </row>
    <row r="69" spans="2:26" ht="13.2">
      <c r="D69" s="125" t="s">
        <v>176</v>
      </c>
      <c r="E69" s="104"/>
      <c r="F69" s="105"/>
      <c r="G69" s="105"/>
      <c r="H69" s="105"/>
      <c r="I69" s="105"/>
      <c r="J69" s="105"/>
    </row>
    <row r="70" spans="2:26" ht="13.2">
      <c r="D70" s="125" t="s">
        <v>177</v>
      </c>
      <c r="E70" s="104"/>
      <c r="F70" s="105"/>
      <c r="G70" s="105"/>
      <c r="H70" s="105"/>
      <c r="I70" s="105"/>
      <c r="J70" s="105"/>
    </row>
    <row r="71" spans="2:26" ht="13.2">
      <c r="D71" s="125" t="s">
        <v>178</v>
      </c>
      <c r="E71" s="104"/>
      <c r="F71" s="105"/>
      <c r="G71" s="105"/>
      <c r="H71" s="105"/>
      <c r="I71" s="105"/>
      <c r="J71" s="105"/>
    </row>
    <row r="72" spans="2:26" ht="22.95" customHeight="1">
      <c r="D72" s="104"/>
      <c r="E72" s="104"/>
      <c r="F72" s="105"/>
      <c r="G72" s="105"/>
      <c r="H72" s="105"/>
      <c r="I72" s="105"/>
      <c r="J72" s="105"/>
    </row>
    <row r="73" spans="2:26" ht="22.95" customHeight="1">
      <c r="D73" s="104"/>
      <c r="E73" s="104"/>
      <c r="F73" s="105"/>
      <c r="G73" s="105"/>
      <c r="H73" s="105"/>
      <c r="I73" s="105"/>
      <c r="J73" s="105"/>
    </row>
    <row r="74" spans="2:26" ht="22.95" customHeight="1">
      <c r="D74" s="104"/>
      <c r="E74" s="104"/>
      <c r="F74" s="105"/>
      <c r="G74" s="105"/>
      <c r="H74" s="105"/>
      <c r="I74" s="105"/>
      <c r="J74" s="105"/>
    </row>
    <row r="75" spans="2:26" ht="22.95" customHeight="1">
      <c r="D75" s="104"/>
      <c r="E75" s="104"/>
      <c r="F75" s="105"/>
      <c r="G75" s="105"/>
      <c r="H75" s="105"/>
      <c r="I75" s="105"/>
      <c r="J75" s="105"/>
    </row>
    <row r="76" spans="2:26" ht="22.95" customHeight="1">
      <c r="F76" s="105"/>
      <c r="G76" s="105"/>
      <c r="H76" s="105"/>
      <c r="I76" s="105"/>
      <c r="J76" s="105"/>
    </row>
  </sheetData>
  <sheetProtection password="E059"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X86"/>
  <sheetViews>
    <sheetView zoomScale="55" zoomScaleNormal="55" workbookViewId="0">
      <selection activeCell="B1" sqref="B1:I81"/>
    </sheetView>
  </sheetViews>
  <sheetFormatPr baseColWidth="10" defaultColWidth="10.54296875" defaultRowHeight="22.95" customHeight="1"/>
  <cols>
    <col min="1" max="2" width="3.1796875" style="97" customWidth="1"/>
    <col min="3" max="3" width="13.54296875" style="97" customWidth="1"/>
    <col min="4" max="4" width="66.453125" style="97" customWidth="1"/>
    <col min="5" max="5" width="14.1796875" style="98" customWidth="1"/>
    <col min="6" max="6" width="2.54296875" style="98" customWidth="1"/>
    <col min="7" max="7" width="79.1796875" style="98" customWidth="1"/>
    <col min="8" max="8" width="14.1796875" style="98" customWidth="1"/>
    <col min="9" max="9" width="3.453125" style="97" customWidth="1"/>
    <col min="10" max="16384" width="10.54296875" style="97"/>
  </cols>
  <sheetData>
    <row r="2" spans="2:24" ht="22.95" customHeight="1">
      <c r="D2" s="209" t="s">
        <v>477</v>
      </c>
    </row>
    <row r="3" spans="2:24" ht="22.95" customHeight="1">
      <c r="D3" s="209" t="s">
        <v>478</v>
      </c>
    </row>
    <row r="4" spans="2:24" ht="22.95" customHeight="1" thickBot="1"/>
    <row r="5" spans="2:24" ht="9" customHeight="1">
      <c r="B5" s="99"/>
      <c r="C5" s="100"/>
      <c r="D5" s="100"/>
      <c r="E5" s="101"/>
      <c r="F5" s="101"/>
      <c r="G5" s="101"/>
      <c r="H5" s="101"/>
      <c r="I5" s="102"/>
      <c r="K5" s="402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4"/>
    </row>
    <row r="6" spans="2:24" ht="30" customHeight="1">
      <c r="B6" s="103"/>
      <c r="C6" s="67" t="s">
        <v>97</v>
      </c>
      <c r="D6" s="104"/>
      <c r="E6" s="105"/>
      <c r="F6" s="105"/>
      <c r="G6" s="105"/>
      <c r="H6" s="984">
        <f>ejercicio</f>
        <v>2018</v>
      </c>
      <c r="I6" s="106"/>
      <c r="K6" s="405"/>
      <c r="L6" s="406" t="s">
        <v>810</v>
      </c>
      <c r="M6" s="406"/>
      <c r="N6" s="406"/>
      <c r="O6" s="406"/>
      <c r="P6" s="407"/>
      <c r="Q6" s="407"/>
      <c r="R6" s="407"/>
      <c r="S6" s="407"/>
      <c r="T6" s="407"/>
      <c r="U6" s="407"/>
      <c r="V6" s="407"/>
      <c r="W6" s="407"/>
      <c r="X6" s="408"/>
    </row>
    <row r="7" spans="2:24" ht="30" customHeight="1">
      <c r="B7" s="103"/>
      <c r="C7" s="67" t="s">
        <v>98</v>
      </c>
      <c r="D7" s="104"/>
      <c r="E7" s="105"/>
      <c r="F7" s="105"/>
      <c r="G7" s="105"/>
      <c r="H7" s="984"/>
      <c r="I7" s="106"/>
      <c r="K7" s="405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8"/>
    </row>
    <row r="8" spans="2:24" ht="30" customHeight="1">
      <c r="B8" s="103"/>
      <c r="C8" s="107"/>
      <c r="D8" s="104"/>
      <c r="E8" s="105"/>
      <c r="F8" s="105"/>
      <c r="G8" s="105"/>
      <c r="H8" s="108"/>
      <c r="I8" s="106"/>
      <c r="K8" s="405"/>
      <c r="L8" s="407"/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408"/>
    </row>
    <row r="9" spans="2:24" s="184" customFormat="1" ht="30" customHeight="1">
      <c r="B9" s="182"/>
      <c r="C9" s="40" t="s">
        <v>99</v>
      </c>
      <c r="D9" s="1004" t="str">
        <f>Entidad</f>
        <v>INSTITUTO TECNOLÓGICO Y DE ENERGÍAS RENOVALBES S.A. (ITER)</v>
      </c>
      <c r="E9" s="1004"/>
      <c r="F9" s="1004"/>
      <c r="G9" s="1004"/>
      <c r="H9" s="1004"/>
      <c r="I9" s="183"/>
      <c r="K9" s="405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8"/>
    </row>
    <row r="10" spans="2:24" ht="7.2" customHeight="1">
      <c r="B10" s="103"/>
      <c r="C10" s="104"/>
      <c r="D10" s="104"/>
      <c r="E10" s="105"/>
      <c r="F10" s="105"/>
      <c r="G10" s="105"/>
      <c r="H10" s="105"/>
      <c r="I10" s="106"/>
      <c r="K10" s="405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7"/>
      <c r="X10" s="408"/>
    </row>
    <row r="11" spans="2:24" s="115" customFormat="1" ht="30" customHeight="1">
      <c r="B11" s="111"/>
      <c r="C11" s="112" t="s">
        <v>625</v>
      </c>
      <c r="D11" s="112"/>
      <c r="E11" s="113"/>
      <c r="F11" s="113"/>
      <c r="G11" s="113"/>
      <c r="H11" s="113"/>
      <c r="I11" s="114"/>
      <c r="K11" s="405"/>
      <c r="L11" s="407"/>
      <c r="M11" s="407"/>
      <c r="N11" s="407"/>
      <c r="O11" s="407"/>
      <c r="P11" s="407"/>
      <c r="Q11" s="407"/>
      <c r="R11" s="407"/>
      <c r="S11" s="407"/>
      <c r="T11" s="407"/>
      <c r="U11" s="407"/>
      <c r="V11" s="407"/>
      <c r="W11" s="407"/>
      <c r="X11" s="408"/>
    </row>
    <row r="12" spans="2:24" s="115" customFormat="1" ht="30" customHeight="1">
      <c r="B12" s="111"/>
      <c r="C12" s="1043"/>
      <c r="D12" s="1043"/>
      <c r="E12" s="96"/>
      <c r="F12" s="96"/>
      <c r="G12" s="96"/>
      <c r="H12" s="96"/>
      <c r="I12" s="114"/>
      <c r="K12" s="405"/>
      <c r="L12" s="407"/>
      <c r="M12" s="407"/>
      <c r="N12" s="407"/>
      <c r="O12" s="407"/>
      <c r="P12" s="407"/>
      <c r="Q12" s="407"/>
      <c r="R12" s="407"/>
      <c r="S12" s="407"/>
      <c r="T12" s="407"/>
      <c r="U12" s="407"/>
      <c r="V12" s="407"/>
      <c r="W12" s="407"/>
      <c r="X12" s="408"/>
    </row>
    <row r="13" spans="2:24" ht="28.95" customHeight="1">
      <c r="B13" s="117"/>
      <c r="C13" s="1084" t="s">
        <v>626</v>
      </c>
      <c r="D13" s="1085"/>
      <c r="E13" s="1085"/>
      <c r="F13" s="1085"/>
      <c r="G13" s="1085"/>
      <c r="H13" s="1086"/>
      <c r="I13" s="106"/>
      <c r="K13" s="405"/>
      <c r="L13" s="407"/>
      <c r="M13" s="407"/>
      <c r="N13" s="407"/>
      <c r="O13" s="407"/>
      <c r="P13" s="407"/>
      <c r="Q13" s="407"/>
      <c r="R13" s="407"/>
      <c r="S13" s="407"/>
      <c r="T13" s="407"/>
      <c r="U13" s="407"/>
      <c r="V13" s="407"/>
      <c r="W13" s="407"/>
      <c r="X13" s="408"/>
    </row>
    <row r="14" spans="2:24" ht="9" customHeight="1">
      <c r="B14" s="117"/>
      <c r="C14" s="150"/>
      <c r="D14" s="150"/>
      <c r="E14" s="96"/>
      <c r="F14" s="96"/>
      <c r="G14" s="96"/>
      <c r="H14" s="96"/>
      <c r="I14" s="106"/>
      <c r="K14" s="405"/>
      <c r="L14" s="407"/>
      <c r="M14" s="407"/>
      <c r="N14" s="407"/>
      <c r="O14" s="407"/>
      <c r="P14" s="407"/>
      <c r="Q14" s="407"/>
      <c r="R14" s="407"/>
      <c r="S14" s="407"/>
      <c r="T14" s="407"/>
      <c r="U14" s="407"/>
      <c r="V14" s="407"/>
      <c r="W14" s="407"/>
      <c r="X14" s="408"/>
    </row>
    <row r="15" spans="2:24" s="246" customFormat="1" ht="22.95" customHeight="1">
      <c r="B15" s="243"/>
      <c r="C15" s="1035" t="s">
        <v>634</v>
      </c>
      <c r="D15" s="1036"/>
      <c r="E15" s="1037"/>
      <c r="F15" s="146"/>
      <c r="G15" s="1035" t="s">
        <v>635</v>
      </c>
      <c r="H15" s="1037"/>
      <c r="I15" s="245"/>
      <c r="K15" s="405"/>
      <c r="L15" s="407"/>
      <c r="M15" s="407"/>
      <c r="N15" s="407"/>
      <c r="O15" s="407"/>
      <c r="P15" s="407"/>
      <c r="Q15" s="407"/>
      <c r="R15" s="407"/>
      <c r="S15" s="407"/>
      <c r="T15" s="407"/>
      <c r="U15" s="407"/>
      <c r="V15" s="407"/>
      <c r="W15" s="407"/>
      <c r="X15" s="408"/>
    </row>
    <row r="16" spans="2:24" s="246" customFormat="1" ht="24" customHeight="1">
      <c r="B16" s="243"/>
      <c r="C16" s="1035" t="s">
        <v>544</v>
      </c>
      <c r="D16" s="1037"/>
      <c r="E16" s="263" t="s">
        <v>582</v>
      </c>
      <c r="F16" s="146"/>
      <c r="G16" s="263" t="s">
        <v>544</v>
      </c>
      <c r="H16" s="247" t="s">
        <v>582</v>
      </c>
      <c r="I16" s="245"/>
      <c r="K16" s="405"/>
      <c r="L16" s="407"/>
      <c r="M16" s="407"/>
      <c r="N16" s="407"/>
      <c r="O16" s="407"/>
      <c r="P16" s="407"/>
      <c r="Q16" s="407"/>
      <c r="R16" s="407"/>
      <c r="S16" s="407"/>
      <c r="T16" s="407"/>
      <c r="U16" s="407"/>
      <c r="V16" s="407"/>
      <c r="W16" s="407"/>
      <c r="X16" s="408"/>
    </row>
    <row r="17" spans="2:24" s="120" customFormat="1" ht="22.95" customHeight="1">
      <c r="B17" s="117"/>
      <c r="C17" s="276" t="s">
        <v>636</v>
      </c>
      <c r="D17" s="277"/>
      <c r="E17" s="491">
        <v>905998.26</v>
      </c>
      <c r="F17" s="279"/>
      <c r="G17" s="278" t="str">
        <f>C17</f>
        <v>CABILDO INSULAR DE TENERIFE</v>
      </c>
      <c r="H17" s="491"/>
      <c r="I17" s="118"/>
      <c r="K17" s="405"/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  <c r="W17" s="407"/>
      <c r="X17" s="408"/>
    </row>
    <row r="18" spans="2:24" s="120" customFormat="1" ht="22.95" customHeight="1">
      <c r="B18" s="117"/>
      <c r="C18" s="280" t="s">
        <v>637</v>
      </c>
      <c r="D18" s="281"/>
      <c r="E18" s="491"/>
      <c r="F18" s="279"/>
      <c r="G18" s="278" t="str">
        <f t="shared" ref="G18:G55" si="0">C18</f>
        <v>O.A. DE MUSEOS Y CENTROS</v>
      </c>
      <c r="H18" s="491"/>
      <c r="I18" s="118"/>
      <c r="K18" s="405"/>
      <c r="L18" s="407"/>
      <c r="M18" s="407"/>
      <c r="N18" s="407"/>
      <c r="O18" s="407"/>
      <c r="P18" s="407"/>
      <c r="Q18" s="407"/>
      <c r="R18" s="407"/>
      <c r="S18" s="407"/>
      <c r="T18" s="407"/>
      <c r="U18" s="407"/>
      <c r="V18" s="407"/>
      <c r="W18" s="407"/>
      <c r="X18" s="408"/>
    </row>
    <row r="19" spans="2:24" s="120" customFormat="1" ht="22.95" customHeight="1">
      <c r="B19" s="117"/>
      <c r="C19" s="280" t="s">
        <v>638</v>
      </c>
      <c r="D19" s="281"/>
      <c r="E19" s="491"/>
      <c r="F19" s="279"/>
      <c r="G19" s="278" t="str">
        <f t="shared" si="0"/>
        <v>O.A. INST. INS. ATENCIÓN SOC. Y SOCIOSAN.</v>
      </c>
      <c r="H19" s="491"/>
      <c r="I19" s="118"/>
      <c r="K19" s="405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  <c r="X19" s="408"/>
    </row>
    <row r="20" spans="2:24" s="120" customFormat="1" ht="22.95" customHeight="1">
      <c r="B20" s="117"/>
      <c r="C20" s="280" t="s">
        <v>639</v>
      </c>
      <c r="D20" s="281"/>
      <c r="E20" s="491"/>
      <c r="F20" s="279"/>
      <c r="G20" s="278" t="str">
        <f t="shared" si="0"/>
        <v>O.A. PATRONATO INSULAR DE MUSICA</v>
      </c>
      <c r="H20" s="491"/>
      <c r="I20" s="118"/>
      <c r="K20" s="405"/>
      <c r="L20" s="407"/>
      <c r="M20" s="407"/>
      <c r="N20" s="407"/>
      <c r="O20" s="407"/>
      <c r="P20" s="407"/>
      <c r="Q20" s="407"/>
      <c r="R20" s="407"/>
      <c r="S20" s="407"/>
      <c r="T20" s="407"/>
      <c r="U20" s="407"/>
      <c r="V20" s="407"/>
      <c r="W20" s="407"/>
      <c r="X20" s="408"/>
    </row>
    <row r="21" spans="2:24" s="120" customFormat="1" ht="22.95" customHeight="1">
      <c r="B21" s="117"/>
      <c r="C21" s="280" t="s">
        <v>640</v>
      </c>
      <c r="D21" s="281"/>
      <c r="E21" s="491"/>
      <c r="F21" s="279"/>
      <c r="G21" s="278" t="str">
        <f t="shared" si="0"/>
        <v>O.A. CONSEJO INSULAR DE AGUAS</v>
      </c>
      <c r="H21" s="491"/>
      <c r="I21" s="118"/>
      <c r="K21" s="405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7"/>
      <c r="W21" s="407"/>
      <c r="X21" s="408"/>
    </row>
    <row r="22" spans="2:24" s="120" customFormat="1" ht="22.95" customHeight="1">
      <c r="B22" s="117"/>
      <c r="C22" s="280" t="s">
        <v>641</v>
      </c>
      <c r="D22" s="281"/>
      <c r="E22" s="491">
        <v>5400</v>
      </c>
      <c r="F22" s="279"/>
      <c r="G22" s="278" t="str">
        <f t="shared" si="0"/>
        <v>EPEL. BALSAS DE TENERIFE</v>
      </c>
      <c r="H22" s="491"/>
      <c r="I22" s="118"/>
      <c r="K22" s="405"/>
      <c r="L22" s="407"/>
      <c r="M22" s="407"/>
      <c r="N22" s="407"/>
      <c r="O22" s="407"/>
      <c r="P22" s="407"/>
      <c r="Q22" s="407"/>
      <c r="R22" s="407"/>
      <c r="S22" s="407"/>
      <c r="T22" s="407"/>
      <c r="U22" s="407"/>
      <c r="V22" s="407"/>
      <c r="W22" s="407"/>
      <c r="X22" s="408"/>
    </row>
    <row r="23" spans="2:24" s="120" customFormat="1" ht="22.95" customHeight="1">
      <c r="B23" s="117"/>
      <c r="C23" s="280" t="s">
        <v>18</v>
      </c>
      <c r="D23" s="281"/>
      <c r="E23" s="491"/>
      <c r="F23" s="279"/>
      <c r="G23" s="278" t="str">
        <f t="shared" si="0"/>
        <v>EPEL TEA, TENERFE ESPACIO DE LAS ARTES</v>
      </c>
      <c r="H23" s="491"/>
      <c r="I23" s="118"/>
      <c r="K23" s="405"/>
      <c r="L23" s="407"/>
      <c r="M23" s="407"/>
      <c r="N23" s="407"/>
      <c r="O23" s="407"/>
      <c r="P23" s="407"/>
      <c r="Q23" s="407"/>
      <c r="R23" s="407"/>
      <c r="S23" s="407"/>
      <c r="T23" s="407"/>
      <c r="U23" s="407"/>
      <c r="V23" s="407"/>
      <c r="W23" s="407"/>
      <c r="X23" s="408"/>
    </row>
    <row r="24" spans="2:24" s="120" customFormat="1" ht="22.95" customHeight="1">
      <c r="B24" s="117"/>
      <c r="C24" s="280" t="s">
        <v>642</v>
      </c>
      <c r="D24" s="281"/>
      <c r="E24" s="491"/>
      <c r="F24" s="279"/>
      <c r="G24" s="278" t="str">
        <f t="shared" si="0"/>
        <v>EPEL AGROTEIDE ENTIDAD INSULAR DESARROLLO AGRICOLA Y GANADERO</v>
      </c>
      <c r="H24" s="491"/>
      <c r="I24" s="118"/>
      <c r="K24" s="405"/>
      <c r="L24" s="407"/>
      <c r="M24" s="407"/>
      <c r="N24" s="407"/>
      <c r="O24" s="407"/>
      <c r="P24" s="407"/>
      <c r="Q24" s="407"/>
      <c r="R24" s="407"/>
      <c r="S24" s="407"/>
      <c r="T24" s="407"/>
      <c r="U24" s="407"/>
      <c r="V24" s="407"/>
      <c r="W24" s="407"/>
      <c r="X24" s="408"/>
    </row>
    <row r="25" spans="2:24" s="120" customFormat="1" ht="22.95" customHeight="1">
      <c r="B25" s="117"/>
      <c r="C25" s="280" t="s">
        <v>643</v>
      </c>
      <c r="D25" s="281"/>
      <c r="E25" s="491"/>
      <c r="F25" s="279"/>
      <c r="G25" s="278" t="str">
        <f t="shared" si="0"/>
        <v>CASINO DE TAORO, SA</v>
      </c>
      <c r="H25" s="491"/>
      <c r="I25" s="118"/>
      <c r="K25" s="405"/>
      <c r="L25" s="407"/>
      <c r="M25" s="407"/>
      <c r="N25" s="407"/>
      <c r="O25" s="407"/>
      <c r="P25" s="407"/>
      <c r="Q25" s="407"/>
      <c r="R25" s="407"/>
      <c r="S25" s="407"/>
      <c r="T25" s="407"/>
      <c r="U25" s="407"/>
      <c r="V25" s="407"/>
      <c r="W25" s="407"/>
      <c r="X25" s="408"/>
    </row>
    <row r="26" spans="2:24" s="120" customFormat="1" ht="22.95" customHeight="1">
      <c r="B26" s="117"/>
      <c r="C26" s="280" t="s">
        <v>644</v>
      </c>
      <c r="D26" s="281"/>
      <c r="E26" s="491"/>
      <c r="F26" s="279"/>
      <c r="G26" s="278" t="str">
        <f t="shared" si="0"/>
        <v>CASINO DE PLAYA DE LAS AMÉRICAS, SA</v>
      </c>
      <c r="H26" s="491"/>
      <c r="I26" s="118"/>
      <c r="K26" s="405"/>
      <c r="L26" s="407"/>
      <c r="M26" s="407"/>
      <c r="N26" s="407"/>
      <c r="O26" s="407"/>
      <c r="P26" s="407"/>
      <c r="Q26" s="407"/>
      <c r="R26" s="407"/>
      <c r="S26" s="407"/>
      <c r="T26" s="407"/>
      <c r="U26" s="407"/>
      <c r="V26" s="407"/>
      <c r="W26" s="407"/>
      <c r="X26" s="408"/>
    </row>
    <row r="27" spans="2:24" s="120" customFormat="1" ht="22.95" customHeight="1">
      <c r="B27" s="117"/>
      <c r="C27" s="280" t="s">
        <v>645</v>
      </c>
      <c r="D27" s="281"/>
      <c r="E27" s="491"/>
      <c r="F27" s="279"/>
      <c r="G27" s="278" t="str">
        <f t="shared" si="0"/>
        <v>CASINO DE SANTA CRUZ, SA</v>
      </c>
      <c r="H27" s="491"/>
      <c r="I27" s="118"/>
      <c r="K27" s="405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8"/>
    </row>
    <row r="28" spans="2:24" s="120" customFormat="1" ht="22.95" customHeight="1">
      <c r="B28" s="117"/>
      <c r="C28" s="280" t="s">
        <v>646</v>
      </c>
      <c r="D28" s="281"/>
      <c r="E28" s="491"/>
      <c r="F28" s="279"/>
      <c r="G28" s="278" t="str">
        <f t="shared" si="0"/>
        <v>INSTIT.FERIAL DE TENERIFE, SA</v>
      </c>
      <c r="H28" s="491"/>
      <c r="I28" s="118"/>
      <c r="K28" s="405"/>
      <c r="L28" s="407"/>
      <c r="M28" s="407"/>
      <c r="N28" s="407"/>
      <c r="O28" s="407"/>
      <c r="P28" s="407"/>
      <c r="Q28" s="407"/>
      <c r="R28" s="407"/>
      <c r="S28" s="407"/>
      <c r="T28" s="407"/>
      <c r="U28" s="407"/>
      <c r="V28" s="407"/>
      <c r="W28" s="407"/>
      <c r="X28" s="408"/>
    </row>
    <row r="29" spans="2:24" s="120" customFormat="1" ht="22.95" customHeight="1">
      <c r="B29" s="117"/>
      <c r="C29" s="280" t="s">
        <v>647</v>
      </c>
      <c r="D29" s="281"/>
      <c r="E29" s="491"/>
      <c r="F29" s="279"/>
      <c r="G29" s="278" t="str">
        <f t="shared" si="0"/>
        <v>EMPRESA INSULAR DE ARTESANÍA, SA</v>
      </c>
      <c r="H29" s="491"/>
      <c r="I29" s="118"/>
      <c r="K29" s="405"/>
      <c r="L29" s="407"/>
      <c r="M29" s="407"/>
      <c r="N29" s="407"/>
      <c r="O29" s="407"/>
      <c r="P29" s="407"/>
      <c r="Q29" s="407"/>
      <c r="R29" s="407"/>
      <c r="S29" s="407"/>
      <c r="T29" s="407"/>
      <c r="U29" s="407"/>
      <c r="V29" s="407"/>
      <c r="W29" s="407"/>
      <c r="X29" s="408"/>
    </row>
    <row r="30" spans="2:24" s="120" customFormat="1" ht="22.95" customHeight="1">
      <c r="B30" s="117"/>
      <c r="C30" s="280" t="s">
        <v>648</v>
      </c>
      <c r="D30" s="281"/>
      <c r="E30" s="491"/>
      <c r="F30" s="279"/>
      <c r="G30" s="278" t="str">
        <f t="shared" si="0"/>
        <v>SINPROMI.S.L.</v>
      </c>
      <c r="H30" s="491"/>
      <c r="I30" s="118"/>
      <c r="K30" s="405"/>
      <c r="L30" s="407"/>
      <c r="M30" s="407"/>
      <c r="N30" s="407"/>
      <c r="O30" s="407"/>
      <c r="P30" s="407"/>
      <c r="Q30" s="407"/>
      <c r="R30" s="407"/>
      <c r="S30" s="407"/>
      <c r="T30" s="407"/>
      <c r="U30" s="407"/>
      <c r="V30" s="407"/>
      <c r="W30" s="407"/>
      <c r="X30" s="408"/>
    </row>
    <row r="31" spans="2:24" s="120" customFormat="1" ht="22.95" customHeight="1">
      <c r="B31" s="117"/>
      <c r="C31" s="280" t="s">
        <v>649</v>
      </c>
      <c r="D31" s="281"/>
      <c r="E31" s="491"/>
      <c r="F31" s="279"/>
      <c r="G31" s="278" t="str">
        <f t="shared" si="0"/>
        <v>AUDITORIO DE TENERIFE, SA</v>
      </c>
      <c r="H31" s="491"/>
      <c r="I31" s="118"/>
      <c r="K31" s="405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7"/>
      <c r="W31" s="407"/>
      <c r="X31" s="408"/>
    </row>
    <row r="32" spans="2:24" s="120" customFormat="1" ht="22.95" customHeight="1">
      <c r="B32" s="117"/>
      <c r="C32" s="280" t="s">
        <v>650</v>
      </c>
      <c r="D32" s="281"/>
      <c r="E32" s="491"/>
      <c r="F32" s="279"/>
      <c r="G32" s="278" t="str">
        <f t="shared" si="0"/>
        <v>GEST. INS. DEPORTE, CULT.Y OCIO, SA (IDECO)</v>
      </c>
      <c r="H32" s="491"/>
      <c r="I32" s="118"/>
      <c r="K32" s="405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8"/>
    </row>
    <row r="33" spans="2:24" s="120" customFormat="1" ht="22.95" customHeight="1">
      <c r="B33" s="117"/>
      <c r="C33" s="280" t="s">
        <v>651</v>
      </c>
      <c r="D33" s="281"/>
      <c r="E33" s="491"/>
      <c r="F33" s="279"/>
      <c r="G33" s="278" t="str">
        <f t="shared" si="0"/>
        <v>TITSA</v>
      </c>
      <c r="H33" s="491"/>
      <c r="I33" s="118"/>
      <c r="K33" s="405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8"/>
    </row>
    <row r="34" spans="2:24" s="120" customFormat="1" ht="22.95" customHeight="1">
      <c r="B34" s="117"/>
      <c r="C34" s="280" t="s">
        <v>652</v>
      </c>
      <c r="D34" s="281"/>
      <c r="E34" s="491"/>
      <c r="F34" s="279"/>
      <c r="G34" s="278" t="str">
        <f t="shared" si="0"/>
        <v>SPET, TURISMO DE TENERIFE, S.A.</v>
      </c>
      <c r="H34" s="491"/>
      <c r="I34" s="118"/>
      <c r="K34" s="405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8"/>
    </row>
    <row r="35" spans="2:24" s="120" customFormat="1" ht="22.95" customHeight="1">
      <c r="B35" s="117"/>
      <c r="C35" s="280" t="s">
        <v>653</v>
      </c>
      <c r="D35" s="281"/>
      <c r="E35" s="491"/>
      <c r="F35" s="279"/>
      <c r="G35" s="278" t="str">
        <f t="shared" si="0"/>
        <v>INSTITUTO MEDICO TINERFEÑO, S.A. (IMETISA)</v>
      </c>
      <c r="H35" s="491"/>
      <c r="I35" s="118"/>
      <c r="K35" s="405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8"/>
    </row>
    <row r="36" spans="2:24" s="120" customFormat="1" ht="22.95" customHeight="1">
      <c r="B36" s="117"/>
      <c r="C36" s="280" t="s">
        <v>654</v>
      </c>
      <c r="D36" s="281"/>
      <c r="E36" s="491">
        <v>16050</v>
      </c>
      <c r="F36" s="279"/>
      <c r="G36" s="278" t="str">
        <f t="shared" si="0"/>
        <v>METROPOLITANO DE TENERIFE, S.A.</v>
      </c>
      <c r="H36" s="491"/>
      <c r="I36" s="118"/>
      <c r="K36" s="405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7"/>
      <c r="W36" s="407"/>
      <c r="X36" s="408"/>
    </row>
    <row r="37" spans="2:24" s="120" customFormat="1" ht="22.95" customHeight="1">
      <c r="B37" s="117"/>
      <c r="C37" s="280" t="s">
        <v>655</v>
      </c>
      <c r="D37" s="281"/>
      <c r="E37" s="491"/>
      <c r="F37" s="279"/>
      <c r="G37" s="278" t="str">
        <f t="shared" si="0"/>
        <v>INST. TECNOL. Y DE ENERGIAS RENOVABLES, S.A. (ITER)</v>
      </c>
      <c r="H37" s="491"/>
      <c r="I37" s="118"/>
      <c r="K37" s="405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8"/>
    </row>
    <row r="38" spans="2:24" s="120" customFormat="1" ht="22.95" customHeight="1">
      <c r="B38" s="117"/>
      <c r="C38" s="280" t="s">
        <v>656</v>
      </c>
      <c r="D38" s="281"/>
      <c r="E38" s="491"/>
      <c r="F38" s="279"/>
      <c r="G38" s="278" t="str">
        <f t="shared" si="0"/>
        <v>CULTIVOS Y TECNOLOGÍAS AGRARIAS DE TENERIFE, S.A (CULTESA)</v>
      </c>
      <c r="H38" s="491"/>
      <c r="I38" s="118"/>
      <c r="K38" s="405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8"/>
    </row>
    <row r="39" spans="2:24" s="120" customFormat="1" ht="22.95" customHeight="1">
      <c r="B39" s="117"/>
      <c r="C39" s="280" t="s">
        <v>657</v>
      </c>
      <c r="D39" s="281"/>
      <c r="E39" s="491"/>
      <c r="F39" s="279"/>
      <c r="G39" s="278" t="str">
        <f t="shared" si="0"/>
        <v>BUENAVISTA GOLF, S.A.</v>
      </c>
      <c r="H39" s="491"/>
      <c r="I39" s="118"/>
      <c r="K39" s="405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8"/>
    </row>
    <row r="40" spans="2:24" s="120" customFormat="1" ht="22.95" customHeight="1">
      <c r="B40" s="117"/>
      <c r="C40" s="280" t="s">
        <v>658</v>
      </c>
      <c r="D40" s="281"/>
      <c r="E40" s="491"/>
      <c r="F40" s="279"/>
      <c r="G40" s="278" t="str">
        <f t="shared" si="0"/>
        <v>PARQUE CIENTÍFICO Y TECNOLÓGICO DE TENERIFE, S.A.</v>
      </c>
      <c r="H40" s="491"/>
      <c r="I40" s="118"/>
      <c r="K40" s="405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8"/>
    </row>
    <row r="41" spans="2:24" s="120" customFormat="1" ht="22.95" customHeight="1">
      <c r="B41" s="117"/>
      <c r="C41" s="280" t="s">
        <v>659</v>
      </c>
      <c r="D41" s="281"/>
      <c r="E41" s="491">
        <v>13910</v>
      </c>
      <c r="F41" s="279"/>
      <c r="G41" s="278" t="str">
        <f t="shared" si="0"/>
        <v>INSTITUTO TECNOLÓGICO Y DE COMUNICACIONES DE TENERIFE, S.L. (IT3)</v>
      </c>
      <c r="H41" s="491"/>
      <c r="I41" s="118"/>
      <c r="K41" s="405"/>
      <c r="L41" s="407"/>
      <c r="M41" s="407"/>
      <c r="N41" s="407"/>
      <c r="O41" s="407"/>
      <c r="P41" s="407"/>
      <c r="Q41" s="407"/>
      <c r="R41" s="407"/>
      <c r="S41" s="407"/>
      <c r="T41" s="407"/>
      <c r="U41" s="407"/>
      <c r="V41" s="407"/>
      <c r="W41" s="407"/>
      <c r="X41" s="408"/>
    </row>
    <row r="42" spans="2:24" s="120" customFormat="1" ht="22.95" customHeight="1">
      <c r="B42" s="117"/>
      <c r="C42" s="280" t="s">
        <v>660</v>
      </c>
      <c r="D42" s="281"/>
      <c r="E42" s="491">
        <f>55721+3900.47</f>
        <v>59621.47</v>
      </c>
      <c r="F42" s="279"/>
      <c r="G42" s="278" t="str">
        <f t="shared" si="0"/>
        <v>INSTITUTO VULCANOLÓGICO DE CANARIAS S.A.</v>
      </c>
      <c r="H42" s="491"/>
      <c r="I42" s="118"/>
      <c r="K42" s="405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8"/>
    </row>
    <row r="43" spans="2:24" s="120" customFormat="1" ht="22.95" customHeight="1">
      <c r="B43" s="117"/>
      <c r="C43" s="280" t="s">
        <v>661</v>
      </c>
      <c r="D43" s="281"/>
      <c r="E43" s="491">
        <v>1208560.96</v>
      </c>
      <c r="F43" s="279"/>
      <c r="G43" s="278" t="str">
        <f t="shared" si="0"/>
        <v>CANARIAS SUBMARINE LINK, S.L. (Canalink)</v>
      </c>
      <c r="H43" s="491"/>
      <c r="I43" s="118"/>
      <c r="K43" s="405"/>
      <c r="L43" s="407"/>
      <c r="M43" s="407"/>
      <c r="N43" s="407"/>
      <c r="O43" s="407"/>
      <c r="P43" s="407"/>
      <c r="Q43" s="407"/>
      <c r="R43" s="407"/>
      <c r="S43" s="407"/>
      <c r="T43" s="407"/>
      <c r="U43" s="407"/>
      <c r="V43" s="407"/>
      <c r="W43" s="407"/>
      <c r="X43" s="408"/>
    </row>
    <row r="44" spans="2:24" s="120" customFormat="1" ht="22.95" customHeight="1">
      <c r="B44" s="117"/>
      <c r="C44" s="280" t="s">
        <v>662</v>
      </c>
      <c r="D44" s="281"/>
      <c r="E44" s="491">
        <v>200116.69</v>
      </c>
      <c r="F44" s="279"/>
      <c r="G44" s="278" t="str">
        <f t="shared" si="0"/>
        <v>CANALINK AFRICA, S.L.</v>
      </c>
      <c r="H44" s="491"/>
      <c r="I44" s="118"/>
      <c r="K44" s="405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8"/>
    </row>
    <row r="45" spans="2:24" s="120" customFormat="1" ht="22.95" customHeight="1">
      <c r="B45" s="117"/>
      <c r="C45" s="280" t="s">
        <v>663</v>
      </c>
      <c r="D45" s="281"/>
      <c r="E45" s="491">
        <v>119249.21</v>
      </c>
      <c r="F45" s="279"/>
      <c r="G45" s="278" t="str">
        <f t="shared" si="0"/>
        <v>CANALINK BAHARICOM, S.L.</v>
      </c>
      <c r="H45" s="491"/>
      <c r="I45" s="118"/>
      <c r="K45" s="405"/>
      <c r="L45" s="407"/>
      <c r="M45" s="407"/>
      <c r="N45" s="407"/>
      <c r="O45" s="407"/>
      <c r="P45" s="407"/>
      <c r="Q45" s="407"/>
      <c r="R45" s="407"/>
      <c r="S45" s="407"/>
      <c r="T45" s="407"/>
      <c r="U45" s="407"/>
      <c r="V45" s="407"/>
      <c r="W45" s="407"/>
      <c r="X45" s="408"/>
    </row>
    <row r="46" spans="2:24" s="120" customFormat="1" ht="22.95" customHeight="1">
      <c r="B46" s="117"/>
      <c r="C46" s="280" t="s">
        <v>664</v>
      </c>
      <c r="D46" s="281"/>
      <c r="E46" s="491"/>
      <c r="F46" s="279"/>
      <c r="G46" s="278" t="str">
        <f t="shared" si="0"/>
        <v>GESTIÓN INSULAR DE AGUAS DE TENERIFE, S.A. (GESTA)</v>
      </c>
      <c r="H46" s="491"/>
      <c r="I46" s="118"/>
      <c r="K46" s="405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7"/>
      <c r="X46" s="408"/>
    </row>
    <row r="47" spans="2:24" s="120" customFormat="1" ht="22.95" customHeight="1">
      <c r="B47" s="117"/>
      <c r="C47" s="280" t="s">
        <v>665</v>
      </c>
      <c r="D47" s="281"/>
      <c r="E47" s="491"/>
      <c r="F47" s="279"/>
      <c r="G47" s="278" t="str">
        <f t="shared" si="0"/>
        <v>FUNDACION TENERIFE RURAL</v>
      </c>
      <c r="H47" s="491"/>
      <c r="I47" s="118"/>
      <c r="K47" s="405"/>
      <c r="L47" s="407"/>
      <c r="M47" s="407"/>
      <c r="N47" s="407"/>
      <c r="O47" s="407"/>
      <c r="P47" s="407"/>
      <c r="Q47" s="407"/>
      <c r="R47" s="407"/>
      <c r="S47" s="407"/>
      <c r="T47" s="407"/>
      <c r="U47" s="407"/>
      <c r="V47" s="407"/>
      <c r="W47" s="407"/>
      <c r="X47" s="408"/>
    </row>
    <row r="48" spans="2:24" s="120" customFormat="1" ht="22.95" customHeight="1">
      <c r="B48" s="117"/>
      <c r="C48" s="280" t="s">
        <v>666</v>
      </c>
      <c r="D48" s="281"/>
      <c r="E48" s="491"/>
      <c r="F48" s="279"/>
      <c r="G48" s="278" t="str">
        <f t="shared" si="0"/>
        <v>FUNDACIÓN  ITB</v>
      </c>
      <c r="H48" s="491"/>
      <c r="I48" s="118"/>
      <c r="K48" s="405"/>
      <c r="L48" s="407"/>
      <c r="M48" s="407"/>
      <c r="N48" s="407"/>
      <c r="O48" s="407"/>
      <c r="P48" s="407"/>
      <c r="Q48" s="407"/>
      <c r="R48" s="407"/>
      <c r="S48" s="407"/>
      <c r="T48" s="407"/>
      <c r="U48" s="407"/>
      <c r="V48" s="407"/>
      <c r="W48" s="407"/>
      <c r="X48" s="408"/>
    </row>
    <row r="49" spans="2:24" s="120" customFormat="1" ht="22.95" customHeight="1">
      <c r="B49" s="117"/>
      <c r="C49" s="280" t="s">
        <v>667</v>
      </c>
      <c r="D49" s="281"/>
      <c r="E49" s="491"/>
      <c r="F49" s="279"/>
      <c r="G49" s="278" t="str">
        <f t="shared" si="0"/>
        <v>FIFEDE</v>
      </c>
      <c r="H49" s="491"/>
      <c r="I49" s="118"/>
      <c r="K49" s="405"/>
      <c r="L49" s="407"/>
      <c r="M49" s="407"/>
      <c r="N49" s="407"/>
      <c r="O49" s="407"/>
      <c r="P49" s="407"/>
      <c r="Q49" s="407"/>
      <c r="R49" s="407"/>
      <c r="S49" s="407"/>
      <c r="T49" s="407"/>
      <c r="U49" s="407"/>
      <c r="V49" s="407"/>
      <c r="W49" s="407"/>
      <c r="X49" s="408"/>
    </row>
    <row r="50" spans="2:24" s="120" customFormat="1" ht="22.95" customHeight="1">
      <c r="B50" s="117"/>
      <c r="C50" s="280" t="s">
        <v>668</v>
      </c>
      <c r="D50" s="281"/>
      <c r="E50" s="491">
        <v>28407.97</v>
      </c>
      <c r="F50" s="279"/>
      <c r="G50" s="278" t="str">
        <f t="shared" si="0"/>
        <v>AGENCIA INSULAR DE LA ENERGIA</v>
      </c>
      <c r="H50" s="491">
        <v>447604.87</v>
      </c>
      <c r="I50" s="118"/>
      <c r="K50" s="405"/>
      <c r="L50" s="407"/>
      <c r="M50" s="407"/>
      <c r="N50" s="407"/>
      <c r="O50" s="407"/>
      <c r="P50" s="407"/>
      <c r="Q50" s="407"/>
      <c r="R50" s="407"/>
      <c r="S50" s="407"/>
      <c r="T50" s="407"/>
      <c r="U50" s="407"/>
      <c r="V50" s="407"/>
      <c r="W50" s="407"/>
      <c r="X50" s="408"/>
    </row>
    <row r="51" spans="2:24" s="120" customFormat="1" ht="22.95" customHeight="1">
      <c r="B51" s="117"/>
      <c r="C51" s="280" t="s">
        <v>669</v>
      </c>
      <c r="D51" s="281"/>
      <c r="E51" s="491"/>
      <c r="F51" s="279"/>
      <c r="G51" s="278" t="str">
        <f t="shared" si="0"/>
        <v>FUNDACIÓN CANARIAS FACTORÍA DE LA INNOVACIÓN TURÍSTICA</v>
      </c>
      <c r="H51" s="491"/>
      <c r="I51" s="118"/>
      <c r="K51" s="405"/>
      <c r="L51" s="407"/>
      <c r="M51" s="407"/>
      <c r="N51" s="407"/>
      <c r="O51" s="407"/>
      <c r="P51" s="407"/>
      <c r="Q51" s="407"/>
      <c r="R51" s="407"/>
      <c r="S51" s="407"/>
      <c r="T51" s="407"/>
      <c r="U51" s="407"/>
      <c r="V51" s="407"/>
      <c r="W51" s="407"/>
      <c r="X51" s="408"/>
    </row>
    <row r="52" spans="2:24" s="120" customFormat="1" ht="22.95" customHeight="1">
      <c r="B52" s="117"/>
      <c r="C52" s="280" t="s">
        <v>670</v>
      </c>
      <c r="D52" s="281"/>
      <c r="E52" s="491"/>
      <c r="F52" s="279"/>
      <c r="G52" s="278" t="str">
        <f t="shared" si="0"/>
        <v>CONSORCIO PREVENSIÓN, EXTINCIÓN INCENDIOS Y SALVAMENTO DE LA ISLA DE TENERIFE</v>
      </c>
      <c r="H52" s="491"/>
      <c r="I52" s="118"/>
      <c r="K52" s="405"/>
      <c r="L52" s="407"/>
      <c r="M52" s="407"/>
      <c r="N52" s="407"/>
      <c r="O52" s="407"/>
      <c r="P52" s="407"/>
      <c r="Q52" s="407"/>
      <c r="R52" s="407"/>
      <c r="S52" s="407"/>
      <c r="T52" s="407"/>
      <c r="U52" s="407"/>
      <c r="V52" s="407"/>
      <c r="W52" s="407"/>
      <c r="X52" s="408"/>
    </row>
    <row r="53" spans="2:24" s="120" customFormat="1" ht="22.95" customHeight="1">
      <c r="B53" s="117"/>
      <c r="C53" s="280" t="s">
        <v>671</v>
      </c>
      <c r="D53" s="281"/>
      <c r="E53" s="491"/>
      <c r="F53" s="279"/>
      <c r="G53" s="278" t="str">
        <f t="shared" si="0"/>
        <v>CONSORCIO DE TRIBUTOS DE LA ISLA DE TENERIFE</v>
      </c>
      <c r="H53" s="491"/>
      <c r="I53" s="118"/>
      <c r="K53" s="405"/>
      <c r="L53" s="407"/>
      <c r="M53" s="407"/>
      <c r="N53" s="407"/>
      <c r="O53" s="407"/>
      <c r="P53" s="407"/>
      <c r="Q53" s="407"/>
      <c r="R53" s="407"/>
      <c r="S53" s="407"/>
      <c r="T53" s="407"/>
      <c r="U53" s="407"/>
      <c r="V53" s="407"/>
      <c r="W53" s="407"/>
      <c r="X53" s="408"/>
    </row>
    <row r="54" spans="2:24" s="120" customFormat="1" ht="22.95" customHeight="1">
      <c r="B54" s="117"/>
      <c r="C54" s="280" t="s">
        <v>672</v>
      </c>
      <c r="D54" s="281"/>
      <c r="E54" s="491"/>
      <c r="F54" s="279"/>
      <c r="G54" s="278" t="str">
        <f t="shared" si="0"/>
        <v>CONSORCIO ISLA BAJA</v>
      </c>
      <c r="H54" s="491"/>
      <c r="I54" s="118"/>
      <c r="K54" s="405"/>
      <c r="L54" s="407"/>
      <c r="M54" s="407"/>
      <c r="N54" s="407"/>
      <c r="O54" s="407"/>
      <c r="P54" s="407"/>
      <c r="Q54" s="407"/>
      <c r="R54" s="407"/>
      <c r="S54" s="407"/>
      <c r="T54" s="407"/>
      <c r="U54" s="407"/>
      <c r="V54" s="407"/>
      <c r="W54" s="407"/>
      <c r="X54" s="408"/>
    </row>
    <row r="55" spans="2:24" s="120" customFormat="1" ht="22.95" customHeight="1">
      <c r="B55" s="117"/>
      <c r="C55" s="282" t="s">
        <v>673</v>
      </c>
      <c r="D55" s="283"/>
      <c r="E55" s="492"/>
      <c r="F55" s="279"/>
      <c r="G55" s="278" t="str">
        <f t="shared" si="0"/>
        <v>CONSORCIO URBANÍSTICO PARA LA REHABILITACIÓN DEL PTO. DE LA CRUZ</v>
      </c>
      <c r="H55" s="492"/>
      <c r="I55" s="118"/>
      <c r="K55" s="405"/>
      <c r="L55" s="407"/>
      <c r="M55" s="407"/>
      <c r="N55" s="407"/>
      <c r="O55" s="407"/>
      <c r="P55" s="407"/>
      <c r="Q55" s="407"/>
      <c r="R55" s="407"/>
      <c r="S55" s="407"/>
      <c r="T55" s="407"/>
      <c r="U55" s="407"/>
      <c r="V55" s="407"/>
      <c r="W55" s="407"/>
      <c r="X55" s="408"/>
    </row>
    <row r="56" spans="2:24" s="184" customFormat="1" ht="22.95" customHeight="1" thickBot="1">
      <c r="B56" s="182"/>
      <c r="C56" s="1029" t="s">
        <v>584</v>
      </c>
      <c r="D56" s="1030"/>
      <c r="E56" s="127">
        <f>SUM(E17:E55)</f>
        <v>2557314.56</v>
      </c>
      <c r="F56" s="146"/>
      <c r="G56" s="213" t="s">
        <v>584</v>
      </c>
      <c r="H56" s="127">
        <f>SUM(H17:H55)</f>
        <v>447604.87</v>
      </c>
      <c r="I56" s="183"/>
      <c r="K56" s="405"/>
      <c r="L56" s="407"/>
      <c r="M56" s="407"/>
      <c r="N56" s="407"/>
      <c r="O56" s="407"/>
      <c r="P56" s="407"/>
      <c r="Q56" s="407"/>
      <c r="R56" s="407"/>
      <c r="S56" s="407"/>
      <c r="T56" s="407"/>
      <c r="U56" s="407"/>
      <c r="V56" s="407"/>
      <c r="W56" s="407"/>
      <c r="X56" s="408"/>
    </row>
    <row r="57" spans="2:24" ht="22.95" customHeight="1">
      <c r="B57" s="117"/>
      <c r="C57" s="209"/>
      <c r="D57" s="209"/>
      <c r="E57" s="210"/>
      <c r="F57" s="96"/>
      <c r="G57" s="210"/>
      <c r="H57" s="96"/>
      <c r="I57" s="106"/>
      <c r="K57" s="405"/>
      <c r="L57" s="407"/>
      <c r="M57" s="407"/>
      <c r="N57" s="407"/>
      <c r="O57" s="407"/>
      <c r="P57" s="407"/>
      <c r="Q57" s="407"/>
      <c r="R57" s="407"/>
      <c r="S57" s="407"/>
      <c r="T57" s="407"/>
      <c r="U57" s="407"/>
      <c r="V57" s="407"/>
      <c r="W57" s="407"/>
      <c r="X57" s="408"/>
    </row>
    <row r="58" spans="2:24" ht="22.95" customHeight="1">
      <c r="B58" s="117"/>
      <c r="C58" s="1084" t="s">
        <v>19</v>
      </c>
      <c r="D58" s="1085"/>
      <c r="E58" s="1085"/>
      <c r="F58" s="1085"/>
      <c r="G58" s="1085"/>
      <c r="H58" s="1086"/>
      <c r="I58" s="106"/>
      <c r="K58" s="405"/>
      <c r="L58" s="407"/>
      <c r="M58" s="407"/>
      <c r="N58" s="407"/>
      <c r="O58" s="407"/>
      <c r="P58" s="407"/>
      <c r="Q58" s="407"/>
      <c r="R58" s="407"/>
      <c r="S58" s="407"/>
      <c r="T58" s="407"/>
      <c r="U58" s="407"/>
      <c r="V58" s="407"/>
      <c r="W58" s="407"/>
      <c r="X58" s="408"/>
    </row>
    <row r="59" spans="2:24" s="104" customFormat="1" ht="9" customHeight="1">
      <c r="B59" s="117"/>
      <c r="C59" s="32"/>
      <c r="D59" s="32"/>
      <c r="E59" s="32"/>
      <c r="F59" s="32"/>
      <c r="G59" s="32"/>
      <c r="H59" s="32"/>
      <c r="I59" s="106"/>
      <c r="K59" s="405"/>
      <c r="L59" s="407"/>
      <c r="M59" s="407"/>
      <c r="N59" s="407"/>
      <c r="O59" s="407"/>
      <c r="P59" s="407"/>
      <c r="Q59" s="407"/>
      <c r="R59" s="407"/>
      <c r="S59" s="407"/>
      <c r="T59" s="407"/>
      <c r="U59" s="407"/>
      <c r="V59" s="407"/>
      <c r="W59" s="407"/>
      <c r="X59" s="408"/>
    </row>
    <row r="60" spans="2:24" ht="22.95" customHeight="1">
      <c r="B60" s="117"/>
      <c r="C60" s="1084" t="s">
        <v>626</v>
      </c>
      <c r="D60" s="1085"/>
      <c r="E60" s="1085"/>
      <c r="F60" s="1085"/>
      <c r="G60" s="1085"/>
      <c r="H60" s="1086"/>
      <c r="I60" s="106"/>
      <c r="K60" s="405"/>
      <c r="L60" s="407"/>
      <c r="M60" s="407"/>
      <c r="N60" s="407"/>
      <c r="O60" s="407"/>
      <c r="P60" s="407"/>
      <c r="Q60" s="407"/>
      <c r="R60" s="407"/>
      <c r="S60" s="407"/>
      <c r="T60" s="407"/>
      <c r="U60" s="407"/>
      <c r="V60" s="407"/>
      <c r="W60" s="407"/>
      <c r="X60" s="408"/>
    </row>
    <row r="61" spans="2:24" s="104" customFormat="1" ht="9" customHeight="1">
      <c r="B61" s="117"/>
      <c r="C61" s="32"/>
      <c r="D61" s="32"/>
      <c r="E61" s="32"/>
      <c r="F61" s="32"/>
      <c r="G61" s="32"/>
      <c r="H61" s="32"/>
      <c r="I61" s="106"/>
      <c r="K61" s="405"/>
      <c r="L61" s="407"/>
      <c r="M61" s="407"/>
      <c r="N61" s="407"/>
      <c r="O61" s="407"/>
      <c r="P61" s="407"/>
      <c r="Q61" s="407"/>
      <c r="R61" s="407"/>
      <c r="S61" s="407"/>
      <c r="T61" s="407"/>
      <c r="U61" s="407"/>
      <c r="V61" s="407"/>
      <c r="W61" s="407"/>
      <c r="X61" s="408"/>
    </row>
    <row r="62" spans="2:24" ht="22.95" customHeight="1">
      <c r="B62" s="117"/>
      <c r="C62" s="1035" t="s">
        <v>634</v>
      </c>
      <c r="D62" s="1036"/>
      <c r="E62" s="1037"/>
      <c r="F62" s="146"/>
      <c r="G62" s="1035" t="s">
        <v>635</v>
      </c>
      <c r="H62" s="1037"/>
      <c r="I62" s="106"/>
      <c r="K62" s="405"/>
      <c r="L62" s="407"/>
      <c r="M62" s="407"/>
      <c r="N62" s="407"/>
      <c r="O62" s="407"/>
      <c r="P62" s="407"/>
      <c r="Q62" s="407"/>
      <c r="R62" s="407"/>
      <c r="S62" s="407"/>
      <c r="T62" s="407"/>
      <c r="U62" s="407"/>
      <c r="V62" s="407"/>
      <c r="W62" s="407"/>
      <c r="X62" s="408"/>
    </row>
    <row r="63" spans="2:24" ht="22.95" customHeight="1">
      <c r="B63" s="117"/>
      <c r="C63" s="1035" t="s">
        <v>544</v>
      </c>
      <c r="D63" s="1037"/>
      <c r="E63" s="263" t="s">
        <v>582</v>
      </c>
      <c r="F63" s="146"/>
      <c r="G63" s="263" t="s">
        <v>544</v>
      </c>
      <c r="H63" s="247" t="s">
        <v>582</v>
      </c>
      <c r="I63" s="106"/>
      <c r="K63" s="405"/>
      <c r="L63" s="407"/>
      <c r="M63" s="407"/>
      <c r="N63" s="407"/>
      <c r="O63" s="407"/>
      <c r="P63" s="407"/>
      <c r="Q63" s="407"/>
      <c r="R63" s="407"/>
      <c r="S63" s="407"/>
      <c r="T63" s="407"/>
      <c r="U63" s="407"/>
      <c r="V63" s="407"/>
      <c r="W63" s="407"/>
      <c r="X63" s="408"/>
    </row>
    <row r="64" spans="2:24" ht="22.95" customHeight="1">
      <c r="B64" s="117"/>
      <c r="C64" s="276" t="s">
        <v>674</v>
      </c>
      <c r="D64" s="277"/>
      <c r="E64" s="491"/>
      <c r="F64" s="279"/>
      <c r="G64" s="278" t="str">
        <f>C64</f>
        <v>A.M.C. POLÍGONO INDUSTRIAL DE GÜIMAR</v>
      </c>
      <c r="H64" s="491"/>
      <c r="I64" s="106"/>
      <c r="K64" s="405"/>
      <c r="L64" s="407"/>
      <c r="M64" s="407"/>
      <c r="N64" s="407"/>
      <c r="O64" s="407"/>
      <c r="P64" s="407"/>
      <c r="Q64" s="407"/>
      <c r="R64" s="407"/>
      <c r="S64" s="407"/>
      <c r="T64" s="407"/>
      <c r="U64" s="407"/>
      <c r="V64" s="407"/>
      <c r="W64" s="407"/>
      <c r="X64" s="408"/>
    </row>
    <row r="65" spans="2:24" ht="22.95" customHeight="1">
      <c r="B65" s="117"/>
      <c r="C65" s="280" t="s">
        <v>675</v>
      </c>
      <c r="D65" s="281"/>
      <c r="E65" s="491"/>
      <c r="F65" s="279"/>
      <c r="G65" s="278" t="str">
        <f>C65</f>
        <v>MERCATENERIFE, S.A.</v>
      </c>
      <c r="H65" s="491">
        <v>6179.04</v>
      </c>
      <c r="I65" s="106"/>
      <c r="K65" s="405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8"/>
    </row>
    <row r="66" spans="2:24" ht="22.95" customHeight="1">
      <c r="B66" s="117"/>
      <c r="C66" s="280" t="s">
        <v>676</v>
      </c>
      <c r="D66" s="281"/>
      <c r="E66" s="491">
        <v>10700</v>
      </c>
      <c r="F66" s="279"/>
      <c r="G66" s="278" t="str">
        <f>C66</f>
        <v>POLÍGONO INDUSTRIAL DE GRANADILLA-PARQUE TECNOLÓGICO DE TENERIFE, S.A.</v>
      </c>
      <c r="H66" s="491">
        <v>400491.76</v>
      </c>
      <c r="I66" s="106"/>
      <c r="K66" s="405"/>
      <c r="L66" s="407"/>
      <c r="M66" s="407"/>
      <c r="N66" s="407"/>
      <c r="O66" s="407"/>
      <c r="P66" s="407"/>
      <c r="Q66" s="407"/>
      <c r="R66" s="407"/>
      <c r="S66" s="407"/>
      <c r="T66" s="407"/>
      <c r="U66" s="407"/>
      <c r="V66" s="407"/>
      <c r="W66" s="407"/>
      <c r="X66" s="408"/>
    </row>
    <row r="67" spans="2:24" ht="22.95" customHeight="1">
      <c r="B67" s="117"/>
      <c r="C67" s="280" t="s">
        <v>677</v>
      </c>
      <c r="D67" s="281"/>
      <c r="E67" s="491"/>
      <c r="F67" s="279"/>
      <c r="G67" s="278" t="str">
        <f>C67</f>
        <v>PARQUES EÓLICOS DE GRANADILLA, A.I.E.</v>
      </c>
      <c r="H67" s="491"/>
      <c r="I67" s="106"/>
      <c r="K67" s="405"/>
      <c r="L67" s="407"/>
      <c r="M67" s="407"/>
      <c r="N67" s="407"/>
      <c r="O67" s="407"/>
      <c r="P67" s="407"/>
      <c r="Q67" s="407"/>
      <c r="R67" s="407"/>
      <c r="S67" s="407"/>
      <c r="T67" s="407"/>
      <c r="U67" s="407"/>
      <c r="V67" s="407"/>
      <c r="W67" s="407"/>
      <c r="X67" s="408"/>
    </row>
    <row r="68" spans="2:24" ht="22.95" customHeight="1">
      <c r="B68" s="117"/>
      <c r="C68" s="280" t="s">
        <v>678</v>
      </c>
      <c r="D68" s="281"/>
      <c r="E68" s="491">
        <v>119249.21</v>
      </c>
      <c r="F68" s="279"/>
      <c r="G68" s="278" t="str">
        <f>C68</f>
        <v>EÓLICAS DE TENERIFE, A.I.E.</v>
      </c>
      <c r="H68" s="491"/>
      <c r="I68" s="106"/>
      <c r="K68" s="405"/>
      <c r="L68" s="407"/>
      <c r="M68" s="407"/>
      <c r="N68" s="407"/>
      <c r="O68" s="407"/>
      <c r="P68" s="407"/>
      <c r="Q68" s="407"/>
      <c r="R68" s="407"/>
      <c r="S68" s="407"/>
      <c r="T68" s="407"/>
      <c r="U68" s="407"/>
      <c r="V68" s="407"/>
      <c r="W68" s="407"/>
      <c r="X68" s="408"/>
    </row>
    <row r="69" spans="2:24" s="184" customFormat="1" ht="22.95" customHeight="1" thickBot="1">
      <c r="B69" s="182"/>
      <c r="C69" s="1029" t="s">
        <v>584</v>
      </c>
      <c r="D69" s="1030"/>
      <c r="E69" s="127">
        <f>SUM(E64:E68)</f>
        <v>129949.21</v>
      </c>
      <c r="F69" s="146"/>
      <c r="G69" s="213" t="s">
        <v>584</v>
      </c>
      <c r="H69" s="127">
        <f>SUM(H64:H68)</f>
        <v>406670.8</v>
      </c>
      <c r="I69" s="183"/>
      <c r="K69" s="405"/>
      <c r="L69" s="407"/>
      <c r="M69" s="407"/>
      <c r="N69" s="407"/>
      <c r="O69" s="407"/>
      <c r="P69" s="407"/>
      <c r="Q69" s="407"/>
      <c r="R69" s="407"/>
      <c r="S69" s="407"/>
      <c r="T69" s="407"/>
      <c r="U69" s="407"/>
      <c r="V69" s="407"/>
      <c r="W69" s="407"/>
      <c r="X69" s="408"/>
    </row>
    <row r="70" spans="2:24" ht="22.95" customHeight="1">
      <c r="B70" s="117"/>
      <c r="C70" s="209"/>
      <c r="D70" s="209"/>
      <c r="E70" s="210"/>
      <c r="F70" s="96"/>
      <c r="G70" s="210"/>
      <c r="H70" s="96"/>
      <c r="I70" s="106"/>
      <c r="K70" s="405"/>
      <c r="L70" s="407"/>
      <c r="M70" s="407"/>
      <c r="N70" s="407"/>
      <c r="O70" s="407"/>
      <c r="P70" s="407"/>
      <c r="Q70" s="407"/>
      <c r="R70" s="407"/>
      <c r="S70" s="407"/>
      <c r="T70" s="407"/>
      <c r="U70" s="407"/>
      <c r="V70" s="407"/>
      <c r="W70" s="407"/>
      <c r="X70" s="408"/>
    </row>
    <row r="71" spans="2:24" ht="22.95" customHeight="1">
      <c r="B71" s="117"/>
      <c r="C71" s="166" t="s">
        <v>514</v>
      </c>
      <c r="D71" s="209"/>
      <c r="E71" s="210"/>
      <c r="F71" s="96"/>
      <c r="G71" s="210"/>
      <c r="H71" s="96"/>
      <c r="I71" s="106"/>
      <c r="K71" s="405"/>
      <c r="L71" s="407"/>
      <c r="M71" s="407"/>
      <c r="N71" s="407"/>
      <c r="O71" s="407"/>
      <c r="P71" s="407"/>
      <c r="Q71" s="407"/>
      <c r="R71" s="407"/>
      <c r="S71" s="407"/>
      <c r="T71" s="407"/>
      <c r="U71" s="407"/>
      <c r="V71" s="407"/>
      <c r="W71" s="407"/>
      <c r="X71" s="408"/>
    </row>
    <row r="72" spans="2:24" ht="16.2" customHeight="1">
      <c r="B72" s="117"/>
      <c r="C72" s="164" t="s">
        <v>679</v>
      </c>
      <c r="D72" s="209"/>
      <c r="E72" s="210"/>
      <c r="F72" s="96"/>
      <c r="G72" s="210"/>
      <c r="H72" s="96"/>
      <c r="I72" s="106"/>
      <c r="K72" s="405"/>
      <c r="L72" s="407"/>
      <c r="M72" s="407"/>
      <c r="N72" s="407"/>
      <c r="O72" s="407"/>
      <c r="P72" s="407"/>
      <c r="Q72" s="407"/>
      <c r="R72" s="407"/>
      <c r="S72" s="407"/>
      <c r="T72" s="407"/>
      <c r="U72" s="407"/>
      <c r="V72" s="407"/>
      <c r="W72" s="407"/>
      <c r="X72" s="408"/>
    </row>
    <row r="73" spans="2:24" ht="16.2" customHeight="1">
      <c r="B73" s="117"/>
      <c r="C73" s="163"/>
      <c r="D73" s="209"/>
      <c r="E73" s="210"/>
      <c r="F73" s="210"/>
      <c r="G73" s="210"/>
      <c r="H73" s="96"/>
      <c r="I73" s="106"/>
      <c r="K73" s="405"/>
      <c r="L73" s="407"/>
      <c r="M73" s="407"/>
      <c r="N73" s="407"/>
      <c r="O73" s="407"/>
      <c r="P73" s="407"/>
      <c r="Q73" s="407"/>
      <c r="R73" s="407"/>
      <c r="S73" s="407"/>
      <c r="T73" s="407"/>
      <c r="U73" s="407"/>
      <c r="V73" s="407"/>
      <c r="W73" s="407"/>
      <c r="X73" s="408"/>
    </row>
    <row r="74" spans="2:24" ht="16.2" customHeight="1">
      <c r="B74" s="117"/>
      <c r="C74" s="248"/>
      <c r="D74" s="164"/>
      <c r="E74" s="165"/>
      <c r="F74" s="165"/>
      <c r="G74" s="165"/>
      <c r="H74" s="96"/>
      <c r="I74" s="106"/>
      <c r="K74" s="405"/>
      <c r="L74" s="407"/>
      <c r="M74" s="407"/>
      <c r="N74" s="407"/>
      <c r="O74" s="407"/>
      <c r="P74" s="407"/>
      <c r="Q74" s="407"/>
      <c r="R74" s="407"/>
      <c r="S74" s="407"/>
      <c r="T74" s="407"/>
      <c r="U74" s="407"/>
      <c r="V74" s="407"/>
      <c r="W74" s="407"/>
      <c r="X74" s="408"/>
    </row>
    <row r="75" spans="2:24" ht="22.95" customHeight="1" thickBot="1">
      <c r="B75" s="121"/>
      <c r="C75" s="1003"/>
      <c r="D75" s="1003"/>
      <c r="E75" s="53"/>
      <c r="F75" s="53"/>
      <c r="G75" s="53"/>
      <c r="H75" s="122"/>
      <c r="I75" s="123"/>
      <c r="K75" s="399"/>
      <c r="L75" s="400"/>
      <c r="M75" s="400"/>
      <c r="N75" s="400"/>
      <c r="O75" s="400"/>
      <c r="P75" s="400"/>
      <c r="Q75" s="400"/>
      <c r="R75" s="400"/>
      <c r="S75" s="400"/>
      <c r="T75" s="400"/>
      <c r="U75" s="400"/>
      <c r="V75" s="400"/>
      <c r="W75" s="400"/>
      <c r="X75" s="401"/>
    </row>
    <row r="76" spans="2:24" ht="22.95" customHeight="1">
      <c r="C76" s="104"/>
      <c r="D76" s="104"/>
      <c r="E76" s="105"/>
      <c r="F76" s="105"/>
      <c r="G76" s="105"/>
      <c r="H76" s="105"/>
    </row>
    <row r="77" spans="2:24" ht="13.2">
      <c r="C77" s="124" t="s">
        <v>174</v>
      </c>
      <c r="D77" s="104"/>
      <c r="E77" s="105"/>
      <c r="F77" s="105"/>
      <c r="G77" s="105"/>
      <c r="H77" s="95" t="s">
        <v>623</v>
      </c>
    </row>
    <row r="78" spans="2:24" ht="13.2">
      <c r="C78" s="125" t="s">
        <v>175</v>
      </c>
      <c r="D78" s="104"/>
      <c r="E78" s="105"/>
      <c r="F78" s="105"/>
      <c r="G78" s="105"/>
      <c r="H78" s="105"/>
    </row>
    <row r="79" spans="2:24" ht="13.2">
      <c r="C79" s="125" t="s">
        <v>176</v>
      </c>
      <c r="D79" s="104"/>
      <c r="E79" s="105"/>
      <c r="F79" s="105"/>
      <c r="G79" s="105"/>
      <c r="H79" s="105"/>
    </row>
    <row r="80" spans="2:24" ht="13.2">
      <c r="C80" s="125" t="s">
        <v>177</v>
      </c>
      <c r="D80" s="104"/>
      <c r="E80" s="105"/>
      <c r="F80" s="105"/>
      <c r="G80" s="105"/>
      <c r="H80" s="105"/>
    </row>
    <row r="81" spans="3:8" ht="13.2">
      <c r="C81" s="125" t="s">
        <v>178</v>
      </c>
      <c r="D81" s="104"/>
      <c r="E81" s="105"/>
      <c r="F81" s="105"/>
      <c r="G81" s="105"/>
      <c r="H81" s="105"/>
    </row>
    <row r="82" spans="3:8" ht="22.95" customHeight="1">
      <c r="C82" s="104"/>
      <c r="D82" s="104"/>
      <c r="E82" s="105"/>
      <c r="F82" s="105"/>
      <c r="G82" s="105"/>
      <c r="H82" s="105"/>
    </row>
    <row r="83" spans="3:8" ht="22.95" customHeight="1">
      <c r="C83" s="104"/>
      <c r="D83" s="104"/>
      <c r="E83" s="105"/>
      <c r="F83" s="105"/>
      <c r="G83" s="105"/>
      <c r="H83" s="105"/>
    </row>
    <row r="84" spans="3:8" ht="22.95" customHeight="1">
      <c r="C84" s="104"/>
      <c r="D84" s="104"/>
      <c r="E84" s="105"/>
      <c r="F84" s="105"/>
      <c r="G84" s="105"/>
      <c r="H84" s="105"/>
    </row>
    <row r="85" spans="3:8" ht="22.95" customHeight="1">
      <c r="C85" s="104"/>
      <c r="D85" s="104"/>
      <c r="E85" s="105"/>
      <c r="F85" s="105"/>
      <c r="G85" s="105"/>
      <c r="H85" s="105"/>
    </row>
    <row r="86" spans="3:8" ht="22.95" customHeight="1">
      <c r="E86" s="105"/>
      <c r="F86" s="105"/>
      <c r="G86" s="105"/>
      <c r="H86" s="105"/>
    </row>
  </sheetData>
  <sheetProtection password="E059" sheet="1" objects="1" scenarios="1"/>
  <mergeCells count="15">
    <mergeCell ref="H6:H7"/>
    <mergeCell ref="D9:H9"/>
    <mergeCell ref="C12:D12"/>
    <mergeCell ref="C69:D69"/>
    <mergeCell ref="C58:H58"/>
    <mergeCell ref="C56:D56"/>
    <mergeCell ref="C60:H60"/>
    <mergeCell ref="C62:E62"/>
    <mergeCell ref="G62:H62"/>
    <mergeCell ref="C63:D63"/>
    <mergeCell ref="C75:D75"/>
    <mergeCell ref="C13:H13"/>
    <mergeCell ref="C15:E15"/>
    <mergeCell ref="G15:H15"/>
    <mergeCell ref="C16:D16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M55"/>
  <sheetViews>
    <sheetView zoomScale="73" zoomScaleNormal="73" zoomScalePageLayoutView="73" workbookViewId="0">
      <pane ySplit="14" topLeftCell="A42" activePane="bottomLeft" state="frozen"/>
      <selection activeCell="F15" sqref="F15"/>
      <selection pane="bottomLeft" activeCell="F15" sqref="F15"/>
    </sheetView>
  </sheetViews>
  <sheetFormatPr baseColWidth="10" defaultColWidth="10.54296875" defaultRowHeight="22.95" customHeight="1"/>
  <cols>
    <col min="1" max="1" width="3" style="273" customWidth="1"/>
    <col min="2" max="2" width="3.1796875" style="273" customWidth="1"/>
    <col min="3" max="3" width="12.1796875" style="273" customWidth="1"/>
    <col min="4" max="4" width="68" style="273" customWidth="1"/>
    <col min="5" max="7" width="39.453125" style="273" customWidth="1"/>
    <col min="8" max="8" width="3.54296875" style="273" customWidth="1"/>
    <col min="9" max="9" width="10.54296875" style="273"/>
    <col min="10" max="12" width="4.1796875" style="273" customWidth="1"/>
    <col min="13" max="13" width="11.54296875" style="273" bestFit="1" customWidth="1"/>
    <col min="14" max="16384" width="10.54296875" style="273"/>
  </cols>
  <sheetData>
    <row r="2" spans="2:13" ht="22.95" customHeight="1">
      <c r="D2" s="308" t="s">
        <v>128</v>
      </c>
    </row>
    <row r="3" spans="2:13" ht="22.95" customHeight="1">
      <c r="D3" s="308" t="s">
        <v>129</v>
      </c>
    </row>
    <row r="4" spans="2:13" ht="22.95" customHeight="1" thickBot="1"/>
    <row r="5" spans="2:13" ht="9" customHeight="1">
      <c r="B5" s="898" t="s">
        <v>17</v>
      </c>
      <c r="C5" s="337"/>
      <c r="D5" s="337"/>
      <c r="E5" s="337"/>
      <c r="F5" s="337"/>
      <c r="G5" s="337"/>
      <c r="H5" s="338"/>
    </row>
    <row r="6" spans="2:13" ht="30" customHeight="1">
      <c r="B6" s="339"/>
      <c r="C6" s="1" t="s">
        <v>97</v>
      </c>
      <c r="D6" s="23"/>
      <c r="E6" s="23"/>
      <c r="F6" s="336"/>
      <c r="G6" s="984">
        <f>ejercicio</f>
        <v>2018</v>
      </c>
      <c r="H6" s="340"/>
    </row>
    <row r="7" spans="2:13" ht="30" customHeight="1">
      <c r="B7" s="339"/>
      <c r="C7" s="1" t="s">
        <v>98</v>
      </c>
      <c r="D7" s="336"/>
      <c r="E7" s="336"/>
      <c r="F7" s="336"/>
      <c r="G7" s="984">
        <v>2018</v>
      </c>
      <c r="H7" s="340"/>
    </row>
    <row r="8" spans="2:13" ht="30" customHeight="1">
      <c r="B8" s="339"/>
      <c r="C8" s="336"/>
      <c r="D8" s="336"/>
      <c r="E8" s="336"/>
      <c r="F8" s="336"/>
      <c r="G8" s="16"/>
      <c r="H8" s="340"/>
      <c r="J8" s="341"/>
    </row>
    <row r="9" spans="2:13" ht="30" customHeight="1">
      <c r="B9" s="339"/>
      <c r="C9" s="39" t="s">
        <v>99</v>
      </c>
      <c r="D9" s="989" t="str">
        <f>Entidad</f>
        <v>INSTITUTO TECNOLÓGICO Y DE ENERGÍAS RENOVALBES S.A. (ITER)</v>
      </c>
      <c r="E9" s="989"/>
      <c r="F9" s="989"/>
      <c r="G9" s="989"/>
      <c r="H9" s="340"/>
    </row>
    <row r="10" spans="2:13" ht="7.2" customHeight="1">
      <c r="B10" s="339"/>
      <c r="C10" s="336"/>
      <c r="D10" s="336"/>
      <c r="E10" s="336"/>
      <c r="F10" s="336"/>
      <c r="G10" s="342"/>
      <c r="H10" s="340"/>
    </row>
    <row r="11" spans="2:13" s="12" customFormat="1" ht="30" customHeight="1">
      <c r="B11" s="24"/>
      <c r="C11" s="896" t="s">
        <v>16</v>
      </c>
      <c r="D11" s="897"/>
      <c r="E11" s="897"/>
      <c r="F11" s="897"/>
      <c r="G11" s="897"/>
      <c r="H11" s="25"/>
    </row>
    <row r="12" spans="2:13" ht="22.95" customHeight="1">
      <c r="B12" s="339"/>
      <c r="C12" s="336"/>
      <c r="D12" s="336"/>
      <c r="E12" s="336"/>
      <c r="F12" s="336"/>
      <c r="G12" s="336"/>
      <c r="H12" s="340"/>
    </row>
    <row r="13" spans="2:13" ht="22.95" customHeight="1">
      <c r="B13" s="339"/>
      <c r="C13" s="336"/>
      <c r="D13" s="336"/>
      <c r="E13" s="205" t="s">
        <v>921</v>
      </c>
      <c r="F13" s="205" t="s">
        <v>920</v>
      </c>
      <c r="G13" s="205" t="s">
        <v>922</v>
      </c>
      <c r="H13" s="340"/>
    </row>
    <row r="14" spans="2:13" ht="22.95" customHeight="1">
      <c r="B14" s="339"/>
      <c r="D14" s="336"/>
      <c r="E14" s="872">
        <f>ejercicio-2</f>
        <v>2016</v>
      </c>
      <c r="F14" s="872">
        <f>ejercicio-1</f>
        <v>2017</v>
      </c>
      <c r="G14" s="872">
        <f>ejercicio</f>
        <v>2018</v>
      </c>
      <c r="H14" s="340"/>
    </row>
    <row r="15" spans="2:13" s="877" customFormat="1" ht="30" customHeight="1">
      <c r="B15" s="873"/>
      <c r="C15" s="874" t="s">
        <v>778</v>
      </c>
      <c r="D15" s="874"/>
      <c r="E15" s="875" t="str">
        <f>IF(ROUND('FC-4_ACTIVO'!E94-'FC-4_PASIVO'!E86,2)=0,"Ok","Mal, revisa FC-4")</f>
        <v>Ok</v>
      </c>
      <c r="F15" s="875" t="str">
        <f>IF(ROUND('FC-4_ACTIVO'!F94-'FC-4_PASIVO'!F86,2)=0,"Ok","Mal, revisa FC-4")</f>
        <v>Ok</v>
      </c>
      <c r="G15" s="875" t="str">
        <f>IF(ROUND('FC-4_ACTIVO'!G94-'FC-4_PASIVO'!G86,2)=0,"Ok","Mal, revisa FC-4")</f>
        <v>Ok</v>
      </c>
      <c r="H15" s="876"/>
      <c r="J15" s="878">
        <f>IF(E15="Ok",0,1)</f>
        <v>0</v>
      </c>
      <c r="K15" s="878">
        <f>IF(F15="Ok",0,1)</f>
        <v>0</v>
      </c>
      <c r="L15" s="878">
        <f>IF(G15="Ok",0,1)</f>
        <v>0</v>
      </c>
      <c r="M15" s="878">
        <f>SUM(J15:L15)</f>
        <v>0</v>
      </c>
    </row>
    <row r="16" spans="2:13" s="877" customFormat="1" ht="30" customHeight="1">
      <c r="B16" s="873"/>
      <c r="C16" s="879" t="s">
        <v>780</v>
      </c>
      <c r="D16" s="879"/>
      <c r="E16" s="880" t="str">
        <f>IF(ROUND(('FC-3_CPyG'!E84-'FC-4_PASIVO'!E32),2)=0,"Ok","Mal, revisa FC-3 y FC-4")</f>
        <v>Ok</v>
      </c>
      <c r="F16" s="880" t="str">
        <f>IF(ROUND(('FC-3_CPyG'!F84-'FC-4_PASIVO'!F32),2)=0,"Ok","Mal, revisa FC-3 y FC-4")</f>
        <v>Ok</v>
      </c>
      <c r="G16" s="880" t="str">
        <f>IF(ROUND(('FC-3_CPyG'!G84-'FC-4_PASIVO'!G32),2)=0,"Ok","Mal, revisa FC-3 y FC-4")</f>
        <v>Ok</v>
      </c>
      <c r="H16" s="876"/>
      <c r="J16" s="878">
        <f t="shared" ref="J16:J21" si="0">IF(E16="Ok",0,1)</f>
        <v>0</v>
      </c>
      <c r="K16" s="878">
        <f t="shared" ref="K16:K21" si="1">IF(F16="Ok",0,1)</f>
        <v>0</v>
      </c>
      <c r="L16" s="878">
        <f t="shared" ref="L16:L22" si="2">IF(G16="Ok",0,1)</f>
        <v>0</v>
      </c>
      <c r="M16" s="878">
        <f t="shared" ref="M16:M41" si="3">SUM(J16:L16)</f>
        <v>0</v>
      </c>
    </row>
    <row r="17" spans="2:13" s="877" customFormat="1" ht="30" customHeight="1">
      <c r="B17" s="873"/>
      <c r="C17" s="879" t="s">
        <v>781</v>
      </c>
      <c r="D17" s="879"/>
      <c r="E17" s="880" t="str">
        <f>IF(ROUND('FC-5_EFE'!F92,2)=ROUND(('FC-5_EFE'!F95-'FC-5_EFE'!F94),2),"Ok","Mal, revisa FC-5")</f>
        <v>Ok</v>
      </c>
      <c r="F17" s="880" t="str">
        <f>IF(ROUND('FC-5_EFE'!G92,2)=ROUND(('FC-5_EFE'!G95-'FC-5_EFE'!G94),2),"Ok","Mal, revisa FC-5")</f>
        <v>Ok</v>
      </c>
      <c r="G17" s="880" t="str">
        <f>IF(ROUND('FC-5_EFE'!H92,2)=ROUND(('FC-5_EFE'!H95-'FC-5_EFE'!H94),2),"Ok","Mal, revisa FC-5")</f>
        <v>Ok</v>
      </c>
      <c r="H17" s="876"/>
      <c r="J17" s="878">
        <f t="shared" si="0"/>
        <v>0</v>
      </c>
      <c r="K17" s="878">
        <f t="shared" si="1"/>
        <v>0</v>
      </c>
      <c r="L17" s="878">
        <f t="shared" si="2"/>
        <v>0</v>
      </c>
      <c r="M17" s="878">
        <f t="shared" si="3"/>
        <v>0</v>
      </c>
    </row>
    <row r="18" spans="2:13" s="877" customFormat="1" ht="30" customHeight="1">
      <c r="B18" s="873"/>
      <c r="C18" s="881" t="s">
        <v>851</v>
      </c>
      <c r="D18" s="879"/>
      <c r="E18" s="880" t="str">
        <f>IF(ROUND('FC-3_CPyG'!E16-'FC-3_1_INF_ADIC_CPyG'!E47,2)=0,"Ok","Mal, revisa datos en FC-3 PyG y FC3.1")</f>
        <v>Ok</v>
      </c>
      <c r="F18" s="880" t="str">
        <f>IF(ROUND('FC-3_CPyG'!F16-'FC-3_1_INF_ADIC_CPyG'!H47,2)=0,"Ok","Mal, revisa datos en FC-3 PyG y FC3.1")</f>
        <v>Ok</v>
      </c>
      <c r="G18" s="880" t="str">
        <f>IF(ROUND('FC-3_CPyG'!G16-'FC-3_1_INF_ADIC_CPyG'!K47,2)=0,"Ok","Mal, revisa datos en FC-3 PyG y FC3.1")</f>
        <v>Ok</v>
      </c>
      <c r="H18" s="876"/>
      <c r="J18" s="878">
        <f t="shared" si="0"/>
        <v>0</v>
      </c>
      <c r="K18" s="878">
        <f t="shared" si="1"/>
        <v>0</v>
      </c>
      <c r="L18" s="878">
        <f t="shared" si="2"/>
        <v>0</v>
      </c>
      <c r="M18" s="878">
        <f t="shared" si="3"/>
        <v>0</v>
      </c>
    </row>
    <row r="19" spans="2:13" s="877" customFormat="1" ht="30" customHeight="1">
      <c r="B19" s="873"/>
      <c r="C19" s="881" t="s">
        <v>854</v>
      </c>
      <c r="D19" s="879"/>
      <c r="E19" s="880" t="str">
        <f>IF(ROUND('FC-3_CPyG'!E48-'FC-3_1_INF_ADIC_CPyG'!E51-'FC-3_1_INF_ADIC_CPyG'!E59,2)=0,"Ok","Mal, revisa datos en FC-3 CPYG y FC-3.1")</f>
        <v>Ok</v>
      </c>
      <c r="F19" s="880" t="str">
        <f>IF(ROUND('FC-3_CPyG'!F48-'FC-3_1_INF_ADIC_CPyG'!F51-'FC-3_1_INF_ADIC_CPyG'!F59,2)=0,"Ok","Mal, revisa datos en FC-3 CPYG y FC-3.1")</f>
        <v>Ok</v>
      </c>
      <c r="G19" s="880" t="str">
        <f>IF(ROUND('FC-3_CPyG'!G48-'FC-3_1_INF_ADIC_CPyG'!G51-'FC-3_1_INF_ADIC_CPyG'!G59,2)=0,"Ok","Mal, revisa datos en FC-3 CPYG y FC-3.1")</f>
        <v>Ok</v>
      </c>
      <c r="H19" s="876"/>
      <c r="J19" s="878">
        <f t="shared" si="0"/>
        <v>0</v>
      </c>
      <c r="K19" s="878">
        <f t="shared" si="1"/>
        <v>0</v>
      </c>
      <c r="L19" s="878">
        <f t="shared" si="2"/>
        <v>0</v>
      </c>
      <c r="M19" s="878">
        <f t="shared" si="3"/>
        <v>0</v>
      </c>
    </row>
    <row r="20" spans="2:13" s="877" customFormat="1" ht="30" customHeight="1">
      <c r="B20" s="873"/>
      <c r="C20" s="881" t="s">
        <v>855</v>
      </c>
      <c r="D20" s="879"/>
      <c r="E20" s="880" t="str">
        <f>IF(ROUND('FC-3_CPyG'!E28-'FC-3_1_INF_ADIC_CPyG'!E75,2)=0,"Ok","Mal, revísa datos en FC-3 y FC-3.1")</f>
        <v>Ok</v>
      </c>
      <c r="F20" s="880" t="str">
        <f>IF(ROUND('FC-3_CPyG'!F28-'FC-3_1_INF_ADIC_CPyG'!F75,2)=0,"Ok","Mal, revísa datos en FC-3 y FC-3.1")</f>
        <v>Ok</v>
      </c>
      <c r="G20" s="880" t="str">
        <f>IF(ROUND('FC-3_CPyG'!G28-'FC-3_1_INF_ADIC_CPyG'!G75,2)=0,"Ok","Mal, revísa datos en FC-3 y FC-3.1")</f>
        <v>Ok</v>
      </c>
      <c r="H20" s="876"/>
      <c r="J20" s="878">
        <f t="shared" si="0"/>
        <v>0</v>
      </c>
      <c r="K20" s="878">
        <f t="shared" si="1"/>
        <v>0</v>
      </c>
      <c r="L20" s="878">
        <f t="shared" si="2"/>
        <v>0</v>
      </c>
      <c r="M20" s="878">
        <f t="shared" si="3"/>
        <v>0</v>
      </c>
    </row>
    <row r="21" spans="2:13" s="877" customFormat="1" ht="30" customHeight="1">
      <c r="B21" s="873"/>
      <c r="C21" s="881" t="s">
        <v>856</v>
      </c>
      <c r="D21" s="879"/>
      <c r="E21" s="880" t="str">
        <f>IF(ROUND('FC-3_CPyG'!E29-'FC-3_1_INF_ADIC_CPyG'!E79,2)=0,"Ok","Mal, revisa datos en FC-3 CPyG y FC-3.1")</f>
        <v>Ok</v>
      </c>
      <c r="F21" s="880" t="str">
        <f>IF(ROUND('FC-3_CPyG'!F29-'FC-3_1_INF_ADIC_CPyG'!F79,2)=0,"Ok","Mal, revisa datos en FC-3 CPyG y FC-3.1")</f>
        <v>Ok</v>
      </c>
      <c r="G21" s="880" t="str">
        <f>IF(ROUND('FC-3_CPyG'!G29-'FC-3_1_INF_ADIC_CPyG'!G79,2)=0,"Ok","Mal, revisa datos en FC-3 CPyG y FC-3.1")</f>
        <v>Ok</v>
      </c>
      <c r="H21" s="876"/>
      <c r="J21" s="878">
        <f t="shared" si="0"/>
        <v>0</v>
      </c>
      <c r="K21" s="878">
        <f t="shared" si="1"/>
        <v>0</v>
      </c>
      <c r="L21" s="878">
        <f t="shared" si="2"/>
        <v>0</v>
      </c>
      <c r="M21" s="878">
        <f t="shared" si="3"/>
        <v>0</v>
      </c>
    </row>
    <row r="22" spans="2:13" s="877" customFormat="1" ht="30" customHeight="1">
      <c r="B22" s="873"/>
      <c r="C22" s="881" t="s">
        <v>850</v>
      </c>
      <c r="D22" s="879"/>
      <c r="E22" s="882"/>
      <c r="F22" s="882"/>
      <c r="G22" s="880" t="str">
        <f>IF(ROUND('FC-6_Inversiones'!G47-SUM('FC-6_Inversiones'!H47:M47),2)=0,"Ok","Mal, revisa totales FC-6")</f>
        <v>Ok</v>
      </c>
      <c r="H22" s="876"/>
      <c r="J22" s="878"/>
      <c r="K22" s="878"/>
      <c r="L22" s="878">
        <f t="shared" si="2"/>
        <v>0</v>
      </c>
      <c r="M22" s="878">
        <f t="shared" si="3"/>
        <v>0</v>
      </c>
    </row>
    <row r="23" spans="2:13" s="877" customFormat="1" ht="30" customHeight="1">
      <c r="B23" s="873"/>
      <c r="C23" s="879" t="s">
        <v>783</v>
      </c>
      <c r="D23" s="879"/>
      <c r="E23" s="882"/>
      <c r="F23" s="880" t="str">
        <f>IF(ROUND('FC-4_ACTIVO'!F17-'FC-7_INF'!M15,2)=0,"Ok","Mal, revisa FC-4 ACTIVO y FC-7")</f>
        <v>Ok</v>
      </c>
      <c r="G23" s="880" t="str">
        <f>IF(ROUND('FC-4_ACTIVO'!G17-'FC-7_INF'!M26,2)=0,"Ok","Mal, revisa FC-4 ACTIVO y FC-7")</f>
        <v>Ok</v>
      </c>
      <c r="H23" s="876"/>
      <c r="J23" s="878"/>
      <c r="K23" s="878">
        <f t="shared" ref="K23:L27" si="4">IF(F23="Ok",0,1)</f>
        <v>0</v>
      </c>
      <c r="L23" s="878">
        <f t="shared" si="4"/>
        <v>0</v>
      </c>
      <c r="M23" s="878">
        <f t="shared" si="3"/>
        <v>0</v>
      </c>
    </row>
    <row r="24" spans="2:13" s="877" customFormat="1" ht="30" customHeight="1">
      <c r="B24" s="873"/>
      <c r="C24" s="879" t="s">
        <v>782</v>
      </c>
      <c r="D24" s="879"/>
      <c r="E24" s="882"/>
      <c r="F24" s="880" t="str">
        <f>IF(ROUND('FC-4_ACTIVO'!F26-'FC-7_INF'!M16-'FC-7_INF'!M17,2)=0,"Ok","Mal, revisa FC-4 ACTIVO y FC-7")</f>
        <v>Ok</v>
      </c>
      <c r="G24" s="880" t="str">
        <f>IF(ROUND('FC-4_ACTIVO'!G26-'FC-7_INF'!M27-'FC-7_INF'!M28,2)=0,"Ok","Mal, revisa FC-4 ACTIVO y FC-7")</f>
        <v>Ok</v>
      </c>
      <c r="H24" s="876"/>
      <c r="J24" s="878"/>
      <c r="K24" s="878">
        <f t="shared" si="4"/>
        <v>0</v>
      </c>
      <c r="L24" s="878">
        <f t="shared" si="4"/>
        <v>0</v>
      </c>
      <c r="M24" s="878">
        <f t="shared" si="3"/>
        <v>0</v>
      </c>
    </row>
    <row r="25" spans="2:13" s="877" customFormat="1" ht="30" customHeight="1">
      <c r="B25" s="873"/>
      <c r="C25" s="879" t="s">
        <v>784</v>
      </c>
      <c r="D25" s="879"/>
      <c r="E25" s="882"/>
      <c r="F25" s="880" t="str">
        <f>IF(ROUND(('FC-4_ACTIVO'!F30-'FC-7_INF'!M18-'FC-7_INF'!M19),2)=0,"Ok","Mal, revisa FC-4 ACTIVO y FC-7")</f>
        <v>Ok</v>
      </c>
      <c r="G25" s="880" t="str">
        <f>IF(ROUND(('FC-4_ACTIVO'!G30-'FC-7_INF'!M29-'FC-7_INF'!M30),2)=0,"Ok","Mal, revisa FC-4 ACTIVO y FC-7")</f>
        <v>Ok</v>
      </c>
      <c r="H25" s="876"/>
      <c r="J25" s="878"/>
      <c r="K25" s="878">
        <f t="shared" si="4"/>
        <v>0</v>
      </c>
      <c r="L25" s="878">
        <f t="shared" si="4"/>
        <v>0</v>
      </c>
      <c r="M25" s="878">
        <f t="shared" si="3"/>
        <v>0</v>
      </c>
    </row>
    <row r="26" spans="2:13" s="877" customFormat="1" ht="30" customHeight="1">
      <c r="B26" s="873"/>
      <c r="C26" s="881" t="s">
        <v>829</v>
      </c>
      <c r="D26" s="879"/>
      <c r="E26" s="882"/>
      <c r="F26" s="883" t="str">
        <f>IF(ROUND('FC-7_INF'!M22-'FC-4_ACTIVO'!F52,2)=0,"Ok","Mal, revisa FC-4 ACTIVO y FC-7")</f>
        <v>Ok</v>
      </c>
      <c r="G26" s="883" t="str">
        <f>IF(ROUND('FC-7_INF'!M33-'FC-4_ACTIVO'!G52,2)=0,"Ok","Mal, revisa FC-4 ACTIVO y FC-7")</f>
        <v>Ok</v>
      </c>
      <c r="H26" s="876"/>
      <c r="J26" s="878"/>
      <c r="K26" s="878">
        <f t="shared" si="4"/>
        <v>0</v>
      </c>
      <c r="L26" s="878">
        <f t="shared" si="4"/>
        <v>0</v>
      </c>
      <c r="M26" s="878">
        <f t="shared" si="3"/>
        <v>0</v>
      </c>
    </row>
    <row r="27" spans="2:13" s="877" customFormat="1" ht="30" customHeight="1">
      <c r="B27" s="873"/>
      <c r="C27" s="881" t="s">
        <v>830</v>
      </c>
      <c r="D27" s="879"/>
      <c r="E27" s="882"/>
      <c r="F27" s="880" t="str">
        <f>IF(ROUND('FC-3_CPyG'!F40-'FC-7_INF'!I20,2)=0,"Ok","Mal, revisa datos en FC-3 y FC-7")</f>
        <v>Ok</v>
      </c>
      <c r="G27" s="880" t="str">
        <f>IF(ROUND('FC-3_CPyG'!G40-'FC-7_INF'!I31,2)=0,"Ok","Mal, revisa datos en FC-3 y FC-7")</f>
        <v>Ok</v>
      </c>
      <c r="H27" s="876"/>
      <c r="J27" s="878"/>
      <c r="K27" s="878">
        <f t="shared" si="4"/>
        <v>0</v>
      </c>
      <c r="L27" s="878">
        <f t="shared" si="4"/>
        <v>0</v>
      </c>
      <c r="M27" s="878">
        <f t="shared" si="3"/>
        <v>0</v>
      </c>
    </row>
    <row r="28" spans="2:13" s="877" customFormat="1" ht="30" customHeight="1">
      <c r="B28" s="873"/>
      <c r="C28" s="884" t="s">
        <v>919</v>
      </c>
      <c r="D28" s="879"/>
      <c r="E28" s="882"/>
      <c r="F28" s="882"/>
      <c r="G28" s="880" t="str">
        <f>IF(ROUND('FC-6_Inversiones'!I47-'FC-7_INF'!F31,2)=0,"Ok","Mal, revisa I46 en FC-6 y F31 en FC-7")</f>
        <v>Ok</v>
      </c>
      <c r="H28" s="876"/>
      <c r="J28" s="878"/>
      <c r="K28" s="878"/>
      <c r="L28" s="878"/>
      <c r="M28" s="878"/>
    </row>
    <row r="29" spans="2:13" s="877" customFormat="1" ht="30" customHeight="1">
      <c r="B29" s="873"/>
      <c r="C29" s="885" t="s">
        <v>11</v>
      </c>
      <c r="D29" s="885"/>
      <c r="E29" s="886"/>
      <c r="F29" s="886"/>
      <c r="G29" s="887" t="str">
        <f>IF(ROUND(('FC-4_ACTIVO'!G34+'FC-4_ACTIVO'!G76)-'FC-8_INV_FINANCIERAS'!J25,2)=0,"Ok","Mal, revisa datos en FC-4 Activo y FC-8")</f>
        <v>Ok</v>
      </c>
      <c r="H29" s="876"/>
      <c r="J29" s="878"/>
      <c r="K29" s="878"/>
      <c r="L29" s="878"/>
      <c r="M29" s="878"/>
    </row>
    <row r="30" spans="2:13" s="877" customFormat="1" ht="30" customHeight="1">
      <c r="B30" s="873"/>
      <c r="C30" s="885" t="s">
        <v>13</v>
      </c>
      <c r="D30" s="885"/>
      <c r="E30" s="886"/>
      <c r="F30" s="886"/>
      <c r="G30" s="887" t="str">
        <f>IF(ROUND((SUM('FC-4_ACTIVO'!G35:G39)+SUM('FC-4_ACTIVO'!G77:G81))-('FC-8_INV_FINANCIERAS'!J34),2)=0,"Ok","Mal, revisa datos en FC-4 Activo y FC-8")</f>
        <v>Ok</v>
      </c>
      <c r="H30" s="876"/>
      <c r="J30" s="878"/>
      <c r="K30" s="878"/>
      <c r="L30" s="878"/>
      <c r="M30" s="878"/>
    </row>
    <row r="31" spans="2:13" s="877" customFormat="1" ht="30" customHeight="1">
      <c r="B31" s="873"/>
      <c r="C31" s="885" t="s">
        <v>12</v>
      </c>
      <c r="D31" s="885"/>
      <c r="E31" s="886"/>
      <c r="F31" s="886"/>
      <c r="G31" s="887" t="str">
        <f>IF(ROUND(('FC-4_ACTIVO'!G41+'FC-4_ACTIVO'!G83)-'FC-8_INV_FINANCIERAS'!J49,2)=0,"Ok","Mal, revisa datos en FC-4 ACTIVO y FC-8")</f>
        <v>Ok</v>
      </c>
      <c r="H31" s="876"/>
      <c r="J31" s="878"/>
      <c r="K31" s="878"/>
      <c r="L31" s="878"/>
      <c r="M31" s="878"/>
    </row>
    <row r="32" spans="2:13" s="877" customFormat="1" ht="30" customHeight="1">
      <c r="B32" s="873"/>
      <c r="C32" s="885" t="s">
        <v>14</v>
      </c>
      <c r="D32" s="885"/>
      <c r="E32" s="886"/>
      <c r="F32" s="886"/>
      <c r="G32" s="887" t="str">
        <f>IF(ROUND((SUM('FC-4_ACTIVO'!G42:G46)+SUM('FC-4_ACTIVO'!G84:G88))-'FC-8_INV_FINANCIERAS'!J58,2)=0,"Ok","Mal, revisa datos en FC-4 Activo y en FC-8")</f>
        <v>Ok</v>
      </c>
      <c r="H32" s="876"/>
      <c r="J32" s="878"/>
      <c r="K32" s="878"/>
      <c r="L32" s="878"/>
      <c r="M32" s="878"/>
    </row>
    <row r="33" spans="2:13" s="877" customFormat="1" ht="30" customHeight="1">
      <c r="B33" s="873"/>
      <c r="C33" s="881" t="s">
        <v>833</v>
      </c>
      <c r="D33" s="879"/>
      <c r="E33" s="882"/>
      <c r="F33" s="880" t="str">
        <f>IF(ROUND('FC-4_PASIVO'!F41-'FC-9_TRANS_SUBV'!F35,2)=0,"Ok","Mal, revisa FC-4 PASIVO y FC-9")</f>
        <v>Ok</v>
      </c>
      <c r="G33" s="880" t="str">
        <f>IF(ROUND('FC-4_PASIVO'!G41-'FC-9_TRANS_SUBV'!G35,2)=0,"Ok","Mal, revisa FC-4 PASIVO y FC-9")</f>
        <v>Ok</v>
      </c>
      <c r="H33" s="876"/>
      <c r="J33" s="878"/>
      <c r="K33" s="878">
        <f>IF(F33="Ok",0,1)</f>
        <v>0</v>
      </c>
      <c r="L33" s="878">
        <f t="shared" ref="L33:L41" si="5">IF(G33="Ok",0,1)</f>
        <v>0</v>
      </c>
      <c r="M33" s="878">
        <f t="shared" si="3"/>
        <v>0</v>
      </c>
    </row>
    <row r="34" spans="2:13" s="927" customFormat="1" ht="30" customHeight="1">
      <c r="B34" s="928"/>
      <c r="C34" s="929" t="s">
        <v>54</v>
      </c>
      <c r="D34" s="929"/>
      <c r="E34" s="930"/>
      <c r="F34" s="931" t="str">
        <f>IF(ROUND('FC-3_CPyG'!F41+('FC-9_TRANS_SUBV'!F33),2)=0,"Ok","Mal, revisa datos FC-3 epígr. A) 9. y FC-9 celda F33")</f>
        <v>Ok</v>
      </c>
      <c r="G34" s="931" t="str">
        <f>IF(ROUND('FC-3_CPyG'!G41+('FC-9_TRANS_SUBV'!G33),2)=0,"Ok","Mal, revisa datos FC-3 epígr. A) 9. y FC-9 celda G33")</f>
        <v>Ok</v>
      </c>
      <c r="H34" s="932"/>
      <c r="J34" s="878"/>
      <c r="K34" s="878"/>
      <c r="L34" s="878"/>
      <c r="M34" s="878"/>
    </row>
    <row r="35" spans="2:13" s="877" customFormat="1" ht="30" customHeight="1">
      <c r="B35" s="873"/>
      <c r="C35" s="881" t="s">
        <v>834</v>
      </c>
      <c r="D35" s="879"/>
      <c r="E35" s="882"/>
      <c r="F35" s="880" t="str">
        <f>IF('FC-3_CPyG'!F29-'FC-9_TRANS_SUBV'!F71=0,"Ok","Mal, revisa dato en FC-3 y FC-9")</f>
        <v>Ok</v>
      </c>
      <c r="G35" s="880" t="str">
        <f>IF('FC-3_CPyG'!G29-'FC-9_TRANS_SUBV'!G71=0,"Ok","Mal, revisa dato en FC-3 y FC-9")</f>
        <v>Ok</v>
      </c>
      <c r="H35" s="876"/>
      <c r="J35" s="878"/>
      <c r="K35" s="878">
        <f>IF(F35="Ok",0,1)</f>
        <v>0</v>
      </c>
      <c r="L35" s="878">
        <f t="shared" si="5"/>
        <v>0</v>
      </c>
      <c r="M35" s="878">
        <f t="shared" si="3"/>
        <v>0</v>
      </c>
    </row>
    <row r="36" spans="2:13" s="877" customFormat="1" ht="30" customHeight="1">
      <c r="B36" s="873"/>
      <c r="C36" s="881" t="s">
        <v>837</v>
      </c>
      <c r="D36" s="879"/>
      <c r="E36" s="882"/>
      <c r="F36" s="880" t="str">
        <f>IF('FC-4_PASIVO'!F31-'FC-4_PASIVO'!E31='FC-9_TRANS_SUBV'!F86,"Ok","Mal, revísa FC-4 PASIVO y FC-9")</f>
        <v>Ok</v>
      </c>
      <c r="G36" s="880" t="str">
        <f>IF('FC-4_PASIVO'!G31-'FC-4_PASIVO'!F31='FC-9_TRANS_SUBV'!G86,"Ok","Mal, revísa FC-4 PASIVO y FC-9")</f>
        <v>Ok</v>
      </c>
      <c r="H36" s="876"/>
      <c r="J36" s="878"/>
      <c r="K36" s="878">
        <f>IF(F36="Ok",0,1)</f>
        <v>0</v>
      </c>
      <c r="L36" s="878">
        <f t="shared" si="5"/>
        <v>0</v>
      </c>
      <c r="M36" s="878">
        <f t="shared" si="3"/>
        <v>0</v>
      </c>
    </row>
    <row r="37" spans="2:13" s="877" customFormat="1" ht="30" customHeight="1">
      <c r="B37" s="873"/>
      <c r="C37" s="881" t="s">
        <v>839</v>
      </c>
      <c r="D37" s="879"/>
      <c r="E37" s="882"/>
      <c r="F37" s="880" t="str">
        <f>IF(ROUND(('FC-4_PASIVO'!F51+'FC-4_PASIVO'!F52+'FC-4_PASIVO'!F68+'FC-4_PASIVO'!F69)-('FC-10_DEUDAS'!L42+'FC-10_DEUDAS'!L74),2)=0,"Ok","Mal, revisa datos en FC-4 PASIVO y FC-10")</f>
        <v>Ok</v>
      </c>
      <c r="G37" s="880" t="str">
        <f>IF(ROUND(('FC-4_PASIVO'!G51+'FC-4_PASIVO'!G52+'FC-4_PASIVO'!G68+'FC-4_PASIVO'!G69)-('FC-10_DEUDAS'!Q42+'FC-10_DEUDAS'!Q74),2)=0,"Ok","Mal, revisa datos en FC-4 PASIVO y FC-10")</f>
        <v>Ok</v>
      </c>
      <c r="H37" s="876"/>
      <c r="J37" s="878"/>
      <c r="K37" s="878">
        <f>IF(F37="Ok",0,1)</f>
        <v>0</v>
      </c>
      <c r="L37" s="878">
        <f t="shared" si="5"/>
        <v>0</v>
      </c>
      <c r="M37" s="878">
        <f t="shared" si="3"/>
        <v>0</v>
      </c>
    </row>
    <row r="38" spans="2:13" s="877" customFormat="1" ht="30" customHeight="1">
      <c r="B38" s="873"/>
      <c r="C38" s="881" t="s">
        <v>840</v>
      </c>
      <c r="D38" s="879"/>
      <c r="E38" s="882"/>
      <c r="F38" s="882"/>
      <c r="G38" s="880" t="str">
        <f>IF(ROUND('FC-10_DEUDAS'!Q74-'FC-10_DEUDAS'!R74-'FC-10_DEUDAS'!S74,2)=0,"Ok","Mal, revisa datos, celdas Q74=R74+S74 en FC-10")</f>
        <v>Ok</v>
      </c>
      <c r="H38" s="876"/>
      <c r="J38" s="878"/>
      <c r="K38" s="878"/>
      <c r="L38" s="878">
        <f t="shared" si="5"/>
        <v>0</v>
      </c>
      <c r="M38" s="878">
        <f t="shared" si="3"/>
        <v>0</v>
      </c>
    </row>
    <row r="39" spans="2:13" s="877" customFormat="1" ht="30" customHeight="1">
      <c r="B39" s="873"/>
      <c r="C39" s="888" t="s">
        <v>841</v>
      </c>
      <c r="D39" s="889"/>
      <c r="E39" s="890"/>
      <c r="F39" s="890"/>
      <c r="G39" s="891" t="str">
        <f>IF(ROUND(-'FC-3_CPyG'!G30-'FC-13_PERSONAL'!F31,2)=0,"Ok","Mal, revísa dato en FC-3 CPyG y FC-13")</f>
        <v>Ok</v>
      </c>
      <c r="H39" s="876"/>
      <c r="J39" s="878"/>
      <c r="K39" s="878"/>
      <c r="L39" s="878">
        <f t="shared" si="5"/>
        <v>0</v>
      </c>
      <c r="M39" s="878">
        <f t="shared" si="3"/>
        <v>0</v>
      </c>
    </row>
    <row r="40" spans="2:13" ht="30" customHeight="1">
      <c r="B40" s="339"/>
      <c r="C40" s="336"/>
      <c r="D40" s="336"/>
      <c r="E40" s="336"/>
      <c r="F40" s="336"/>
      <c r="G40" s="336"/>
      <c r="H40" s="340"/>
      <c r="J40" s="796"/>
      <c r="K40" s="796"/>
      <c r="L40" s="796"/>
      <c r="M40" s="796"/>
    </row>
    <row r="41" spans="2:13" ht="30" customHeight="1">
      <c r="B41" s="339"/>
      <c r="C41" s="892" t="s">
        <v>843</v>
      </c>
      <c r="D41" s="893"/>
      <c r="E41" s="894"/>
      <c r="F41" s="894"/>
      <c r="G41" s="895" t="str">
        <f>IF(ROUND('FC-3_CPyG'!G84-'FC-92_PRESUPUESTO_PYG'!E59,2)=0,"Ok","Mal, revisa resultado en F-3 y FC-92")</f>
        <v>Ok</v>
      </c>
      <c r="H41" s="340"/>
      <c r="J41" s="796"/>
      <c r="K41" s="796"/>
      <c r="L41" s="796">
        <f t="shared" si="5"/>
        <v>0</v>
      </c>
      <c r="M41" s="796">
        <f t="shared" si="3"/>
        <v>0</v>
      </c>
    </row>
    <row r="42" spans="2:13" ht="22.95" customHeight="1" thickBot="1">
      <c r="B42" s="343"/>
      <c r="C42" s="344"/>
      <c r="D42" s="344"/>
      <c r="E42" s="344"/>
      <c r="F42" s="345"/>
      <c r="G42" s="344"/>
      <c r="H42" s="346"/>
    </row>
    <row r="43" spans="2:13" ht="22.95" customHeight="1">
      <c r="F43" s="347"/>
    </row>
    <row r="44" spans="2:13" s="42" customFormat="1" ht="13.2">
      <c r="C44" s="37" t="s">
        <v>174</v>
      </c>
      <c r="F44" s="43"/>
      <c r="G44" s="41"/>
    </row>
    <row r="45" spans="2:13" s="42" customFormat="1" ht="13.2">
      <c r="C45" s="38" t="s">
        <v>175</v>
      </c>
      <c r="F45" s="43"/>
    </row>
    <row r="46" spans="2:13" s="42" customFormat="1" ht="13.2">
      <c r="C46" s="38" t="s">
        <v>176</v>
      </c>
      <c r="F46" s="43"/>
    </row>
    <row r="47" spans="2:13" s="42" customFormat="1" ht="13.2">
      <c r="C47" s="38" t="s">
        <v>177</v>
      </c>
      <c r="F47" s="43"/>
    </row>
    <row r="48" spans="2:13" s="42" customFormat="1" ht="13.2">
      <c r="C48" s="38" t="s">
        <v>178</v>
      </c>
      <c r="F48" s="43"/>
    </row>
    <row r="49" spans="6:6" ht="22.95" customHeight="1">
      <c r="F49" s="347"/>
    </row>
    <row r="50" spans="6:6" ht="22.95" customHeight="1">
      <c r="F50" s="347"/>
    </row>
    <row r="51" spans="6:6" ht="22.95" customHeight="1">
      <c r="F51" s="347"/>
    </row>
    <row r="52" spans="6:6" ht="22.95" customHeight="1">
      <c r="F52" s="347"/>
    </row>
    <row r="53" spans="6:6" ht="22.95" customHeight="1">
      <c r="F53" s="347"/>
    </row>
    <row r="54" spans="6:6" ht="22.95" customHeight="1">
      <c r="F54" s="347"/>
    </row>
    <row r="55" spans="6:6" ht="22.95" customHeight="1">
      <c r="F55" s="347"/>
    </row>
  </sheetData>
  <sheetProtection password="E059" sheet="1" objects="1" scenarios="1"/>
  <mergeCells count="2">
    <mergeCell ref="G6:G7"/>
    <mergeCell ref="D9:G9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7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zoomScale="55" zoomScaleNormal="55" workbookViewId="0">
      <selection activeCell="B1" sqref="B1:H41"/>
    </sheetView>
  </sheetViews>
  <sheetFormatPr baseColWidth="10" defaultColWidth="10.54296875" defaultRowHeight="22.95" customHeight="1"/>
  <cols>
    <col min="1" max="2" width="3.1796875" style="97" customWidth="1"/>
    <col min="3" max="3" width="13.54296875" style="97" customWidth="1"/>
    <col min="4" max="4" width="99.54296875" style="97" customWidth="1"/>
    <col min="5" max="7" width="17.54296875" style="98" customWidth="1"/>
    <col min="8" max="8" width="3.453125" style="97" customWidth="1"/>
    <col min="9" max="16384" width="10.54296875" style="97"/>
  </cols>
  <sheetData>
    <row r="2" spans="2:23" ht="22.95" customHeight="1">
      <c r="D2" s="209" t="s">
        <v>477</v>
      </c>
    </row>
    <row r="3" spans="2:23" ht="22.95" customHeight="1">
      <c r="D3" s="209" t="s">
        <v>478</v>
      </c>
    </row>
    <row r="4" spans="2:23" ht="22.95" customHeight="1" thickBot="1"/>
    <row r="5" spans="2:23" ht="9" customHeight="1">
      <c r="B5" s="99"/>
      <c r="C5" s="100"/>
      <c r="D5" s="100"/>
      <c r="E5" s="101"/>
      <c r="F5" s="101"/>
      <c r="G5" s="101"/>
      <c r="H5" s="102"/>
      <c r="J5" s="402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4"/>
    </row>
    <row r="6" spans="2:23" ht="30" customHeight="1">
      <c r="B6" s="103"/>
      <c r="C6" s="67" t="s">
        <v>97</v>
      </c>
      <c r="D6" s="104"/>
      <c r="E6" s="105"/>
      <c r="F6" s="105"/>
      <c r="G6" s="984">
        <f>ejercicio</f>
        <v>2018</v>
      </c>
      <c r="H6" s="106"/>
      <c r="J6" s="405"/>
      <c r="K6" s="406" t="s">
        <v>810</v>
      </c>
      <c r="L6" s="406"/>
      <c r="M6" s="406"/>
      <c r="N6" s="406"/>
      <c r="O6" s="407"/>
      <c r="P6" s="407"/>
      <c r="Q6" s="407"/>
      <c r="R6" s="407"/>
      <c r="S6" s="407"/>
      <c r="T6" s="407"/>
      <c r="U6" s="407"/>
      <c r="V6" s="407"/>
      <c r="W6" s="408"/>
    </row>
    <row r="7" spans="2:23" ht="30" customHeight="1">
      <c r="B7" s="103"/>
      <c r="C7" s="67" t="s">
        <v>98</v>
      </c>
      <c r="D7" s="104"/>
      <c r="E7" s="105"/>
      <c r="F7" s="105"/>
      <c r="G7" s="984"/>
      <c r="H7" s="106"/>
      <c r="J7" s="405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8"/>
    </row>
    <row r="8" spans="2:23" ht="30" customHeight="1">
      <c r="B8" s="103"/>
      <c r="C8" s="107"/>
      <c r="D8" s="104"/>
      <c r="E8" s="105"/>
      <c r="F8" s="105"/>
      <c r="G8" s="108"/>
      <c r="H8" s="106"/>
      <c r="J8" s="405"/>
      <c r="K8" s="407"/>
      <c r="L8" s="407"/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8"/>
    </row>
    <row r="9" spans="2:23" s="184" customFormat="1" ht="30" customHeight="1">
      <c r="B9" s="182"/>
      <c r="C9" s="40" t="s">
        <v>99</v>
      </c>
      <c r="D9" s="1004" t="str">
        <f>Entidad</f>
        <v>INSTITUTO TECNOLÓGICO Y DE ENERGÍAS RENOVALBES S.A. (ITER)</v>
      </c>
      <c r="E9" s="1004"/>
      <c r="F9" s="1004"/>
      <c r="G9" s="1004"/>
      <c r="H9" s="183"/>
      <c r="J9" s="405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2" customHeight="1">
      <c r="B10" s="103"/>
      <c r="C10" s="104"/>
      <c r="D10" s="104"/>
      <c r="E10" s="105"/>
      <c r="F10" s="105"/>
      <c r="G10" s="105"/>
      <c r="H10" s="106"/>
      <c r="J10" s="405"/>
      <c r="K10" s="407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8"/>
    </row>
    <row r="11" spans="2:23" s="115" customFormat="1" ht="30" customHeight="1">
      <c r="B11" s="111"/>
      <c r="C11" s="112" t="s">
        <v>680</v>
      </c>
      <c r="D11" s="112"/>
      <c r="E11" s="113"/>
      <c r="F11" s="113"/>
      <c r="G11" s="113"/>
      <c r="H11" s="114"/>
      <c r="J11" s="405"/>
      <c r="K11" s="407"/>
      <c r="L11" s="407"/>
      <c r="M11" s="407"/>
      <c r="N11" s="407"/>
      <c r="O11" s="407"/>
      <c r="P11" s="407"/>
      <c r="Q11" s="407"/>
      <c r="R11" s="407"/>
      <c r="S11" s="407"/>
      <c r="T11" s="407"/>
      <c r="U11" s="407"/>
      <c r="V11" s="407"/>
      <c r="W11" s="408"/>
    </row>
    <row r="12" spans="2:23" s="115" customFormat="1" ht="30" customHeight="1">
      <c r="B12" s="111"/>
      <c r="C12" s="1043"/>
      <c r="D12" s="1043"/>
      <c r="E12" s="96"/>
      <c r="F12" s="96"/>
      <c r="G12" s="96"/>
      <c r="H12" s="114"/>
      <c r="J12" s="405"/>
      <c r="K12" s="407"/>
      <c r="L12" s="407"/>
      <c r="M12" s="407"/>
      <c r="N12" s="407"/>
      <c r="O12" s="407"/>
      <c r="P12" s="407"/>
      <c r="Q12" s="407"/>
      <c r="R12" s="407"/>
      <c r="S12" s="407"/>
      <c r="T12" s="407"/>
      <c r="U12" s="407"/>
      <c r="V12" s="407"/>
      <c r="W12" s="408"/>
    </row>
    <row r="13" spans="2:23" ht="28.95" customHeight="1">
      <c r="B13" s="117"/>
      <c r="C13" s="66" t="s">
        <v>681</v>
      </c>
      <c r="D13" s="150"/>
      <c r="E13" s="96"/>
      <c r="F13" s="96"/>
      <c r="G13" s="250"/>
      <c r="H13" s="106"/>
      <c r="J13" s="405"/>
      <c r="K13" s="407"/>
      <c r="L13" s="407"/>
      <c r="M13" s="407"/>
      <c r="N13" s="407"/>
      <c r="O13" s="407"/>
      <c r="P13" s="407"/>
      <c r="Q13" s="407"/>
      <c r="R13" s="407"/>
      <c r="S13" s="407"/>
      <c r="T13" s="407"/>
      <c r="U13" s="407"/>
      <c r="V13" s="407"/>
      <c r="W13" s="408"/>
    </row>
    <row r="14" spans="2:23" ht="9" customHeight="1">
      <c r="B14" s="117"/>
      <c r="C14" s="150"/>
      <c r="D14" s="150"/>
      <c r="E14" s="96"/>
      <c r="F14" s="96"/>
      <c r="G14" s="96"/>
      <c r="H14" s="106"/>
      <c r="J14" s="405"/>
      <c r="K14" s="407"/>
      <c r="L14" s="407"/>
      <c r="M14" s="407"/>
      <c r="N14" s="407"/>
      <c r="O14" s="407"/>
      <c r="P14" s="407"/>
      <c r="Q14" s="407"/>
      <c r="R14" s="407"/>
      <c r="S14" s="407"/>
      <c r="T14" s="407"/>
      <c r="U14" s="407"/>
      <c r="V14" s="407"/>
      <c r="W14" s="408"/>
    </row>
    <row r="15" spans="2:23" s="235" customFormat="1" ht="22.95" customHeight="1">
      <c r="B15" s="236"/>
      <c r="C15" s="192"/>
      <c r="D15" s="237"/>
      <c r="E15" s="192" t="s">
        <v>582</v>
      </c>
      <c r="F15" s="192" t="s">
        <v>683</v>
      </c>
      <c r="G15" s="192"/>
      <c r="H15" s="238"/>
      <c r="J15" s="405"/>
      <c r="K15" s="407"/>
      <c r="L15" s="407"/>
      <c r="M15" s="407"/>
      <c r="N15" s="407"/>
      <c r="O15" s="407"/>
      <c r="P15" s="407"/>
      <c r="Q15" s="407"/>
      <c r="R15" s="407"/>
      <c r="S15" s="407"/>
      <c r="T15" s="407"/>
      <c r="U15" s="407"/>
      <c r="V15" s="407"/>
      <c r="W15" s="408"/>
    </row>
    <row r="16" spans="2:23" s="235" customFormat="1" ht="24" customHeight="1">
      <c r="B16" s="236"/>
      <c r="C16" s="241" t="s">
        <v>545</v>
      </c>
      <c r="D16" s="242" t="s">
        <v>555</v>
      </c>
      <c r="E16" s="241" t="s">
        <v>682</v>
      </c>
      <c r="F16" s="241">
        <f>ejercicio</f>
        <v>2018</v>
      </c>
      <c r="G16" s="241" t="s">
        <v>684</v>
      </c>
      <c r="H16" s="238"/>
      <c r="J16" s="405"/>
      <c r="K16" s="407"/>
      <c r="L16" s="407"/>
      <c r="M16" s="407"/>
      <c r="N16" s="407"/>
      <c r="O16" s="407"/>
      <c r="P16" s="407"/>
      <c r="Q16" s="407"/>
      <c r="R16" s="407"/>
      <c r="S16" s="407"/>
      <c r="T16" s="407"/>
      <c r="U16" s="407"/>
      <c r="V16" s="407"/>
      <c r="W16" s="408"/>
    </row>
    <row r="17" spans="2:23" ht="22.95" customHeight="1">
      <c r="B17" s="117"/>
      <c r="C17" s="480"/>
      <c r="D17" s="475"/>
      <c r="E17" s="471"/>
      <c r="F17" s="471"/>
      <c r="G17" s="566"/>
      <c r="H17" s="106"/>
      <c r="J17" s="405"/>
      <c r="K17" s="407"/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  <c r="W17" s="408"/>
    </row>
    <row r="18" spans="2:23" ht="22.95" customHeight="1">
      <c r="B18" s="117"/>
      <c r="C18" s="480"/>
      <c r="D18" s="475"/>
      <c r="E18" s="471"/>
      <c r="F18" s="471"/>
      <c r="G18" s="567"/>
      <c r="H18" s="106"/>
      <c r="J18" s="405"/>
      <c r="K18" s="407"/>
      <c r="L18" s="407"/>
      <c r="M18" s="407"/>
      <c r="N18" s="407"/>
      <c r="O18" s="407"/>
      <c r="P18" s="407"/>
      <c r="Q18" s="407"/>
      <c r="R18" s="407"/>
      <c r="S18" s="407"/>
      <c r="T18" s="407"/>
      <c r="U18" s="407"/>
      <c r="V18" s="407"/>
      <c r="W18" s="408"/>
    </row>
    <row r="19" spans="2:23" ht="22.95" customHeight="1">
      <c r="B19" s="117"/>
      <c r="C19" s="480"/>
      <c r="D19" s="475"/>
      <c r="E19" s="471"/>
      <c r="F19" s="471"/>
      <c r="G19" s="567"/>
      <c r="H19" s="106"/>
      <c r="J19" s="405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8"/>
    </row>
    <row r="20" spans="2:23" ht="22.95" customHeight="1">
      <c r="B20" s="117"/>
      <c r="C20" s="480"/>
      <c r="D20" s="475"/>
      <c r="E20" s="471"/>
      <c r="F20" s="471"/>
      <c r="G20" s="567"/>
      <c r="H20" s="106"/>
      <c r="J20" s="405"/>
      <c r="K20" s="407"/>
      <c r="L20" s="407"/>
      <c r="M20" s="407"/>
      <c r="N20" s="407"/>
      <c r="O20" s="407"/>
      <c r="P20" s="407"/>
      <c r="Q20" s="407"/>
      <c r="R20" s="407"/>
      <c r="S20" s="407"/>
      <c r="T20" s="407"/>
      <c r="U20" s="407"/>
      <c r="V20" s="407"/>
      <c r="W20" s="408"/>
    </row>
    <row r="21" spans="2:23" ht="22.95" customHeight="1">
      <c r="B21" s="117"/>
      <c r="C21" s="480"/>
      <c r="D21" s="475"/>
      <c r="E21" s="471"/>
      <c r="F21" s="471"/>
      <c r="G21" s="567"/>
      <c r="H21" s="106"/>
      <c r="J21" s="405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7"/>
      <c r="W21" s="408"/>
    </row>
    <row r="22" spans="2:23" ht="22.95" customHeight="1">
      <c r="B22" s="117"/>
      <c r="C22" s="480"/>
      <c r="D22" s="475"/>
      <c r="E22" s="471"/>
      <c r="F22" s="471"/>
      <c r="G22" s="567"/>
      <c r="H22" s="106"/>
      <c r="J22" s="405"/>
      <c r="K22" s="407"/>
      <c r="L22" s="407"/>
      <c r="M22" s="407"/>
      <c r="N22" s="407"/>
      <c r="O22" s="407"/>
      <c r="P22" s="407"/>
      <c r="Q22" s="407"/>
      <c r="R22" s="407"/>
      <c r="S22" s="407"/>
      <c r="T22" s="407"/>
      <c r="U22" s="407"/>
      <c r="V22" s="407"/>
      <c r="W22" s="408"/>
    </row>
    <row r="23" spans="2:23" ht="22.95" customHeight="1">
      <c r="B23" s="117"/>
      <c r="C23" s="480"/>
      <c r="D23" s="475"/>
      <c r="E23" s="471"/>
      <c r="F23" s="471"/>
      <c r="G23" s="567"/>
      <c r="H23" s="106"/>
      <c r="J23" s="405"/>
      <c r="K23" s="407"/>
      <c r="L23" s="407"/>
      <c r="M23" s="407"/>
      <c r="N23" s="407"/>
      <c r="O23" s="407"/>
      <c r="P23" s="407"/>
      <c r="Q23" s="407"/>
      <c r="R23" s="407"/>
      <c r="S23" s="407"/>
      <c r="T23" s="407"/>
      <c r="U23" s="407"/>
      <c r="V23" s="407"/>
      <c r="W23" s="408"/>
    </row>
    <row r="24" spans="2:23" ht="22.95" customHeight="1">
      <c r="B24" s="117"/>
      <c r="C24" s="480"/>
      <c r="D24" s="475"/>
      <c r="E24" s="471"/>
      <c r="F24" s="471"/>
      <c r="G24" s="567"/>
      <c r="H24" s="106"/>
      <c r="J24" s="405"/>
      <c r="K24" s="407"/>
      <c r="L24" s="407"/>
      <c r="M24" s="407"/>
      <c r="N24" s="407"/>
      <c r="O24" s="407"/>
      <c r="P24" s="407"/>
      <c r="Q24" s="407"/>
      <c r="R24" s="407"/>
      <c r="S24" s="407"/>
      <c r="T24" s="407"/>
      <c r="U24" s="407"/>
      <c r="V24" s="407"/>
      <c r="W24" s="408"/>
    </row>
    <row r="25" spans="2:23" ht="22.95" customHeight="1">
      <c r="B25" s="117"/>
      <c r="C25" s="480"/>
      <c r="D25" s="475"/>
      <c r="E25" s="471"/>
      <c r="F25" s="471"/>
      <c r="G25" s="567"/>
      <c r="H25" s="106"/>
      <c r="J25" s="405"/>
      <c r="K25" s="407"/>
      <c r="L25" s="407"/>
      <c r="M25" s="407"/>
      <c r="N25" s="407"/>
      <c r="O25" s="407"/>
      <c r="P25" s="407"/>
      <c r="Q25" s="407"/>
      <c r="R25" s="407"/>
      <c r="S25" s="407"/>
      <c r="T25" s="407"/>
      <c r="U25" s="407"/>
      <c r="V25" s="407"/>
      <c r="W25" s="408"/>
    </row>
    <row r="26" spans="2:23" ht="22.95" customHeight="1">
      <c r="B26" s="117"/>
      <c r="C26" s="480"/>
      <c r="D26" s="475"/>
      <c r="E26" s="471"/>
      <c r="F26" s="471"/>
      <c r="G26" s="567"/>
      <c r="H26" s="106"/>
      <c r="J26" s="405"/>
      <c r="K26" s="407"/>
      <c r="L26" s="407"/>
      <c r="M26" s="407"/>
      <c r="N26" s="407"/>
      <c r="O26" s="407"/>
      <c r="P26" s="407"/>
      <c r="Q26" s="407"/>
      <c r="R26" s="407"/>
      <c r="S26" s="407"/>
      <c r="T26" s="407"/>
      <c r="U26" s="407"/>
      <c r="V26" s="407"/>
      <c r="W26" s="408"/>
    </row>
    <row r="27" spans="2:23" ht="22.95" customHeight="1">
      <c r="B27" s="117"/>
      <c r="C27" s="480"/>
      <c r="D27" s="475"/>
      <c r="E27" s="471"/>
      <c r="F27" s="471"/>
      <c r="G27" s="567"/>
      <c r="H27" s="106"/>
      <c r="J27" s="405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8"/>
    </row>
    <row r="28" spans="2:23" ht="22.95" customHeight="1">
      <c r="B28" s="117"/>
      <c r="C28" s="480"/>
      <c r="D28" s="475"/>
      <c r="E28" s="471"/>
      <c r="F28" s="471"/>
      <c r="G28" s="567"/>
      <c r="H28" s="106"/>
      <c r="J28" s="405"/>
      <c r="K28" s="407"/>
      <c r="L28" s="407"/>
      <c r="M28" s="407"/>
      <c r="N28" s="407"/>
      <c r="O28" s="407"/>
      <c r="P28" s="407"/>
      <c r="Q28" s="407"/>
      <c r="R28" s="407"/>
      <c r="S28" s="407"/>
      <c r="T28" s="407"/>
      <c r="U28" s="407"/>
      <c r="V28" s="407"/>
      <c r="W28" s="408"/>
    </row>
    <row r="29" spans="2:23" ht="22.95" customHeight="1">
      <c r="B29" s="117"/>
      <c r="C29" s="480"/>
      <c r="D29" s="475"/>
      <c r="E29" s="471"/>
      <c r="F29" s="471"/>
      <c r="G29" s="567"/>
      <c r="H29" s="106"/>
      <c r="J29" s="405"/>
      <c r="K29" s="407"/>
      <c r="L29" s="407"/>
      <c r="M29" s="407"/>
      <c r="N29" s="407"/>
      <c r="O29" s="407"/>
      <c r="P29" s="407"/>
      <c r="Q29" s="407"/>
      <c r="R29" s="407"/>
      <c r="S29" s="407"/>
      <c r="T29" s="407"/>
      <c r="U29" s="407"/>
      <c r="V29" s="407"/>
      <c r="W29" s="408"/>
    </row>
    <row r="30" spans="2:23" ht="22.95" customHeight="1">
      <c r="B30" s="117"/>
      <c r="C30" s="480"/>
      <c r="D30" s="475"/>
      <c r="E30" s="471"/>
      <c r="F30" s="471"/>
      <c r="G30" s="567"/>
      <c r="H30" s="106"/>
      <c r="J30" s="405"/>
      <c r="K30" s="407"/>
      <c r="L30" s="407"/>
      <c r="M30" s="407"/>
      <c r="N30" s="407"/>
      <c r="O30" s="407"/>
      <c r="P30" s="407"/>
      <c r="Q30" s="407"/>
      <c r="R30" s="407"/>
      <c r="S30" s="407"/>
      <c r="T30" s="407"/>
      <c r="U30" s="407"/>
      <c r="V30" s="407"/>
      <c r="W30" s="408"/>
    </row>
    <row r="31" spans="2:23" ht="22.95" customHeight="1">
      <c r="B31" s="117"/>
      <c r="C31" s="481"/>
      <c r="D31" s="476"/>
      <c r="E31" s="472"/>
      <c r="F31" s="472"/>
      <c r="G31" s="568"/>
      <c r="H31" s="106"/>
      <c r="J31" s="405"/>
      <c r="K31" s="407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7"/>
      <c r="W31" s="408"/>
    </row>
    <row r="32" spans="2:23" ht="22.95" customHeight="1">
      <c r="B32" s="117"/>
      <c r="C32" s="482"/>
      <c r="D32" s="477"/>
      <c r="E32" s="474"/>
      <c r="F32" s="474"/>
      <c r="G32" s="569"/>
      <c r="H32" s="106"/>
      <c r="J32" s="405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8"/>
    </row>
    <row r="33" spans="2:23" ht="22.95" customHeight="1" thickBot="1">
      <c r="B33" s="117"/>
      <c r="C33" s="209"/>
      <c r="D33" s="213" t="s">
        <v>503</v>
      </c>
      <c r="E33" s="127">
        <f>SUM(E17:E32)</f>
        <v>0</v>
      </c>
      <c r="F33" s="127">
        <f>SUM(F17:F32)</f>
        <v>0</v>
      </c>
      <c r="G33" s="96"/>
      <c r="H33" s="106"/>
      <c r="J33" s="405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8"/>
    </row>
    <row r="34" spans="2:23" ht="22.95" customHeight="1">
      <c r="B34" s="117"/>
      <c r="C34" s="209"/>
      <c r="D34" s="209"/>
      <c r="E34" s="210"/>
      <c r="F34" s="210"/>
      <c r="G34" s="96"/>
      <c r="H34" s="106"/>
      <c r="J34" s="405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8"/>
    </row>
    <row r="35" spans="2:23" ht="22.95" customHeight="1" thickBot="1">
      <c r="B35" s="121"/>
      <c r="C35" s="1003"/>
      <c r="D35" s="1003"/>
      <c r="E35" s="53"/>
      <c r="F35" s="53"/>
      <c r="G35" s="122"/>
      <c r="H35" s="123"/>
      <c r="J35" s="399"/>
      <c r="K35" s="400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00"/>
      <c r="W35" s="401"/>
    </row>
    <row r="36" spans="2:23" ht="22.95" customHeight="1">
      <c r="C36" s="104"/>
      <c r="D36" s="104"/>
      <c r="E36" s="105"/>
      <c r="F36" s="105"/>
      <c r="G36" s="105"/>
    </row>
    <row r="37" spans="2:23" ht="13.2">
      <c r="C37" s="124" t="s">
        <v>174</v>
      </c>
      <c r="D37" s="104"/>
      <c r="E37" s="105"/>
      <c r="F37" s="105"/>
      <c r="G37" s="95" t="s">
        <v>624</v>
      </c>
    </row>
    <row r="38" spans="2:23" ht="13.2">
      <c r="C38" s="125" t="s">
        <v>175</v>
      </c>
      <c r="D38" s="104"/>
      <c r="E38" s="105"/>
      <c r="F38" s="105"/>
      <c r="G38" s="105"/>
    </row>
    <row r="39" spans="2:23" ht="13.2">
      <c r="C39" s="125" t="s">
        <v>176</v>
      </c>
      <c r="D39" s="104"/>
      <c r="E39" s="105"/>
      <c r="F39" s="105"/>
      <c r="G39" s="105"/>
    </row>
    <row r="40" spans="2:23" ht="13.2">
      <c r="C40" s="125" t="s">
        <v>177</v>
      </c>
      <c r="D40" s="104"/>
      <c r="E40" s="105"/>
      <c r="F40" s="105"/>
      <c r="G40" s="105"/>
    </row>
    <row r="41" spans="2:23" ht="13.2">
      <c r="C41" s="125" t="s">
        <v>178</v>
      </c>
      <c r="D41" s="104"/>
      <c r="E41" s="105"/>
      <c r="F41" s="105"/>
      <c r="G41" s="105"/>
    </row>
    <row r="42" spans="2:23" ht="22.95" customHeight="1">
      <c r="C42" s="104"/>
      <c r="D42" s="104"/>
      <c r="E42" s="105"/>
      <c r="F42" s="105"/>
      <c r="G42" s="105"/>
    </row>
    <row r="43" spans="2:23" ht="22.95" customHeight="1">
      <c r="C43" s="104"/>
      <c r="D43" s="104"/>
      <c r="E43" s="105"/>
      <c r="F43" s="105"/>
      <c r="G43" s="105"/>
    </row>
    <row r="44" spans="2:23" ht="22.95" customHeight="1">
      <c r="C44" s="104"/>
      <c r="D44" s="104"/>
      <c r="E44" s="105"/>
      <c r="F44" s="105"/>
      <c r="G44" s="105"/>
    </row>
    <row r="45" spans="2:23" ht="22.95" customHeight="1">
      <c r="C45" s="104"/>
      <c r="D45" s="104"/>
      <c r="E45" s="105"/>
      <c r="F45" s="105"/>
      <c r="G45" s="105"/>
    </row>
    <row r="46" spans="2:23" ht="22.95" customHeight="1">
      <c r="E46" s="105"/>
      <c r="F46" s="105"/>
      <c r="G46" s="105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topLeftCell="A28" zoomScale="70" zoomScaleNormal="70" workbookViewId="0">
      <selection activeCell="F15" sqref="F15"/>
    </sheetView>
  </sheetViews>
  <sheetFormatPr baseColWidth="10" defaultColWidth="10.54296875" defaultRowHeight="22.95" customHeight="1"/>
  <cols>
    <col min="1" max="2" width="3.1796875" style="97" customWidth="1"/>
    <col min="3" max="3" width="13.1796875" style="97" customWidth="1"/>
    <col min="4" max="4" width="68" style="97" customWidth="1"/>
    <col min="5" max="5" width="17.54296875" style="98" customWidth="1"/>
    <col min="6" max="6" width="44.81640625" style="98" customWidth="1"/>
    <col min="7" max="7" width="10.54296875" style="98" customWidth="1"/>
    <col min="8" max="8" width="3.453125" style="97" customWidth="1"/>
    <col min="9" max="16384" width="10.54296875" style="97"/>
  </cols>
  <sheetData>
    <row r="2" spans="2:23" ht="22.95" customHeight="1">
      <c r="D2" s="209" t="s">
        <v>477</v>
      </c>
    </row>
    <row r="3" spans="2:23" ht="22.95" customHeight="1">
      <c r="D3" s="209" t="s">
        <v>478</v>
      </c>
    </row>
    <row r="4" spans="2:23" ht="22.95" customHeight="1" thickBot="1"/>
    <row r="5" spans="2:23" ht="9" customHeight="1">
      <c r="B5" s="99"/>
      <c r="C5" s="100"/>
      <c r="D5" s="100"/>
      <c r="E5" s="101"/>
      <c r="F5" s="101"/>
      <c r="G5" s="101"/>
      <c r="H5" s="102"/>
      <c r="J5" s="402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4"/>
    </row>
    <row r="6" spans="2:23" ht="30" customHeight="1">
      <c r="B6" s="103"/>
      <c r="C6" s="67" t="s">
        <v>97</v>
      </c>
      <c r="D6" s="104"/>
      <c r="E6" s="105"/>
      <c r="F6" s="105"/>
      <c r="G6" s="984">
        <f>ejercicio</f>
        <v>2018</v>
      </c>
      <c r="H6" s="106"/>
      <c r="J6" s="405"/>
      <c r="K6" s="406" t="s">
        <v>810</v>
      </c>
      <c r="L6" s="406"/>
      <c r="M6" s="406"/>
      <c r="N6" s="406"/>
      <c r="O6" s="407"/>
      <c r="P6" s="407"/>
      <c r="Q6" s="407"/>
      <c r="R6" s="407"/>
      <c r="S6" s="407"/>
      <c r="T6" s="407"/>
      <c r="U6" s="407"/>
      <c r="V6" s="407"/>
      <c r="W6" s="408"/>
    </row>
    <row r="7" spans="2:23" ht="30" customHeight="1">
      <c r="B7" s="103"/>
      <c r="C7" s="67" t="s">
        <v>98</v>
      </c>
      <c r="D7" s="104"/>
      <c r="E7" s="105"/>
      <c r="F7" s="105"/>
      <c r="G7" s="984"/>
      <c r="H7" s="106"/>
      <c r="J7" s="405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8"/>
    </row>
    <row r="8" spans="2:23" ht="30" customHeight="1">
      <c r="B8" s="103"/>
      <c r="C8" s="107"/>
      <c r="D8" s="104"/>
      <c r="E8" s="105"/>
      <c r="F8" s="105"/>
      <c r="G8" s="108"/>
      <c r="H8" s="106"/>
      <c r="J8" s="405"/>
      <c r="K8" s="407"/>
      <c r="L8" s="407"/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8"/>
    </row>
    <row r="9" spans="2:23" s="184" customFormat="1" ht="30" customHeight="1">
      <c r="B9" s="182"/>
      <c r="C9" s="40" t="s">
        <v>99</v>
      </c>
      <c r="D9" s="1004" t="str">
        <f>Entidad</f>
        <v>INSTITUTO TECNOLÓGICO Y DE ENERGÍAS RENOVALBES S.A. (ITER)</v>
      </c>
      <c r="E9" s="1004"/>
      <c r="F9" s="1004"/>
      <c r="G9" s="1004"/>
      <c r="H9" s="183"/>
      <c r="J9" s="405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2" customHeight="1">
      <c r="B10" s="103"/>
      <c r="C10" s="104"/>
      <c r="D10" s="104"/>
      <c r="E10" s="105"/>
      <c r="F10" s="105"/>
      <c r="G10" s="105"/>
      <c r="H10" s="106"/>
      <c r="J10" s="405"/>
      <c r="K10" s="407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8"/>
    </row>
    <row r="11" spans="2:23" s="115" customFormat="1" ht="30" customHeight="1">
      <c r="B11" s="111"/>
      <c r="C11" s="112" t="s">
        <v>689</v>
      </c>
      <c r="D11" s="112"/>
      <c r="E11" s="113"/>
      <c r="F11" s="113"/>
      <c r="G11" s="113"/>
      <c r="H11" s="114"/>
      <c r="J11" s="405"/>
      <c r="K11" s="407"/>
      <c r="L11" s="407"/>
      <c r="M11" s="407"/>
      <c r="N11" s="407"/>
      <c r="O11" s="407"/>
      <c r="P11" s="407"/>
      <c r="Q11" s="407"/>
      <c r="R11" s="407"/>
      <c r="S11" s="407"/>
      <c r="T11" s="407"/>
      <c r="U11" s="407"/>
      <c r="V11" s="407"/>
      <c r="W11" s="408"/>
    </row>
    <row r="12" spans="2:23" s="115" customFormat="1" ht="30" customHeight="1">
      <c r="B12" s="111"/>
      <c r="C12" s="1043"/>
      <c r="D12" s="1043"/>
      <c r="E12" s="96"/>
      <c r="F12" s="96"/>
      <c r="G12" s="96"/>
      <c r="H12" s="114"/>
      <c r="J12" s="405"/>
      <c r="K12" s="407"/>
      <c r="L12" s="407"/>
      <c r="M12" s="407"/>
      <c r="N12" s="407"/>
      <c r="O12" s="407"/>
      <c r="P12" s="407"/>
      <c r="Q12" s="407"/>
      <c r="R12" s="407"/>
      <c r="S12" s="407"/>
      <c r="T12" s="407"/>
      <c r="U12" s="407"/>
      <c r="V12" s="407"/>
      <c r="W12" s="408"/>
    </row>
    <row r="13" spans="2:23" ht="28.95" customHeight="1">
      <c r="B13" s="117"/>
      <c r="C13" s="66"/>
      <c r="D13" s="150"/>
      <c r="E13" s="96"/>
      <c r="F13" s="96"/>
      <c r="G13" s="250"/>
      <c r="H13" s="106"/>
      <c r="J13" s="405"/>
      <c r="K13" s="407"/>
      <c r="L13" s="407"/>
      <c r="M13" s="407"/>
      <c r="N13" s="407"/>
      <c r="O13" s="407"/>
      <c r="P13" s="407"/>
      <c r="Q13" s="407"/>
      <c r="R13" s="407"/>
      <c r="S13" s="407"/>
      <c r="T13" s="407"/>
      <c r="U13" s="407"/>
      <c r="V13" s="407"/>
      <c r="W13" s="408"/>
    </row>
    <row r="14" spans="2:23" ht="9" customHeight="1">
      <c r="B14" s="117"/>
      <c r="C14" s="150"/>
      <c r="D14" s="150"/>
      <c r="E14" s="96"/>
      <c r="F14" s="96"/>
      <c r="G14" s="96"/>
      <c r="H14" s="106"/>
      <c r="J14" s="405"/>
      <c r="K14" s="407"/>
      <c r="L14" s="407"/>
      <c r="M14" s="407"/>
      <c r="N14" s="407"/>
      <c r="O14" s="407"/>
      <c r="P14" s="407"/>
      <c r="Q14" s="407"/>
      <c r="R14" s="407"/>
      <c r="S14" s="407"/>
      <c r="T14" s="407"/>
      <c r="U14" s="407"/>
      <c r="V14" s="407"/>
      <c r="W14" s="408"/>
    </row>
    <row r="15" spans="2:23" s="235" customFormat="1" ht="22.95" customHeight="1">
      <c r="B15" s="236"/>
      <c r="C15" s="253"/>
      <c r="D15" s="256"/>
      <c r="E15" s="192" t="s">
        <v>685</v>
      </c>
      <c r="F15" s="253"/>
      <c r="G15" s="256"/>
      <c r="H15" s="238"/>
      <c r="J15" s="405"/>
      <c r="K15" s="407"/>
      <c r="L15" s="407"/>
      <c r="M15" s="407"/>
      <c r="N15" s="407"/>
      <c r="O15" s="407"/>
      <c r="P15" s="407"/>
      <c r="Q15" s="407"/>
      <c r="R15" s="407"/>
      <c r="S15" s="407"/>
      <c r="T15" s="407"/>
      <c r="U15" s="407"/>
      <c r="V15" s="407"/>
      <c r="W15" s="408"/>
    </row>
    <row r="16" spans="2:23" s="235" customFormat="1" ht="22.95" customHeight="1">
      <c r="B16" s="236"/>
      <c r="C16" s="254"/>
      <c r="D16" s="257"/>
      <c r="E16" s="239" t="s">
        <v>686</v>
      </c>
      <c r="F16" s="254"/>
      <c r="G16" s="257"/>
      <c r="H16" s="238"/>
      <c r="J16" s="405"/>
      <c r="K16" s="407"/>
      <c r="L16" s="407"/>
      <c r="M16" s="407"/>
      <c r="N16" s="407"/>
      <c r="O16" s="407"/>
      <c r="P16" s="407"/>
      <c r="Q16" s="407"/>
      <c r="R16" s="407"/>
      <c r="S16" s="407"/>
      <c r="T16" s="407"/>
      <c r="U16" s="407"/>
      <c r="V16" s="407"/>
      <c r="W16" s="408"/>
    </row>
    <row r="17" spans="2:23" s="235" customFormat="1" ht="22.95" customHeight="1">
      <c r="B17" s="236"/>
      <c r="C17" s="254"/>
      <c r="D17" s="257"/>
      <c r="E17" s="239" t="s">
        <v>687</v>
      </c>
      <c r="F17" s="254"/>
      <c r="G17" s="257"/>
      <c r="H17" s="238"/>
      <c r="J17" s="405"/>
      <c r="K17" s="407"/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  <c r="W17" s="408"/>
    </row>
    <row r="18" spans="2:23" s="235" customFormat="1" ht="24" customHeight="1">
      <c r="B18" s="236"/>
      <c r="C18" s="1056" t="s">
        <v>555</v>
      </c>
      <c r="D18" s="1057"/>
      <c r="E18" s="284">
        <f>ejercicio</f>
        <v>2018</v>
      </c>
      <c r="F18" s="255" t="s">
        <v>688</v>
      </c>
      <c r="G18" s="258"/>
      <c r="H18" s="238"/>
      <c r="J18" s="405"/>
      <c r="K18" s="407"/>
      <c r="L18" s="407"/>
      <c r="M18" s="407"/>
      <c r="N18" s="407"/>
      <c r="O18" s="407"/>
      <c r="P18" s="407"/>
      <c r="Q18" s="407"/>
      <c r="R18" s="407"/>
      <c r="S18" s="407"/>
      <c r="T18" s="407"/>
      <c r="U18" s="407"/>
      <c r="V18" s="407"/>
      <c r="W18" s="408"/>
    </row>
    <row r="19" spans="2:23" ht="9" customHeight="1">
      <c r="B19" s="117"/>
      <c r="C19" s="66"/>
      <c r="D19" s="150"/>
      <c r="E19" s="96"/>
      <c r="F19" s="96"/>
      <c r="G19" s="250"/>
      <c r="H19" s="106"/>
      <c r="J19" s="405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8"/>
    </row>
    <row r="20" spans="2:23" s="129" customFormat="1" ht="22.95" customHeight="1" thickBot="1">
      <c r="B20" s="160"/>
      <c r="C20" s="1078" t="s">
        <v>690</v>
      </c>
      <c r="D20" s="1079"/>
      <c r="E20" s="266">
        <f>SUM(E21:E29)</f>
        <v>15491348.390000002</v>
      </c>
      <c r="F20" s="1089"/>
      <c r="G20" s="1090"/>
      <c r="H20" s="128"/>
      <c r="J20" s="405"/>
      <c r="K20" s="407"/>
      <c r="L20" s="407"/>
      <c r="M20" s="407"/>
      <c r="N20" s="407"/>
      <c r="O20" s="407"/>
      <c r="P20" s="407"/>
      <c r="Q20" s="407"/>
      <c r="R20" s="407"/>
      <c r="S20" s="407"/>
      <c r="T20" s="407"/>
      <c r="U20" s="407"/>
      <c r="V20" s="407"/>
      <c r="W20" s="408"/>
    </row>
    <row r="21" spans="2:23" ht="22.95" customHeight="1">
      <c r="B21" s="117"/>
      <c r="C21" s="177" t="s">
        <v>691</v>
      </c>
      <c r="D21" s="259"/>
      <c r="E21" s="572">
        <f>+'FC-3_CPyG'!G16</f>
        <v>8773891.0500000007</v>
      </c>
      <c r="F21" s="1091"/>
      <c r="G21" s="1092"/>
      <c r="H21" s="106"/>
      <c r="J21" s="405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7"/>
      <c r="W21" s="408"/>
    </row>
    <row r="22" spans="2:23" ht="22.95" customHeight="1">
      <c r="B22" s="117"/>
      <c r="C22" s="177" t="s">
        <v>692</v>
      </c>
      <c r="D22" s="259"/>
      <c r="E22" s="572">
        <f>+'FC-3_CPyG'!G21</f>
        <v>1113107.8899999999</v>
      </c>
      <c r="F22" s="1087"/>
      <c r="G22" s="1088"/>
      <c r="H22" s="106"/>
      <c r="J22" s="405"/>
      <c r="K22" s="407"/>
      <c r="L22" s="407"/>
      <c r="M22" s="407"/>
      <c r="N22" s="407"/>
      <c r="O22" s="407"/>
      <c r="P22" s="407"/>
      <c r="Q22" s="407"/>
      <c r="R22" s="407"/>
      <c r="S22" s="407"/>
      <c r="T22" s="407"/>
      <c r="U22" s="407"/>
      <c r="V22" s="407"/>
      <c r="W22" s="408"/>
    </row>
    <row r="23" spans="2:23" ht="22.95" customHeight="1">
      <c r="B23" s="117"/>
      <c r="C23" s="177" t="s">
        <v>693</v>
      </c>
      <c r="D23" s="259"/>
      <c r="E23" s="572">
        <f>+'FC-3_CPyG'!G28</f>
        <v>0</v>
      </c>
      <c r="F23" s="1087"/>
      <c r="G23" s="1088"/>
      <c r="H23" s="106"/>
      <c r="J23" s="405"/>
      <c r="K23" s="407"/>
      <c r="L23" s="407"/>
      <c r="M23" s="407"/>
      <c r="N23" s="407"/>
      <c r="O23" s="407"/>
      <c r="P23" s="407"/>
      <c r="Q23" s="407"/>
      <c r="R23" s="407"/>
      <c r="S23" s="407"/>
      <c r="T23" s="407"/>
      <c r="U23" s="407"/>
      <c r="V23" s="407"/>
      <c r="W23" s="408"/>
    </row>
    <row r="24" spans="2:23" ht="22.95" customHeight="1">
      <c r="B24" s="117"/>
      <c r="C24" s="177" t="s">
        <v>694</v>
      </c>
      <c r="D24" s="259"/>
      <c r="E24" s="572">
        <f>+'FC-3_CPyG'!G29</f>
        <v>3419189.83</v>
      </c>
      <c r="F24" s="1087"/>
      <c r="G24" s="1088"/>
      <c r="H24" s="106"/>
      <c r="J24" s="405"/>
      <c r="K24" s="407"/>
      <c r="L24" s="407"/>
      <c r="M24" s="407"/>
      <c r="N24" s="407"/>
      <c r="O24" s="407"/>
      <c r="P24" s="407"/>
      <c r="Q24" s="407"/>
      <c r="R24" s="407"/>
      <c r="S24" s="407"/>
      <c r="T24" s="407"/>
      <c r="U24" s="407"/>
      <c r="V24" s="407"/>
      <c r="W24" s="408"/>
    </row>
    <row r="25" spans="2:23" ht="22.95" customHeight="1">
      <c r="B25" s="117"/>
      <c r="C25" s="177" t="s">
        <v>695</v>
      </c>
      <c r="D25" s="259"/>
      <c r="E25" s="572">
        <f>+'FC-3_CPyG'!G55+'FC-3_CPyG'!G70</f>
        <v>578673.9</v>
      </c>
      <c r="F25" s="1087"/>
      <c r="G25" s="1088"/>
      <c r="H25" s="106"/>
      <c r="J25" s="405"/>
      <c r="K25" s="407"/>
      <c r="L25" s="407"/>
      <c r="M25" s="407"/>
      <c r="N25" s="407"/>
      <c r="O25" s="407"/>
      <c r="P25" s="407"/>
      <c r="Q25" s="407"/>
      <c r="R25" s="407"/>
      <c r="S25" s="407"/>
      <c r="T25" s="407"/>
      <c r="U25" s="407"/>
      <c r="V25" s="407"/>
      <c r="W25" s="408"/>
    </row>
    <row r="26" spans="2:23" ht="22.95" customHeight="1">
      <c r="B26" s="117"/>
      <c r="C26" s="177" t="s">
        <v>696</v>
      </c>
      <c r="D26" s="259"/>
      <c r="E26" s="572">
        <f>+'FC-3_CPyG'!G52</f>
        <v>566200</v>
      </c>
      <c r="F26" s="1087"/>
      <c r="G26" s="1088"/>
      <c r="H26" s="106"/>
      <c r="J26" s="405"/>
      <c r="K26" s="407"/>
      <c r="L26" s="407"/>
      <c r="M26" s="407"/>
      <c r="N26" s="407"/>
      <c r="O26" s="407"/>
      <c r="P26" s="407"/>
      <c r="Q26" s="407"/>
      <c r="R26" s="407"/>
      <c r="S26" s="407"/>
      <c r="T26" s="407"/>
      <c r="U26" s="407"/>
      <c r="V26" s="407"/>
      <c r="W26" s="408"/>
    </row>
    <row r="27" spans="2:23" ht="22.95" customHeight="1">
      <c r="B27" s="117"/>
      <c r="C27" s="177" t="s">
        <v>697</v>
      </c>
      <c r="D27" s="259"/>
      <c r="E27" s="572">
        <f>+'FC-3_1_INF_ADIC_CPyG'!G51</f>
        <v>0</v>
      </c>
      <c r="F27" s="1087"/>
      <c r="G27" s="1088"/>
      <c r="H27" s="106"/>
      <c r="J27" s="405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8"/>
    </row>
    <row r="28" spans="2:23" ht="22.95" customHeight="1">
      <c r="B28" s="117"/>
      <c r="C28" s="864" t="s">
        <v>15</v>
      </c>
      <c r="D28" s="259"/>
      <c r="E28" s="572">
        <f>+'FC-9_TRANS_SUBV'!G86+'FC-9_TRANS_SUBV'!G100</f>
        <v>0</v>
      </c>
      <c r="F28" s="1087"/>
      <c r="G28" s="1088"/>
      <c r="H28" s="106"/>
      <c r="J28" s="405"/>
      <c r="K28" s="407"/>
      <c r="L28" s="407"/>
      <c r="M28" s="407"/>
      <c r="N28" s="407"/>
      <c r="O28" s="407"/>
      <c r="P28" s="407"/>
      <c r="Q28" s="407"/>
      <c r="R28" s="407"/>
      <c r="S28" s="407"/>
      <c r="T28" s="407"/>
      <c r="U28" s="407"/>
      <c r="V28" s="407"/>
      <c r="W28" s="408"/>
    </row>
    <row r="29" spans="2:23" ht="22.95" customHeight="1">
      <c r="B29" s="117"/>
      <c r="C29" s="155" t="s">
        <v>698</v>
      </c>
      <c r="D29" s="260"/>
      <c r="E29" s="573">
        <f>+'FC-9_TRANS_SUBV'!G30</f>
        <v>1040285.72</v>
      </c>
      <c r="F29" s="1093"/>
      <c r="G29" s="1094"/>
      <c r="H29" s="106"/>
      <c r="J29" s="405"/>
      <c r="K29" s="407"/>
      <c r="L29" s="407"/>
      <c r="M29" s="407"/>
      <c r="N29" s="407"/>
      <c r="O29" s="407"/>
      <c r="P29" s="407"/>
      <c r="Q29" s="407"/>
      <c r="R29" s="407"/>
      <c r="S29" s="407"/>
      <c r="T29" s="407"/>
      <c r="U29" s="407"/>
      <c r="V29" s="407"/>
      <c r="W29" s="408"/>
    </row>
    <row r="30" spans="2:23" ht="9" customHeight="1">
      <c r="B30" s="117"/>
      <c r="C30" s="66"/>
      <c r="D30" s="150"/>
      <c r="E30" s="96"/>
      <c r="F30" s="96"/>
      <c r="G30" s="250"/>
      <c r="H30" s="106"/>
      <c r="J30" s="405"/>
      <c r="K30" s="407"/>
      <c r="L30" s="407"/>
      <c r="M30" s="407"/>
      <c r="N30" s="407"/>
      <c r="O30" s="407"/>
      <c r="P30" s="407"/>
      <c r="Q30" s="407"/>
      <c r="R30" s="407"/>
      <c r="S30" s="407"/>
      <c r="T30" s="407"/>
      <c r="U30" s="407"/>
      <c r="V30" s="407"/>
      <c r="W30" s="408"/>
    </row>
    <row r="31" spans="2:23" ht="22.95" customHeight="1" thickBot="1">
      <c r="B31" s="117"/>
      <c r="C31" s="1078" t="s">
        <v>699</v>
      </c>
      <c r="D31" s="1079"/>
      <c r="E31" s="266">
        <f>SUM(E32:E43)</f>
        <v>-66771119.769999996</v>
      </c>
      <c r="F31" s="1089"/>
      <c r="G31" s="1090"/>
      <c r="H31" s="106"/>
      <c r="J31" s="405"/>
      <c r="K31" s="407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7"/>
      <c r="W31" s="408"/>
    </row>
    <row r="32" spans="2:23" ht="22.95" customHeight="1">
      <c r="B32" s="117"/>
      <c r="C32" s="177" t="s">
        <v>197</v>
      </c>
      <c r="D32" s="259"/>
      <c r="E32" s="572">
        <f>+'FC-3_CPyG'!G22</f>
        <v>-808322.28</v>
      </c>
      <c r="F32" s="1087"/>
      <c r="G32" s="1088"/>
      <c r="H32" s="106"/>
      <c r="J32" s="405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8"/>
    </row>
    <row r="33" spans="2:23" ht="22.95" customHeight="1">
      <c r="B33" s="117"/>
      <c r="C33" s="177" t="s">
        <v>700</v>
      </c>
      <c r="D33" s="259"/>
      <c r="E33" s="572">
        <f>+'FC-3_CPyG'!G30</f>
        <v>-5586206.4199999999</v>
      </c>
      <c r="F33" s="497"/>
      <c r="G33" s="455"/>
      <c r="H33" s="106"/>
      <c r="J33" s="405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8"/>
    </row>
    <row r="34" spans="2:23" ht="22.95" customHeight="1">
      <c r="B34" s="117"/>
      <c r="C34" s="177" t="s">
        <v>212</v>
      </c>
      <c r="D34" s="259"/>
      <c r="E34" s="572">
        <f>+'FC-3_CPyG'!G34-'FC-3_CPyG'!G36</f>
        <v>-3528827.68</v>
      </c>
      <c r="F34" s="497"/>
      <c r="G34" s="455"/>
      <c r="H34" s="106"/>
      <c r="J34" s="405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8"/>
    </row>
    <row r="35" spans="2:23" ht="22.95" customHeight="1">
      <c r="B35" s="117"/>
      <c r="C35" s="177" t="s">
        <v>701</v>
      </c>
      <c r="D35" s="259"/>
      <c r="E35" s="572">
        <f>+'FC-3_CPyG'!G59+'FC-3_CPyG'!G63+'FC-3_CPyG'!G66+'FC-3_CPyG'!G67</f>
        <v>-498022.48</v>
      </c>
      <c r="F35" s="497"/>
      <c r="G35" s="455"/>
      <c r="H35" s="106"/>
      <c r="J35" s="405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8"/>
    </row>
    <row r="36" spans="2:23" ht="22.95" customHeight="1">
      <c r="B36" s="117"/>
      <c r="C36" s="177" t="s">
        <v>702</v>
      </c>
      <c r="D36" s="259"/>
      <c r="E36" s="572">
        <f>+'FC-3_CPyG'!G77</f>
        <v>9545381.9199999999</v>
      </c>
      <c r="F36" s="497"/>
      <c r="G36" s="455"/>
      <c r="H36" s="106"/>
      <c r="J36" s="405"/>
      <c r="K36" s="407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7"/>
      <c r="W36" s="408"/>
    </row>
    <row r="37" spans="2:23" ht="22.95" customHeight="1">
      <c r="B37" s="117"/>
      <c r="C37" s="177" t="s">
        <v>703</v>
      </c>
      <c r="D37" s="259"/>
      <c r="E37" s="572">
        <f>+'FC-3_CPyG'!G36</f>
        <v>-156431.21</v>
      </c>
      <c r="F37" s="497"/>
      <c r="G37" s="455"/>
      <c r="H37" s="106"/>
      <c r="J37" s="405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8"/>
    </row>
    <row r="38" spans="2:23" ht="22.95" customHeight="1">
      <c r="B38" s="117"/>
      <c r="C38" s="177" t="s">
        <v>704</v>
      </c>
      <c r="D38" s="259"/>
      <c r="E38" s="572">
        <f>+'FC-3_1_INF_ADIC_CPyG'!G59</f>
        <v>0</v>
      </c>
      <c r="F38" s="497"/>
      <c r="G38" s="455"/>
      <c r="H38" s="106"/>
      <c r="J38" s="405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8"/>
    </row>
    <row r="39" spans="2:23" ht="22.95" customHeight="1">
      <c r="B39" s="117"/>
      <c r="C39" s="177" t="s">
        <v>705</v>
      </c>
      <c r="D39" s="259"/>
      <c r="E39" s="572">
        <f>-'FC-7_INF'!F31-'FC-7_INF'!H31-'FC-7_INF'!K31-'FC-7_INF'!F33-'FC-7_INF'!H33-'FC-7_INF'!K33</f>
        <v>-65737791.619999997</v>
      </c>
      <c r="F39" s="497"/>
      <c r="G39" s="455"/>
      <c r="H39" s="106"/>
      <c r="J39" s="405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8"/>
    </row>
    <row r="40" spans="2:23" ht="22.95" customHeight="1">
      <c r="B40" s="117"/>
      <c r="C40" s="571" t="s">
        <v>706</v>
      </c>
      <c r="D40" s="259"/>
      <c r="E40" s="572">
        <f>+'FC-3_CPyG'!G20</f>
        <v>-900</v>
      </c>
      <c r="F40" s="497"/>
      <c r="G40" s="455"/>
      <c r="H40" s="106"/>
      <c r="J40" s="405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8"/>
    </row>
    <row r="41" spans="2:23" ht="22.95" customHeight="1">
      <c r="B41" s="117"/>
      <c r="C41" s="177" t="s">
        <v>707</v>
      </c>
      <c r="D41" s="259"/>
      <c r="E41" s="471"/>
      <c r="F41" s="497"/>
      <c r="G41" s="455"/>
      <c r="H41" s="106"/>
      <c r="J41" s="405"/>
      <c r="K41" s="407"/>
      <c r="L41" s="407"/>
      <c r="M41" s="407"/>
      <c r="N41" s="407"/>
      <c r="O41" s="407"/>
      <c r="P41" s="407"/>
      <c r="Q41" s="407"/>
      <c r="R41" s="407"/>
      <c r="S41" s="407"/>
      <c r="T41" s="407"/>
      <c r="U41" s="407"/>
      <c r="V41" s="407"/>
      <c r="W41" s="408"/>
    </row>
    <row r="42" spans="2:23" ht="22.95" customHeight="1">
      <c r="B42" s="117"/>
      <c r="C42" s="177" t="s">
        <v>708</v>
      </c>
      <c r="D42" s="259"/>
      <c r="E42" s="471"/>
      <c r="F42" s="1087"/>
      <c r="G42" s="1088"/>
      <c r="H42" s="106"/>
      <c r="J42" s="405"/>
      <c r="K42" s="407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8"/>
    </row>
    <row r="43" spans="2:23" ht="22.95" customHeight="1">
      <c r="B43" s="117"/>
      <c r="C43" s="155" t="s">
        <v>709</v>
      </c>
      <c r="D43" s="260"/>
      <c r="E43" s="474"/>
      <c r="F43" s="1093"/>
      <c r="G43" s="1094"/>
      <c r="H43" s="106"/>
      <c r="J43" s="405"/>
      <c r="K43" s="407"/>
      <c r="L43" s="407"/>
      <c r="M43" s="407"/>
      <c r="N43" s="407"/>
      <c r="O43" s="407"/>
      <c r="P43" s="407"/>
      <c r="Q43" s="407"/>
      <c r="R43" s="407"/>
      <c r="S43" s="407"/>
      <c r="T43" s="407"/>
      <c r="U43" s="407"/>
      <c r="V43" s="407"/>
      <c r="W43" s="408"/>
    </row>
    <row r="44" spans="2:23" ht="9" customHeight="1">
      <c r="B44" s="117"/>
      <c r="C44" s="66"/>
      <c r="D44" s="150"/>
      <c r="E44" s="96"/>
      <c r="F44" s="96"/>
      <c r="G44" s="250"/>
      <c r="H44" s="106"/>
      <c r="J44" s="405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8"/>
    </row>
    <row r="45" spans="2:23" ht="22.95" customHeight="1" thickBot="1">
      <c r="B45" s="117"/>
      <c r="C45" s="157" t="s">
        <v>710</v>
      </c>
      <c r="D45" s="287"/>
      <c r="E45" s="127">
        <f>+E20+E31</f>
        <v>-51279771.379999995</v>
      </c>
      <c r="F45" s="96"/>
      <c r="G45" s="96"/>
      <c r="H45" s="106"/>
      <c r="J45" s="405"/>
      <c r="K45" s="407"/>
      <c r="L45" s="407"/>
      <c r="M45" s="407"/>
      <c r="N45" s="407"/>
      <c r="O45" s="407"/>
      <c r="P45" s="407"/>
      <c r="Q45" s="407"/>
      <c r="R45" s="407"/>
      <c r="S45" s="407"/>
      <c r="T45" s="407"/>
      <c r="U45" s="407"/>
      <c r="V45" s="407"/>
      <c r="W45" s="408"/>
    </row>
    <row r="46" spans="2:23" ht="22.95" customHeight="1">
      <c r="B46" s="117"/>
      <c r="C46" s="209"/>
      <c r="D46" s="209"/>
      <c r="E46" s="210"/>
      <c r="F46" s="210"/>
      <c r="G46" s="96"/>
      <c r="H46" s="106"/>
      <c r="J46" s="405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8"/>
    </row>
    <row r="47" spans="2:23" ht="22.95" customHeight="1">
      <c r="B47" s="117"/>
      <c r="C47" s="166" t="s">
        <v>514</v>
      </c>
      <c r="D47" s="209"/>
      <c r="E47" s="210"/>
      <c r="F47" s="210"/>
      <c r="G47" s="96"/>
      <c r="H47" s="106"/>
      <c r="J47" s="405"/>
      <c r="K47" s="407"/>
      <c r="L47" s="407"/>
      <c r="M47" s="407"/>
      <c r="N47" s="407"/>
      <c r="O47" s="407"/>
      <c r="P47" s="407"/>
      <c r="Q47" s="407"/>
      <c r="R47" s="407"/>
      <c r="S47" s="407"/>
      <c r="T47" s="407"/>
      <c r="U47" s="407"/>
      <c r="V47" s="407"/>
      <c r="W47" s="408"/>
    </row>
    <row r="48" spans="2:23" ht="22.95" customHeight="1">
      <c r="B48" s="117"/>
      <c r="C48" s="164" t="s">
        <v>848</v>
      </c>
      <c r="D48" s="209"/>
      <c r="E48" s="210"/>
      <c r="F48" s="210"/>
      <c r="G48" s="96"/>
      <c r="H48" s="106"/>
      <c r="J48" s="405"/>
      <c r="K48" s="407"/>
      <c r="L48" s="407"/>
      <c r="M48" s="407"/>
      <c r="N48" s="407"/>
      <c r="O48" s="407"/>
      <c r="P48" s="407"/>
      <c r="Q48" s="407"/>
      <c r="R48" s="407"/>
      <c r="S48" s="407"/>
      <c r="T48" s="407"/>
      <c r="U48" s="407"/>
      <c r="V48" s="407"/>
      <c r="W48" s="408"/>
    </row>
    <row r="49" spans="2:23" ht="22.95" customHeight="1" thickBot="1">
      <c r="B49" s="121"/>
      <c r="C49" s="1003"/>
      <c r="D49" s="1003"/>
      <c r="E49" s="53"/>
      <c r="F49" s="53"/>
      <c r="G49" s="122"/>
      <c r="H49" s="123"/>
      <c r="J49" s="399"/>
      <c r="K49" s="400"/>
      <c r="L49" s="400"/>
      <c r="M49" s="400"/>
      <c r="N49" s="400"/>
      <c r="O49" s="400"/>
      <c r="P49" s="400"/>
      <c r="Q49" s="400"/>
      <c r="R49" s="400"/>
      <c r="S49" s="400"/>
      <c r="T49" s="400"/>
      <c r="U49" s="400"/>
      <c r="V49" s="400"/>
      <c r="W49" s="401"/>
    </row>
    <row r="50" spans="2:23" ht="22.95" customHeight="1">
      <c r="C50" s="104"/>
      <c r="D50" s="104"/>
      <c r="E50" s="105"/>
      <c r="F50" s="105"/>
      <c r="G50" s="105"/>
    </row>
    <row r="51" spans="2:23" ht="13.2">
      <c r="C51" s="124" t="s">
        <v>174</v>
      </c>
      <c r="D51" s="104"/>
      <c r="E51" s="105"/>
      <c r="F51" s="105"/>
      <c r="G51" s="95" t="s">
        <v>160</v>
      </c>
    </row>
    <row r="52" spans="2:23" ht="13.2">
      <c r="C52" s="125" t="s">
        <v>175</v>
      </c>
      <c r="D52" s="104"/>
      <c r="E52" s="105"/>
      <c r="F52" s="105"/>
      <c r="G52" s="105"/>
    </row>
    <row r="53" spans="2:23" ht="13.2">
      <c r="C53" s="125" t="s">
        <v>176</v>
      </c>
      <c r="D53" s="104"/>
      <c r="E53" s="105"/>
      <c r="F53" s="105"/>
      <c r="G53" s="105"/>
    </row>
    <row r="54" spans="2:23" ht="13.2">
      <c r="C54" s="125" t="s">
        <v>177</v>
      </c>
      <c r="D54" s="104"/>
      <c r="E54" s="105"/>
      <c r="F54" s="105"/>
      <c r="G54" s="105"/>
    </row>
    <row r="55" spans="2:23" ht="13.2">
      <c r="C55" s="125" t="s">
        <v>178</v>
      </c>
      <c r="D55" s="104"/>
      <c r="E55" s="105"/>
      <c r="F55" s="105"/>
      <c r="G55" s="105"/>
    </row>
    <row r="56" spans="2:23" ht="22.95" customHeight="1">
      <c r="C56" s="104"/>
      <c r="D56" s="104"/>
      <c r="E56" s="105"/>
      <c r="F56" s="105"/>
      <c r="G56" s="105"/>
    </row>
    <row r="57" spans="2:23" ht="22.95" customHeight="1">
      <c r="C57" s="104"/>
      <c r="D57" s="104"/>
      <c r="E57" s="105"/>
      <c r="F57" s="105"/>
      <c r="G57" s="105"/>
    </row>
    <row r="58" spans="2:23" ht="22.95" customHeight="1">
      <c r="C58" s="104"/>
      <c r="D58" s="104"/>
      <c r="E58" s="105"/>
      <c r="F58" s="105"/>
      <c r="G58" s="105"/>
    </row>
    <row r="59" spans="2:23" ht="22.95" customHeight="1">
      <c r="C59" s="104"/>
      <c r="D59" s="104"/>
      <c r="E59" s="105"/>
      <c r="F59" s="105"/>
      <c r="G59" s="105"/>
    </row>
    <row r="60" spans="2:23" ht="22.95" customHeight="1">
      <c r="E60" s="105"/>
      <c r="F60" s="105"/>
      <c r="G60" s="105"/>
    </row>
  </sheetData>
  <sheetProtection password="E059" sheet="1" objects="1" scenarios="1"/>
  <mergeCells count="21">
    <mergeCell ref="C49:D49"/>
    <mergeCell ref="F43:G43"/>
    <mergeCell ref="F27:G27"/>
    <mergeCell ref="F29:G29"/>
    <mergeCell ref="F28:G28"/>
    <mergeCell ref="F32:G32"/>
    <mergeCell ref="G6:G7"/>
    <mergeCell ref="D9:G9"/>
    <mergeCell ref="C12:D12"/>
    <mergeCell ref="C18:D18"/>
    <mergeCell ref="F42:G42"/>
    <mergeCell ref="F20:G20"/>
    <mergeCell ref="F21:G21"/>
    <mergeCell ref="F22:G22"/>
    <mergeCell ref="F24:G24"/>
    <mergeCell ref="C20:D20"/>
    <mergeCell ref="F31:G31"/>
    <mergeCell ref="C31:D31"/>
    <mergeCell ref="F26:G26"/>
    <mergeCell ref="F23:G23"/>
    <mergeCell ref="F25:G25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workbookViewId="0">
      <selection activeCell="B1" sqref="B1:G46"/>
    </sheetView>
  </sheetViews>
  <sheetFormatPr baseColWidth="10" defaultColWidth="10.54296875" defaultRowHeight="22.95" customHeight="1"/>
  <cols>
    <col min="1" max="2" width="3.1796875" style="97" customWidth="1"/>
    <col min="3" max="3" width="13.1796875" style="97" customWidth="1"/>
    <col min="4" max="4" width="68" style="97" customWidth="1"/>
    <col min="5" max="5" width="17.54296875" style="98" customWidth="1"/>
    <col min="6" max="6" width="12.1796875" style="98" customWidth="1"/>
    <col min="7" max="7" width="3.453125" style="97" customWidth="1"/>
    <col min="8" max="16384" width="10.54296875" style="97"/>
  </cols>
  <sheetData>
    <row r="2" spans="2:22" ht="22.95" customHeight="1">
      <c r="D2" s="209" t="s">
        <v>477</v>
      </c>
    </row>
    <row r="3" spans="2:22" ht="22.95" customHeight="1">
      <c r="D3" s="209" t="s">
        <v>478</v>
      </c>
    </row>
    <row r="4" spans="2:22" ht="22.95" customHeight="1" thickBot="1"/>
    <row r="5" spans="2:22" ht="9" customHeight="1">
      <c r="B5" s="99"/>
      <c r="C5" s="100"/>
      <c r="D5" s="100"/>
      <c r="E5" s="101"/>
      <c r="F5" s="101"/>
      <c r="G5" s="102"/>
      <c r="I5" s="402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4"/>
    </row>
    <row r="6" spans="2:22" ht="30" customHeight="1">
      <c r="B6" s="103"/>
      <c r="C6" s="67" t="s">
        <v>97</v>
      </c>
      <c r="D6" s="104"/>
      <c r="E6" s="105"/>
      <c r="F6" s="984">
        <f>ejercicio</f>
        <v>2018</v>
      </c>
      <c r="G6" s="106"/>
      <c r="I6" s="405"/>
      <c r="J6" s="406" t="s">
        <v>810</v>
      </c>
      <c r="K6" s="406"/>
      <c r="L6" s="406"/>
      <c r="M6" s="406"/>
      <c r="N6" s="407"/>
      <c r="O6" s="407"/>
      <c r="P6" s="407"/>
      <c r="Q6" s="407"/>
      <c r="R6" s="407"/>
      <c r="S6" s="407"/>
      <c r="T6" s="407"/>
      <c r="U6" s="407"/>
      <c r="V6" s="408"/>
    </row>
    <row r="7" spans="2:22" ht="30" customHeight="1">
      <c r="B7" s="103"/>
      <c r="C7" s="67" t="s">
        <v>98</v>
      </c>
      <c r="D7" s="104"/>
      <c r="E7" s="105"/>
      <c r="F7" s="984"/>
      <c r="G7" s="106"/>
      <c r="I7" s="405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8"/>
    </row>
    <row r="8" spans="2:22" ht="30" customHeight="1">
      <c r="B8" s="103"/>
      <c r="C8" s="107"/>
      <c r="D8" s="104"/>
      <c r="E8" s="105"/>
      <c r="F8" s="108"/>
      <c r="G8" s="106"/>
      <c r="I8" s="405"/>
      <c r="J8" s="407"/>
      <c r="K8" s="407"/>
      <c r="L8" s="407"/>
      <c r="M8" s="407"/>
      <c r="N8" s="407"/>
      <c r="O8" s="407"/>
      <c r="P8" s="407"/>
      <c r="Q8" s="407"/>
      <c r="R8" s="407"/>
      <c r="S8" s="407"/>
      <c r="T8" s="407"/>
      <c r="U8" s="407"/>
      <c r="V8" s="408"/>
    </row>
    <row r="9" spans="2:22" s="184" customFormat="1" ht="30" customHeight="1">
      <c r="B9" s="182"/>
      <c r="C9" s="40" t="s">
        <v>99</v>
      </c>
      <c r="D9" s="1004" t="str">
        <f>Entidad</f>
        <v>INSTITUTO TECNOLÓGICO Y DE ENERGÍAS RENOVALBES S.A. (ITER)</v>
      </c>
      <c r="E9" s="1004"/>
      <c r="F9" s="1004"/>
      <c r="G9" s="183"/>
      <c r="I9" s="405"/>
      <c r="J9" s="407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8"/>
    </row>
    <row r="10" spans="2:22" ht="7.2" customHeight="1">
      <c r="B10" s="103"/>
      <c r="C10" s="104"/>
      <c r="D10" s="104"/>
      <c r="E10" s="105"/>
      <c r="F10" s="105"/>
      <c r="G10" s="106"/>
      <c r="I10" s="405"/>
      <c r="J10" s="407"/>
      <c r="K10" s="407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8"/>
    </row>
    <row r="11" spans="2:22" s="115" customFormat="1" ht="30" customHeight="1">
      <c r="B11" s="111"/>
      <c r="C11" s="112" t="s">
        <v>711</v>
      </c>
      <c r="D11" s="112"/>
      <c r="E11" s="113"/>
      <c r="F11" s="113"/>
      <c r="G11" s="114"/>
      <c r="I11" s="405"/>
      <c r="J11" s="407"/>
      <c r="K11" s="407"/>
      <c r="L11" s="407"/>
      <c r="M11" s="407"/>
      <c r="N11" s="407"/>
      <c r="O11" s="407"/>
      <c r="P11" s="407"/>
      <c r="Q11" s="407"/>
      <c r="R11" s="407"/>
      <c r="S11" s="407"/>
      <c r="T11" s="407"/>
      <c r="U11" s="407"/>
      <c r="V11" s="408"/>
    </row>
    <row r="12" spans="2:22" s="115" customFormat="1" ht="30" customHeight="1">
      <c r="B12" s="111"/>
      <c r="C12" s="1043"/>
      <c r="D12" s="1043"/>
      <c r="E12" s="96"/>
      <c r="F12" s="96"/>
      <c r="G12" s="114"/>
      <c r="I12" s="405"/>
      <c r="J12" s="407"/>
      <c r="K12" s="407"/>
      <c r="L12" s="407"/>
      <c r="M12" s="407"/>
      <c r="N12" s="407"/>
      <c r="O12" s="407"/>
      <c r="P12" s="407"/>
      <c r="Q12" s="407"/>
      <c r="R12" s="407"/>
      <c r="S12" s="407"/>
      <c r="T12" s="407"/>
      <c r="U12" s="407"/>
      <c r="V12" s="408"/>
    </row>
    <row r="13" spans="2:22" ht="9" customHeight="1">
      <c r="B13" s="117"/>
      <c r="C13" s="150"/>
      <c r="D13" s="150"/>
      <c r="E13" s="96"/>
      <c r="F13" s="96"/>
      <c r="G13" s="106"/>
      <c r="I13" s="405"/>
      <c r="J13" s="407"/>
      <c r="K13" s="407"/>
      <c r="L13" s="407"/>
      <c r="M13" s="407"/>
      <c r="N13" s="407"/>
      <c r="O13" s="407"/>
      <c r="P13" s="407"/>
      <c r="Q13" s="407"/>
      <c r="R13" s="407"/>
      <c r="S13" s="407"/>
      <c r="T13" s="407"/>
      <c r="U13" s="407"/>
      <c r="V13" s="408"/>
    </row>
    <row r="14" spans="2:22" s="246" customFormat="1" ht="24" customHeight="1">
      <c r="B14" s="243"/>
      <c r="C14" s="1035" t="s">
        <v>555</v>
      </c>
      <c r="D14" s="1037"/>
      <c r="E14" s="263" t="s">
        <v>582</v>
      </c>
      <c r="F14" s="274" t="s">
        <v>712</v>
      </c>
      <c r="G14" s="245"/>
      <c r="I14" s="405"/>
      <c r="J14" s="407"/>
      <c r="K14" s="407"/>
      <c r="L14" s="407"/>
      <c r="M14" s="407"/>
      <c r="N14" s="407"/>
      <c r="O14" s="407"/>
      <c r="P14" s="407"/>
      <c r="Q14" s="407"/>
      <c r="R14" s="407"/>
      <c r="S14" s="407"/>
      <c r="T14" s="407"/>
      <c r="U14" s="407"/>
      <c r="V14" s="408"/>
    </row>
    <row r="15" spans="2:22" ht="9" customHeight="1">
      <c r="B15" s="117"/>
      <c r="C15" s="66"/>
      <c r="D15" s="150"/>
      <c r="E15" s="96"/>
      <c r="F15" s="250"/>
      <c r="G15" s="106"/>
      <c r="I15" s="405"/>
      <c r="J15" s="407"/>
      <c r="K15" s="407"/>
      <c r="L15" s="407"/>
      <c r="M15" s="407"/>
      <c r="N15" s="407"/>
      <c r="O15" s="407"/>
      <c r="P15" s="407"/>
      <c r="Q15" s="407"/>
      <c r="R15" s="407"/>
      <c r="S15" s="407"/>
      <c r="T15" s="407"/>
      <c r="U15" s="407"/>
      <c r="V15" s="408"/>
    </row>
    <row r="16" spans="2:22" s="291" customFormat="1" ht="22.95" customHeight="1">
      <c r="B16" s="289"/>
      <c r="C16" s="1095" t="s">
        <v>713</v>
      </c>
      <c r="D16" s="1096"/>
      <c r="E16" s="292">
        <f>SUM(E17:E19)</f>
        <v>2450749.58</v>
      </c>
      <c r="F16" s="295">
        <f>E16/$E$33</f>
        <v>0.18582444793385777</v>
      </c>
      <c r="G16" s="290"/>
      <c r="I16" s="405"/>
      <c r="J16" s="407"/>
      <c r="K16" s="407"/>
      <c r="L16" s="407"/>
      <c r="M16" s="407"/>
      <c r="N16" s="407"/>
      <c r="O16" s="407"/>
      <c r="P16" s="407"/>
      <c r="Q16" s="407"/>
      <c r="R16" s="407"/>
      <c r="S16" s="407"/>
      <c r="T16" s="407"/>
      <c r="U16" s="407"/>
      <c r="V16" s="408"/>
    </row>
    <row r="17" spans="2:22" s="184" customFormat="1" ht="22.95" customHeight="1">
      <c r="B17" s="182"/>
      <c r="C17" s="188" t="s">
        <v>714</v>
      </c>
      <c r="D17" s="259" t="s">
        <v>717</v>
      </c>
      <c r="E17" s="471">
        <f>+'FC-3_1_INF_ADIC_CPyG'!K16+'FC-3_1_INF_ADIC_CPyG'!K19</f>
        <v>2433249.58</v>
      </c>
      <c r="F17" s="296">
        <f>E17/$E$33</f>
        <v>0.18449753641854802</v>
      </c>
      <c r="G17" s="183"/>
      <c r="I17" s="405"/>
      <c r="J17" s="407"/>
      <c r="K17" s="407"/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8"/>
    </row>
    <row r="18" spans="2:22" s="184" customFormat="1" ht="22.95" customHeight="1">
      <c r="B18" s="182"/>
      <c r="C18" s="188" t="s">
        <v>715</v>
      </c>
      <c r="D18" s="259" t="s">
        <v>718</v>
      </c>
      <c r="E18" s="471">
        <f>+'FC-3_1_INF_ADIC_CPyG'!K35</f>
        <v>17500</v>
      </c>
      <c r="F18" s="297">
        <f>E18/$E$33</f>
        <v>1.3269115153097409E-3</v>
      </c>
      <c r="G18" s="183"/>
      <c r="I18" s="405"/>
      <c r="J18" s="407"/>
      <c r="K18" s="407"/>
      <c r="L18" s="407"/>
      <c r="M18" s="407"/>
      <c r="N18" s="407"/>
      <c r="O18" s="407"/>
      <c r="P18" s="407"/>
      <c r="Q18" s="407"/>
      <c r="R18" s="407"/>
      <c r="S18" s="407"/>
      <c r="T18" s="407"/>
      <c r="U18" s="407"/>
      <c r="V18" s="408"/>
    </row>
    <row r="19" spans="2:22" s="184" customFormat="1" ht="22.95" customHeight="1">
      <c r="B19" s="182"/>
      <c r="C19" s="275" t="s">
        <v>716</v>
      </c>
      <c r="D19" s="260" t="s">
        <v>719</v>
      </c>
      <c r="E19" s="474"/>
      <c r="F19" s="298">
        <f>E19/$E$33</f>
        <v>0</v>
      </c>
      <c r="G19" s="183"/>
      <c r="I19" s="405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8"/>
    </row>
    <row r="20" spans="2:22" s="184" customFormat="1" ht="9" customHeight="1">
      <c r="B20" s="182"/>
      <c r="C20" s="22"/>
      <c r="D20" s="150"/>
      <c r="E20" s="146"/>
      <c r="F20" s="299"/>
      <c r="G20" s="183"/>
      <c r="I20" s="405"/>
      <c r="J20" s="407"/>
      <c r="K20" s="407"/>
      <c r="L20" s="407"/>
      <c r="M20" s="407"/>
      <c r="N20" s="407"/>
      <c r="O20" s="407"/>
      <c r="P20" s="407"/>
      <c r="Q20" s="407"/>
      <c r="R20" s="407"/>
      <c r="S20" s="407"/>
      <c r="T20" s="407"/>
      <c r="U20" s="407"/>
      <c r="V20" s="408"/>
    </row>
    <row r="21" spans="2:22" s="184" customFormat="1" ht="22.95" customHeight="1">
      <c r="B21" s="182"/>
      <c r="C21" s="1095" t="s">
        <v>720</v>
      </c>
      <c r="D21" s="1096"/>
      <c r="E21" s="570">
        <f>+'FC-3_1_INF_ADIC_CPyG'!K44</f>
        <v>6323141.4700000007</v>
      </c>
      <c r="F21" s="300">
        <f>E21/$E$33</f>
        <v>0.47944281311288933</v>
      </c>
      <c r="G21" s="183"/>
      <c r="I21" s="405"/>
      <c r="J21" s="407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8"/>
    </row>
    <row r="22" spans="2:22" s="184" customFormat="1" ht="9" customHeight="1">
      <c r="B22" s="182"/>
      <c r="C22" s="22"/>
      <c r="D22" s="150"/>
      <c r="E22" s="146"/>
      <c r="F22" s="299"/>
      <c r="G22" s="183"/>
      <c r="I22" s="405"/>
      <c r="J22" s="407"/>
      <c r="K22" s="407"/>
      <c r="L22" s="407"/>
      <c r="M22" s="407"/>
      <c r="N22" s="407"/>
      <c r="O22" s="407"/>
      <c r="P22" s="407"/>
      <c r="Q22" s="407"/>
      <c r="R22" s="407"/>
      <c r="S22" s="407"/>
      <c r="T22" s="407"/>
      <c r="U22" s="407"/>
      <c r="V22" s="408"/>
    </row>
    <row r="23" spans="2:22" s="291" customFormat="1" ht="22.95" customHeight="1">
      <c r="B23" s="289"/>
      <c r="C23" s="1095" t="s">
        <v>721</v>
      </c>
      <c r="D23" s="1096"/>
      <c r="E23" s="292">
        <f>SUM(E24:E26)</f>
        <v>4414629.66</v>
      </c>
      <c r="F23" s="300">
        <f>E23/$E$33</f>
        <v>0.3347327389532529</v>
      </c>
      <c r="G23" s="290"/>
      <c r="I23" s="405"/>
      <c r="J23" s="407"/>
      <c r="K23" s="407"/>
      <c r="L23" s="407"/>
      <c r="M23" s="407"/>
      <c r="N23" s="407"/>
      <c r="O23" s="407"/>
      <c r="P23" s="407"/>
      <c r="Q23" s="407"/>
      <c r="R23" s="407"/>
      <c r="S23" s="407"/>
      <c r="T23" s="407"/>
      <c r="U23" s="407"/>
      <c r="V23" s="408"/>
    </row>
    <row r="24" spans="2:22" s="184" customFormat="1" ht="22.95" customHeight="1">
      <c r="B24" s="182"/>
      <c r="C24" s="188" t="s">
        <v>714</v>
      </c>
      <c r="D24" s="259" t="s">
        <v>722</v>
      </c>
      <c r="E24" s="471">
        <f>+'FC-9_TRANS_SUBV'!G71+'FC-9_TRANS_SUBV'!G86</f>
        <v>3419189.83</v>
      </c>
      <c r="F24" s="296">
        <f>E24/$E$33</f>
        <v>0.25925499191182599</v>
      </c>
      <c r="G24" s="183"/>
      <c r="I24" s="405"/>
      <c r="J24" s="407"/>
      <c r="K24" s="407"/>
      <c r="L24" s="407"/>
      <c r="M24" s="407"/>
      <c r="N24" s="407"/>
      <c r="O24" s="407"/>
      <c r="P24" s="407"/>
      <c r="Q24" s="407"/>
      <c r="R24" s="407"/>
      <c r="S24" s="407"/>
      <c r="T24" s="407"/>
      <c r="U24" s="407"/>
      <c r="V24" s="408"/>
    </row>
    <row r="25" spans="2:22" s="184" customFormat="1" ht="22.95" customHeight="1">
      <c r="B25" s="182"/>
      <c r="C25" s="188" t="s">
        <v>715</v>
      </c>
      <c r="D25" s="259" t="s">
        <v>724</v>
      </c>
      <c r="E25" s="471">
        <f>+'FC-3_1_INF_ADIC_CPyG'!G80+'FC-3_1_INF_ADIC_CPyG'!G81+'FC-3_1_INF_ADIC_CPyG'!G82+'FC-3_1_INF_ADIC_CPyG'!G85</f>
        <v>514371</v>
      </c>
      <c r="F25" s="297">
        <f>E25/$E$33</f>
        <v>3.9001417316650668E-2</v>
      </c>
      <c r="G25" s="183"/>
      <c r="I25" s="405"/>
      <c r="J25" s="407"/>
      <c r="K25" s="407"/>
      <c r="L25" s="407"/>
      <c r="M25" s="407"/>
      <c r="N25" s="407"/>
      <c r="O25" s="407"/>
      <c r="P25" s="407"/>
      <c r="Q25" s="407"/>
      <c r="R25" s="407"/>
      <c r="S25" s="407"/>
      <c r="T25" s="407"/>
      <c r="U25" s="407"/>
      <c r="V25" s="408"/>
    </row>
    <row r="26" spans="2:22" s="184" customFormat="1" ht="22.95" customHeight="1">
      <c r="B26" s="182"/>
      <c r="C26" s="275" t="s">
        <v>716</v>
      </c>
      <c r="D26" s="260" t="s">
        <v>723</v>
      </c>
      <c r="E26" s="474">
        <f>+'FC-3_1_INF_ADIC_CPyG'!G84</f>
        <v>481068.82999999996</v>
      </c>
      <c r="F26" s="298">
        <f>E26/$E$33</f>
        <v>3.6476329724776234E-2</v>
      </c>
      <c r="G26" s="183"/>
      <c r="I26" s="405"/>
      <c r="J26" s="407"/>
      <c r="K26" s="407"/>
      <c r="L26" s="407"/>
      <c r="M26" s="407"/>
      <c r="N26" s="407"/>
      <c r="O26" s="407"/>
      <c r="P26" s="407"/>
      <c r="Q26" s="407"/>
      <c r="R26" s="407"/>
      <c r="S26" s="407"/>
      <c r="T26" s="407"/>
      <c r="U26" s="407"/>
      <c r="V26" s="408"/>
    </row>
    <row r="27" spans="2:22" s="184" customFormat="1" ht="9" customHeight="1">
      <c r="B27" s="182"/>
      <c r="C27" s="22"/>
      <c r="D27" s="150"/>
      <c r="E27" s="146"/>
      <c r="F27" s="299"/>
      <c r="G27" s="183"/>
      <c r="I27" s="405"/>
      <c r="J27" s="407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8"/>
    </row>
    <row r="28" spans="2:22" s="291" customFormat="1" ht="22.95" customHeight="1">
      <c r="B28" s="289"/>
      <c r="C28" s="1095" t="s">
        <v>725</v>
      </c>
      <c r="D28" s="1096"/>
      <c r="E28" s="292">
        <f>SUM(E29:E31)</f>
        <v>0</v>
      </c>
      <c r="F28" s="300">
        <f>E28/$E$33</f>
        <v>0</v>
      </c>
      <c r="G28" s="290"/>
      <c r="I28" s="405"/>
      <c r="J28" s="407"/>
      <c r="K28" s="407"/>
      <c r="L28" s="407"/>
      <c r="M28" s="407"/>
      <c r="N28" s="407"/>
      <c r="O28" s="407"/>
      <c r="P28" s="407"/>
      <c r="Q28" s="407"/>
      <c r="R28" s="407"/>
      <c r="S28" s="407"/>
      <c r="T28" s="407"/>
      <c r="U28" s="407"/>
      <c r="V28" s="408"/>
    </row>
    <row r="29" spans="2:22" s="184" customFormat="1" ht="22.95" customHeight="1">
      <c r="B29" s="182"/>
      <c r="C29" s="188" t="s">
        <v>714</v>
      </c>
      <c r="D29" s="259"/>
      <c r="E29" s="471"/>
      <c r="F29" s="296">
        <f>E29/$E$33</f>
        <v>0</v>
      </c>
      <c r="G29" s="183"/>
      <c r="I29" s="405"/>
      <c r="J29" s="407"/>
      <c r="K29" s="407"/>
      <c r="L29" s="407"/>
      <c r="M29" s="407"/>
      <c r="N29" s="407"/>
      <c r="O29" s="407"/>
      <c r="P29" s="407"/>
      <c r="Q29" s="407"/>
      <c r="R29" s="407"/>
      <c r="S29" s="407"/>
      <c r="T29" s="407"/>
      <c r="U29" s="407"/>
      <c r="V29" s="408"/>
    </row>
    <row r="30" spans="2:22" s="184" customFormat="1" ht="22.95" customHeight="1">
      <c r="B30" s="182"/>
      <c r="C30" s="188" t="s">
        <v>715</v>
      </c>
      <c r="D30" s="259"/>
      <c r="E30" s="471"/>
      <c r="F30" s="297">
        <f>E30/$E$33</f>
        <v>0</v>
      </c>
      <c r="G30" s="183"/>
      <c r="I30" s="405"/>
      <c r="J30" s="407"/>
      <c r="K30" s="407"/>
      <c r="L30" s="407"/>
      <c r="M30" s="407"/>
      <c r="N30" s="407"/>
      <c r="O30" s="407"/>
      <c r="P30" s="407"/>
      <c r="Q30" s="407"/>
      <c r="R30" s="407"/>
      <c r="S30" s="407"/>
      <c r="T30" s="407"/>
      <c r="U30" s="407"/>
      <c r="V30" s="408"/>
    </row>
    <row r="31" spans="2:22" s="184" customFormat="1" ht="22.95" customHeight="1">
      <c r="B31" s="182"/>
      <c r="C31" s="275" t="s">
        <v>716</v>
      </c>
      <c r="D31" s="260"/>
      <c r="E31" s="474"/>
      <c r="F31" s="298">
        <f>E31/$E$33</f>
        <v>0</v>
      </c>
      <c r="G31" s="183"/>
      <c r="I31" s="405"/>
      <c r="J31" s="407"/>
      <c r="K31" s="407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8"/>
    </row>
    <row r="32" spans="2:22" s="184" customFormat="1" ht="22.95" customHeight="1">
      <c r="B32" s="182"/>
      <c r="C32" s="150"/>
      <c r="D32" s="209"/>
      <c r="E32" s="211"/>
      <c r="F32" s="293"/>
      <c r="G32" s="183"/>
      <c r="I32" s="405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8"/>
    </row>
    <row r="33" spans="2:22" s="184" customFormat="1" ht="22.95" customHeight="1" thickBot="1">
      <c r="B33" s="182"/>
      <c r="C33" s="1097" t="s">
        <v>726</v>
      </c>
      <c r="D33" s="1098"/>
      <c r="E33" s="288">
        <f>E28+E23+E21+E16</f>
        <v>13188520.710000001</v>
      </c>
      <c r="F33" s="294">
        <f>E33/E33</f>
        <v>1</v>
      </c>
      <c r="G33" s="183"/>
      <c r="I33" s="405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8"/>
    </row>
    <row r="34" spans="2:22" ht="22.95" customHeight="1">
      <c r="B34" s="117"/>
      <c r="C34" s="150"/>
      <c r="D34" s="209"/>
      <c r="E34" s="211"/>
      <c r="F34" s="212"/>
      <c r="G34" s="106"/>
      <c r="I34" s="405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8"/>
    </row>
    <row r="35" spans="2:22" ht="22.95" customHeight="1">
      <c r="B35" s="117"/>
      <c r="C35" s="150"/>
      <c r="D35" s="209"/>
      <c r="E35" s="211"/>
      <c r="F35" s="212"/>
      <c r="G35" s="106"/>
      <c r="I35" s="405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8"/>
    </row>
    <row r="36" spans="2:22" ht="22.95" customHeight="1">
      <c r="B36" s="117"/>
      <c r="C36" s="150"/>
      <c r="D36" s="209"/>
      <c r="E36" s="211"/>
      <c r="F36" s="212"/>
      <c r="G36" s="106"/>
      <c r="I36" s="405"/>
      <c r="J36" s="407"/>
      <c r="K36" s="407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8"/>
    </row>
    <row r="37" spans="2:22" ht="22.95" customHeight="1">
      <c r="B37" s="117"/>
      <c r="C37" s="150"/>
      <c r="D37" s="209"/>
      <c r="E37" s="211"/>
      <c r="F37" s="212"/>
      <c r="G37" s="106"/>
      <c r="I37" s="405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8"/>
    </row>
    <row r="38" spans="2:22" ht="22.95" customHeight="1">
      <c r="B38" s="117"/>
      <c r="C38" s="150"/>
      <c r="D38" s="209"/>
      <c r="E38" s="211"/>
      <c r="F38" s="212"/>
      <c r="G38" s="106"/>
      <c r="I38" s="405"/>
      <c r="J38" s="407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8"/>
    </row>
    <row r="39" spans="2:22" ht="22.95" customHeight="1">
      <c r="B39" s="117"/>
      <c r="C39" s="209"/>
      <c r="D39" s="209"/>
      <c r="E39" s="210"/>
      <c r="F39" s="96"/>
      <c r="G39" s="106"/>
      <c r="I39" s="405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8"/>
    </row>
    <row r="40" spans="2:22" ht="22.95" customHeight="1" thickBot="1">
      <c r="B40" s="121"/>
      <c r="C40" s="1003"/>
      <c r="D40" s="1003"/>
      <c r="E40" s="53"/>
      <c r="F40" s="122"/>
      <c r="G40" s="123"/>
      <c r="I40" s="399"/>
      <c r="J40" s="400"/>
      <c r="K40" s="400"/>
      <c r="L40" s="400"/>
      <c r="M40" s="400"/>
      <c r="N40" s="400"/>
      <c r="O40" s="400"/>
      <c r="P40" s="400"/>
      <c r="Q40" s="400"/>
      <c r="R40" s="400"/>
      <c r="S40" s="400"/>
      <c r="T40" s="400"/>
      <c r="U40" s="400"/>
      <c r="V40" s="401"/>
    </row>
    <row r="41" spans="2:22" ht="22.95" customHeight="1">
      <c r="C41" s="104"/>
      <c r="D41" s="104"/>
      <c r="E41" s="105"/>
      <c r="F41" s="105"/>
    </row>
    <row r="42" spans="2:22" ht="13.2">
      <c r="C42" s="124" t="s">
        <v>174</v>
      </c>
      <c r="D42" s="104"/>
      <c r="E42" s="105"/>
      <c r="F42" s="95" t="s">
        <v>165</v>
      </c>
    </row>
    <row r="43" spans="2:22" ht="13.2">
      <c r="C43" s="125" t="s">
        <v>175</v>
      </c>
      <c r="D43" s="104"/>
      <c r="E43" s="105"/>
      <c r="F43" s="105"/>
    </row>
    <row r="44" spans="2:22" ht="13.2">
      <c r="C44" s="125" t="s">
        <v>176</v>
      </c>
      <c r="D44" s="104"/>
      <c r="E44" s="105"/>
      <c r="F44" s="105"/>
    </row>
    <row r="45" spans="2:22" ht="13.2">
      <c r="C45" s="125" t="s">
        <v>177</v>
      </c>
      <c r="D45" s="104"/>
      <c r="E45" s="105"/>
      <c r="F45" s="105"/>
    </row>
    <row r="46" spans="2:22" ht="13.2">
      <c r="C46" s="125" t="s">
        <v>178</v>
      </c>
      <c r="D46" s="104"/>
      <c r="E46" s="105"/>
      <c r="F46" s="105"/>
    </row>
    <row r="47" spans="2:22" ht="22.95" customHeight="1">
      <c r="C47" s="104"/>
      <c r="D47" s="104"/>
      <c r="E47" s="105"/>
      <c r="F47" s="105"/>
    </row>
    <row r="48" spans="2:22" ht="22.95" customHeight="1">
      <c r="C48" s="104"/>
      <c r="D48" s="104"/>
      <c r="E48" s="105"/>
      <c r="F48" s="105"/>
    </row>
    <row r="49" spans="3:6" ht="22.95" customHeight="1">
      <c r="C49" s="104"/>
      <c r="D49" s="104"/>
      <c r="E49" s="105"/>
      <c r="F49" s="105"/>
    </row>
    <row r="50" spans="3:6" ht="22.95" customHeight="1">
      <c r="C50" s="104"/>
      <c r="D50" s="104"/>
      <c r="E50" s="105"/>
      <c r="F50" s="105"/>
    </row>
    <row r="51" spans="3:6" ht="22.95" customHeight="1">
      <c r="E51" s="105"/>
      <c r="F51" s="105"/>
    </row>
  </sheetData>
  <sheetProtection password="E059" sheet="1" objects="1" scenarios="1"/>
  <mergeCells count="10">
    <mergeCell ref="C40:D40"/>
    <mergeCell ref="C23:D23"/>
    <mergeCell ref="C28:D28"/>
    <mergeCell ref="C33:D33"/>
    <mergeCell ref="C21:D21"/>
    <mergeCell ref="F6:F7"/>
    <mergeCell ref="D9:F9"/>
    <mergeCell ref="C12:D12"/>
    <mergeCell ref="C14:D14"/>
    <mergeCell ref="C16:D16"/>
  </mergeCells>
  <phoneticPr fontId="19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H86"/>
  <sheetViews>
    <sheetView workbookViewId="0">
      <selection activeCell="C20" sqref="C20"/>
    </sheetView>
  </sheetViews>
  <sheetFormatPr baseColWidth="10" defaultColWidth="10.54296875" defaultRowHeight="22.95" customHeight="1"/>
  <cols>
    <col min="1" max="2" width="3.1796875" style="97" customWidth="1"/>
    <col min="3" max="3" width="13.1796875" style="97" customWidth="1"/>
    <col min="4" max="4" width="68" style="97" customWidth="1"/>
    <col min="5" max="5" width="16.54296875" style="98" customWidth="1"/>
    <col min="6" max="6" width="3.453125" style="97" customWidth="1"/>
    <col min="7" max="16384" width="10.54296875" style="97"/>
  </cols>
  <sheetData>
    <row r="2" spans="2:6" ht="22.95" customHeight="1">
      <c r="D2" s="209" t="s">
        <v>477</v>
      </c>
    </row>
    <row r="3" spans="2:6" ht="22.95" customHeight="1">
      <c r="D3" s="209" t="s">
        <v>478</v>
      </c>
    </row>
    <row r="4" spans="2:6" ht="22.95" customHeight="1" thickBot="1"/>
    <row r="5" spans="2:6" ht="9" customHeight="1">
      <c r="B5" s="99"/>
      <c r="C5" s="100"/>
      <c r="D5" s="100"/>
      <c r="E5" s="101"/>
      <c r="F5" s="102"/>
    </row>
    <row r="6" spans="2:6" ht="30" customHeight="1">
      <c r="B6" s="103"/>
      <c r="C6" s="67" t="s">
        <v>97</v>
      </c>
      <c r="D6" s="104"/>
      <c r="E6" s="984">
        <f>ejercicio</f>
        <v>2018</v>
      </c>
      <c r="F6" s="106"/>
    </row>
    <row r="7" spans="2:6" ht="30" customHeight="1">
      <c r="B7" s="103"/>
      <c r="C7" s="67" t="s">
        <v>98</v>
      </c>
      <c r="D7" s="104"/>
      <c r="E7" s="984"/>
      <c r="F7" s="106"/>
    </row>
    <row r="8" spans="2:6" ht="30" customHeight="1">
      <c r="B8" s="103"/>
      <c r="C8" s="107"/>
      <c r="D8" s="104"/>
      <c r="E8" s="108"/>
      <c r="F8" s="106"/>
    </row>
    <row r="9" spans="2:6" s="184" customFormat="1" ht="30" customHeight="1">
      <c r="B9" s="182"/>
      <c r="C9" s="40" t="s">
        <v>99</v>
      </c>
      <c r="D9" s="1004" t="str">
        <f>Entidad</f>
        <v>INSTITUTO TECNOLÓGICO Y DE ENERGÍAS RENOVALBES S.A. (ITER)</v>
      </c>
      <c r="E9" s="1004"/>
      <c r="F9" s="183"/>
    </row>
    <row r="10" spans="2:6" ht="7.2" customHeight="1">
      <c r="B10" s="103"/>
      <c r="C10" s="104"/>
      <c r="D10" s="104"/>
      <c r="E10" s="105"/>
      <c r="F10" s="106"/>
    </row>
    <row r="11" spans="2:6" s="115" customFormat="1" ht="30" customHeight="1">
      <c r="B11" s="111"/>
      <c r="C11" s="112" t="s">
        <v>727</v>
      </c>
      <c r="D11" s="112"/>
      <c r="E11" s="113"/>
      <c r="F11" s="114"/>
    </row>
    <row r="12" spans="2:6" s="115" customFormat="1" ht="30" customHeight="1">
      <c r="B12" s="111"/>
      <c r="C12" s="1043"/>
      <c r="D12" s="1043"/>
      <c r="E12" s="96"/>
      <c r="F12" s="114"/>
    </row>
    <row r="13" spans="2:6" ht="9" customHeight="1">
      <c r="B13" s="117"/>
      <c r="C13" s="150"/>
      <c r="D13" s="150"/>
      <c r="E13" s="96"/>
      <c r="F13" s="106"/>
    </row>
    <row r="14" spans="2:6" s="246" customFormat="1" ht="24" customHeight="1">
      <c r="B14" s="243"/>
      <c r="C14" s="1035" t="s">
        <v>742</v>
      </c>
      <c r="D14" s="1037"/>
      <c r="E14" s="263" t="s">
        <v>582</v>
      </c>
      <c r="F14" s="245"/>
    </row>
    <row r="15" spans="2:6" ht="9" customHeight="1">
      <c r="B15" s="117"/>
      <c r="C15" s="66"/>
      <c r="D15" s="150"/>
      <c r="E15" s="96"/>
      <c r="F15" s="106"/>
    </row>
    <row r="16" spans="2:6" s="184" customFormat="1" ht="22.95" customHeight="1">
      <c r="B16" s="182"/>
      <c r="C16" s="285" t="s">
        <v>286</v>
      </c>
      <c r="D16" s="224" t="s">
        <v>728</v>
      </c>
      <c r="E16" s="168">
        <f>+'FC-91_PRESUPUESTO'!E16</f>
        <v>0</v>
      </c>
      <c r="F16" s="183"/>
    </row>
    <row r="17" spans="2:6" s="184" customFormat="1" ht="22.95" customHeight="1">
      <c r="B17" s="182"/>
      <c r="C17" s="188" t="s">
        <v>296</v>
      </c>
      <c r="D17" s="259" t="s">
        <v>729</v>
      </c>
      <c r="E17" s="189">
        <f>+'FC-91_PRESUPUESTO'!E17</f>
        <v>0</v>
      </c>
      <c r="F17" s="183"/>
    </row>
    <row r="18" spans="2:6" s="184" customFormat="1" ht="22.95" customHeight="1">
      <c r="B18" s="182"/>
      <c r="C18" s="188" t="s">
        <v>301</v>
      </c>
      <c r="D18" s="259" t="s">
        <v>730</v>
      </c>
      <c r="E18" s="189">
        <f>+'FC-91_PRESUPUESTO'!E18</f>
        <v>8773891.0500000007</v>
      </c>
      <c r="F18" s="183"/>
    </row>
    <row r="19" spans="2:6" s="184" customFormat="1" ht="22.95" customHeight="1">
      <c r="B19" s="182"/>
      <c r="C19" s="188" t="s">
        <v>305</v>
      </c>
      <c r="D19" s="259" t="s">
        <v>731</v>
      </c>
      <c r="E19" s="189">
        <f>+'FC-91_PRESUPUESTO'!E19</f>
        <v>3419189.83</v>
      </c>
      <c r="F19" s="183"/>
    </row>
    <row r="20" spans="2:6" s="184" customFormat="1" ht="22.95" customHeight="1">
      <c r="B20" s="182"/>
      <c r="C20" s="275" t="s">
        <v>313</v>
      </c>
      <c r="D20" s="260" t="s">
        <v>732</v>
      </c>
      <c r="E20" s="169">
        <f>+'FC-91_PRESUPUESTO'!E20</f>
        <v>1144873.8999999999</v>
      </c>
      <c r="F20" s="183"/>
    </row>
    <row r="21" spans="2:6" s="184" customFormat="1" ht="22.95" customHeight="1">
      <c r="B21" s="182"/>
      <c r="C21" s="1095" t="s">
        <v>733</v>
      </c>
      <c r="D21" s="1096"/>
      <c r="E21" s="292">
        <f>SUM(E16:E20)</f>
        <v>13337954.780000001</v>
      </c>
      <c r="F21" s="183"/>
    </row>
    <row r="22" spans="2:6" s="184" customFormat="1" ht="9" customHeight="1">
      <c r="B22" s="182"/>
      <c r="C22" s="22"/>
      <c r="D22" s="150"/>
      <c r="E22" s="146"/>
      <c r="F22" s="183"/>
    </row>
    <row r="23" spans="2:6" s="184" customFormat="1" ht="22.95" customHeight="1">
      <c r="B23" s="182"/>
      <c r="C23" s="285" t="s">
        <v>316</v>
      </c>
      <c r="D23" s="224" t="s">
        <v>734</v>
      </c>
      <c r="E23" s="168">
        <f>+'FC-91_PRESUPUESTO'!E23</f>
        <v>0</v>
      </c>
      <c r="F23" s="183"/>
    </row>
    <row r="24" spans="2:6" s="184" customFormat="1" ht="22.95" customHeight="1">
      <c r="B24" s="182"/>
      <c r="C24" s="188" t="s">
        <v>318</v>
      </c>
      <c r="D24" s="259" t="s">
        <v>735</v>
      </c>
      <c r="E24" s="189">
        <f>+'FC-91_PRESUPUESTO'!E24</f>
        <v>1040285.72</v>
      </c>
      <c r="F24" s="183"/>
    </row>
    <row r="25" spans="2:6" s="184" customFormat="1" ht="22.95" customHeight="1">
      <c r="B25" s="182"/>
      <c r="C25" s="1095" t="s">
        <v>736</v>
      </c>
      <c r="D25" s="1096"/>
      <c r="E25" s="292">
        <f>SUM(E23:E24)</f>
        <v>1040285.72</v>
      </c>
      <c r="F25" s="183"/>
    </row>
    <row r="26" spans="2:6" s="184" customFormat="1" ht="9" customHeight="1">
      <c r="B26" s="182"/>
      <c r="C26" s="22"/>
      <c r="D26" s="150"/>
      <c r="E26" s="146"/>
      <c r="F26" s="183"/>
    </row>
    <row r="27" spans="2:6" s="184" customFormat="1" ht="22.95" customHeight="1">
      <c r="B27" s="182"/>
      <c r="C27" s="285" t="s">
        <v>369</v>
      </c>
      <c r="D27" s="224" t="s">
        <v>737</v>
      </c>
      <c r="E27" s="168">
        <f>+'FC-91_PRESUPUESTO'!E27</f>
        <v>3463243.37</v>
      </c>
      <c r="F27" s="183"/>
    </row>
    <row r="28" spans="2:6" s="184" customFormat="1" ht="22.95" customHeight="1">
      <c r="B28" s="182"/>
      <c r="C28" s="188" t="s">
        <v>371</v>
      </c>
      <c r="D28" s="259" t="s">
        <v>738</v>
      </c>
      <c r="E28" s="189">
        <f>+'FC-91_PRESUPUESTO'!E28</f>
        <v>34763966.409999996</v>
      </c>
      <c r="F28" s="183"/>
    </row>
    <row r="29" spans="2:6" s="184" customFormat="1" ht="22.95" customHeight="1">
      <c r="B29" s="182"/>
      <c r="C29" s="1095" t="s">
        <v>739</v>
      </c>
      <c r="D29" s="1096"/>
      <c r="E29" s="292">
        <f>SUM(E27:E28)</f>
        <v>38227209.779999994</v>
      </c>
      <c r="F29" s="183"/>
    </row>
    <row r="30" spans="2:6" s="184" customFormat="1" ht="22.95" customHeight="1">
      <c r="B30" s="182"/>
      <c r="C30" s="150"/>
      <c r="D30" s="209"/>
      <c r="E30" s="211"/>
      <c r="F30" s="183"/>
    </row>
    <row r="31" spans="2:6" s="302" customFormat="1" ht="22.95" customHeight="1" thickBot="1">
      <c r="B31" s="111"/>
      <c r="C31" s="1099" t="s">
        <v>740</v>
      </c>
      <c r="D31" s="1100"/>
      <c r="E31" s="301">
        <f>E21+E25+E29</f>
        <v>52605450.279999994</v>
      </c>
      <c r="F31" s="114"/>
    </row>
    <row r="32" spans="2:6" s="184" customFormat="1" ht="9" customHeight="1">
      <c r="B32" s="182"/>
      <c r="C32" s="22"/>
      <c r="D32" s="150"/>
      <c r="E32" s="146"/>
      <c r="F32" s="183"/>
    </row>
    <row r="33" spans="2:6" s="184" customFormat="1" ht="22.95" customHeight="1">
      <c r="B33" s="182"/>
      <c r="C33" s="1095" t="s">
        <v>741</v>
      </c>
      <c r="D33" s="1096"/>
      <c r="E33" s="292">
        <f>+'FC-92_PRESUPUESTO_PYG'!E33</f>
        <v>11341469.550000001</v>
      </c>
      <c r="F33" s="183"/>
    </row>
    <row r="34" spans="2:6" s="184" customFormat="1" ht="9" customHeight="1">
      <c r="B34" s="182"/>
      <c r="C34" s="22"/>
      <c r="D34" s="150"/>
      <c r="E34" s="146"/>
      <c r="F34" s="183"/>
    </row>
    <row r="35" spans="2:6" s="184" customFormat="1" ht="22.95" customHeight="1" thickBot="1">
      <c r="B35" s="182"/>
      <c r="C35" s="1099" t="s">
        <v>740</v>
      </c>
      <c r="D35" s="1100"/>
      <c r="E35" s="301">
        <f>+E31+E33</f>
        <v>63946919.829999998</v>
      </c>
      <c r="F35" s="183"/>
    </row>
    <row r="36" spans="2:6" s="184" customFormat="1" ht="22.95" customHeight="1">
      <c r="B36" s="182"/>
      <c r="C36" s="303"/>
      <c r="D36" s="303"/>
      <c r="E36" s="304"/>
      <c r="F36" s="183"/>
    </row>
    <row r="37" spans="2:6" s="246" customFormat="1" ht="24" customHeight="1">
      <c r="B37" s="243"/>
      <c r="C37" s="1035" t="s">
        <v>743</v>
      </c>
      <c r="D37" s="1037"/>
      <c r="E37" s="263" t="s">
        <v>582</v>
      </c>
      <c r="F37" s="245"/>
    </row>
    <row r="38" spans="2:6" ht="9" customHeight="1">
      <c r="B38" s="117"/>
      <c r="C38" s="66"/>
      <c r="D38" s="150"/>
      <c r="E38" s="96"/>
      <c r="F38" s="106"/>
    </row>
    <row r="39" spans="2:6" s="184" customFormat="1" ht="22.95" customHeight="1">
      <c r="B39" s="182"/>
      <c r="C39" s="285" t="s">
        <v>286</v>
      </c>
      <c r="D39" s="224" t="s">
        <v>744</v>
      </c>
      <c r="E39" s="168">
        <f>+'FC-91_PRESUPUESTO'!E36</f>
        <v>5586206.4199999999</v>
      </c>
      <c r="F39" s="183"/>
    </row>
    <row r="40" spans="2:6" s="184" customFormat="1" ht="22.95" customHeight="1">
      <c r="B40" s="182"/>
      <c r="C40" s="188" t="s">
        <v>296</v>
      </c>
      <c r="D40" s="259" t="s">
        <v>745</v>
      </c>
      <c r="E40" s="189">
        <f>+'FC-91_PRESUPUESTO'!E37</f>
        <v>4493581.17</v>
      </c>
      <c r="F40" s="183"/>
    </row>
    <row r="41" spans="2:6" s="184" customFormat="1" ht="22.95" customHeight="1">
      <c r="B41" s="182"/>
      <c r="C41" s="188" t="s">
        <v>301</v>
      </c>
      <c r="D41" s="259" t="s">
        <v>493</v>
      </c>
      <c r="E41" s="189">
        <f>+'FC-91_PRESUPUESTO'!E38</f>
        <v>496822.48</v>
      </c>
      <c r="F41" s="183"/>
    </row>
    <row r="42" spans="2:6" s="184" customFormat="1" ht="22.95" customHeight="1">
      <c r="B42" s="182"/>
      <c r="C42" s="188" t="s">
        <v>305</v>
      </c>
      <c r="D42" s="259" t="s">
        <v>746</v>
      </c>
      <c r="E42" s="189">
        <f>+'FC-91_PRESUPUESTO'!E39</f>
        <v>0</v>
      </c>
      <c r="F42" s="183"/>
    </row>
    <row r="43" spans="2:6" s="184" customFormat="1" ht="22.95" customHeight="1">
      <c r="B43" s="182"/>
      <c r="C43" s="1095" t="s">
        <v>747</v>
      </c>
      <c r="D43" s="1096"/>
      <c r="E43" s="292">
        <f>SUM(E39:E42)</f>
        <v>10576610.07</v>
      </c>
      <c r="F43" s="183"/>
    </row>
    <row r="44" spans="2:6" s="184" customFormat="1" ht="9" customHeight="1">
      <c r="B44" s="182"/>
      <c r="C44" s="22"/>
      <c r="D44" s="150"/>
      <c r="E44" s="146"/>
      <c r="F44" s="183"/>
    </row>
    <row r="45" spans="2:6" s="184" customFormat="1" ht="22.95" customHeight="1">
      <c r="B45" s="182"/>
      <c r="C45" s="285" t="s">
        <v>316</v>
      </c>
      <c r="D45" s="224" t="s">
        <v>748</v>
      </c>
      <c r="E45" s="168">
        <f>+'FC-91_PRESUPUESTO'!E42</f>
        <v>65738691.619999997</v>
      </c>
      <c r="F45" s="183"/>
    </row>
    <row r="46" spans="2:6" s="184" customFormat="1" ht="22.95" customHeight="1">
      <c r="B46" s="182"/>
      <c r="C46" s="188" t="s">
        <v>318</v>
      </c>
      <c r="D46" s="259" t="s">
        <v>735</v>
      </c>
      <c r="E46" s="189">
        <f>+'FC-91_PRESUPUESTO'!E43</f>
        <v>0</v>
      </c>
      <c r="F46" s="183"/>
    </row>
    <row r="47" spans="2:6" s="184" customFormat="1" ht="22.95" customHeight="1">
      <c r="B47" s="182"/>
      <c r="C47" s="1095" t="s">
        <v>749</v>
      </c>
      <c r="D47" s="1096"/>
      <c r="E47" s="292">
        <f>SUM(E45:E46)</f>
        <v>65738691.619999997</v>
      </c>
      <c r="F47" s="183"/>
    </row>
    <row r="48" spans="2:6" s="184" customFormat="1" ht="9" customHeight="1">
      <c r="B48" s="182"/>
      <c r="C48" s="22"/>
      <c r="D48" s="150"/>
      <c r="E48" s="146"/>
      <c r="F48" s="183"/>
    </row>
    <row r="49" spans="2:8" s="184" customFormat="1" ht="22.95" customHeight="1">
      <c r="B49" s="182"/>
      <c r="C49" s="285" t="s">
        <v>369</v>
      </c>
      <c r="D49" s="224" t="s">
        <v>737</v>
      </c>
      <c r="E49" s="168">
        <f>+'FC-91_PRESUPUESTO'!E46</f>
        <v>573371.86</v>
      </c>
      <c r="F49" s="183"/>
    </row>
    <row r="50" spans="2:8" s="184" customFormat="1" ht="22.95" customHeight="1">
      <c r="B50" s="182"/>
      <c r="C50" s="188" t="s">
        <v>371</v>
      </c>
      <c r="D50" s="259" t="s">
        <v>738</v>
      </c>
      <c r="E50" s="189">
        <f>+'FC-91_PRESUPUESTO'!E47+'FC-10_DEUDAS'!N74+'FC-4_PASIVO'!F54-'FC-4_PASIVO'!G54+'FC-4_PASIVO'!F71-'FC-4_PASIVO'!G71+'FC-4_PASIVO'!F72-'FC-4_PASIVO'!G72</f>
        <v>4121173.44</v>
      </c>
      <c r="F50" s="183"/>
    </row>
    <row r="51" spans="2:8" s="184" customFormat="1" ht="22.95" customHeight="1">
      <c r="B51" s="182"/>
      <c r="C51" s="1095" t="s">
        <v>750</v>
      </c>
      <c r="D51" s="1096"/>
      <c r="E51" s="292">
        <f>SUM(E49:E50)</f>
        <v>4694545.3</v>
      </c>
      <c r="F51" s="183"/>
    </row>
    <row r="52" spans="2:8" s="184" customFormat="1" ht="22.95" customHeight="1">
      <c r="B52" s="182"/>
      <c r="C52" s="150"/>
      <c r="D52" s="209"/>
      <c r="E52" s="211"/>
      <c r="F52" s="183"/>
    </row>
    <row r="53" spans="2:8" s="302" customFormat="1" ht="22.95" customHeight="1" thickBot="1">
      <c r="B53" s="111"/>
      <c r="C53" s="1099" t="s">
        <v>751</v>
      </c>
      <c r="D53" s="1100"/>
      <c r="E53" s="301">
        <f>E43+E47+E51</f>
        <v>81009846.989999995</v>
      </c>
      <c r="F53" s="114"/>
    </row>
    <row r="54" spans="2:8" s="184" customFormat="1" ht="9" customHeight="1">
      <c r="B54" s="182"/>
      <c r="C54" s="22"/>
      <c r="D54" s="150"/>
      <c r="E54" s="146"/>
      <c r="F54" s="183"/>
    </row>
    <row r="55" spans="2:8" s="184" customFormat="1" ht="22.95" customHeight="1">
      <c r="B55" s="182"/>
      <c r="C55" s="1095" t="s">
        <v>752</v>
      </c>
      <c r="D55" s="1096"/>
      <c r="E55" s="292">
        <f>+'FC-92_PRESUPUESTO_PYG'!E55</f>
        <v>4018565.34</v>
      </c>
      <c r="F55" s="183"/>
    </row>
    <row r="56" spans="2:8" s="184" customFormat="1" ht="9" customHeight="1">
      <c r="B56" s="182"/>
      <c r="C56" s="22"/>
      <c r="D56" s="150"/>
      <c r="E56" s="146"/>
      <c r="F56" s="183"/>
    </row>
    <row r="57" spans="2:8" s="184" customFormat="1" ht="22.95" customHeight="1" thickBot="1">
      <c r="B57" s="182"/>
      <c r="C57" s="1099" t="s">
        <v>751</v>
      </c>
      <c r="D57" s="1100"/>
      <c r="E57" s="301">
        <f>+E53+E55</f>
        <v>85028412.329999998</v>
      </c>
      <c r="F57" s="183"/>
    </row>
    <row r="58" spans="2:8" s="184" customFormat="1" ht="22.95" customHeight="1">
      <c r="B58" s="182"/>
      <c r="C58" s="303"/>
      <c r="D58" s="303"/>
      <c r="E58" s="304"/>
      <c r="F58" s="183"/>
    </row>
    <row r="59" spans="2:8" s="302" customFormat="1" ht="22.95" customHeight="1" thickBot="1">
      <c r="B59" s="111"/>
      <c r="C59" s="305" t="s">
        <v>753</v>
      </c>
      <c r="D59" s="306"/>
      <c r="E59" s="307">
        <f>+E35-E57</f>
        <v>-21081492.5</v>
      </c>
      <c r="F59" s="114"/>
      <c r="H59" s="313"/>
    </row>
    <row r="60" spans="2:8" s="184" customFormat="1" ht="22.95" customHeight="1" thickTop="1">
      <c r="B60" s="182"/>
      <c r="C60" s="22"/>
      <c r="D60" s="150"/>
      <c r="E60" s="146"/>
      <c r="F60" s="183"/>
    </row>
    <row r="61" spans="2:8" s="302" customFormat="1" ht="22.95" customHeight="1" thickBot="1">
      <c r="B61" s="111"/>
      <c r="C61" s="305" t="s">
        <v>754</v>
      </c>
      <c r="D61" s="306"/>
      <c r="E61" s="307">
        <f>E62+SUM(E67:E71)</f>
        <v>21081492.497418731</v>
      </c>
      <c r="F61" s="114"/>
      <c r="H61" s="313"/>
    </row>
    <row r="62" spans="2:8" s="184" customFormat="1" ht="22.95" customHeight="1" thickTop="1">
      <c r="B62" s="182"/>
      <c r="C62" s="309"/>
      <c r="D62" s="310" t="s">
        <v>755</v>
      </c>
      <c r="E62" s="311">
        <f>SUM(E63:E66)</f>
        <v>4016465.34</v>
      </c>
      <c r="F62" s="183"/>
    </row>
    <row r="63" spans="2:8" s="184" customFormat="1" ht="22.95" customHeight="1">
      <c r="B63" s="182"/>
      <c r="C63" s="188"/>
      <c r="D63" s="259" t="s">
        <v>506</v>
      </c>
      <c r="E63" s="785">
        <f>-'FC-7_INF'!G31</f>
        <v>0</v>
      </c>
      <c r="F63" s="183"/>
    </row>
    <row r="64" spans="2:8" s="184" customFormat="1" ht="22.95" customHeight="1">
      <c r="B64" s="182"/>
      <c r="C64" s="188"/>
      <c r="D64" s="259" t="s">
        <v>494</v>
      </c>
      <c r="E64" s="785">
        <f>-'FC-7_INF'!I31</f>
        <v>4016465.34</v>
      </c>
      <c r="F64" s="183"/>
    </row>
    <row r="65" spans="2:8" s="184" customFormat="1" ht="22.95" customHeight="1">
      <c r="B65" s="182"/>
      <c r="C65" s="188"/>
      <c r="D65" s="259" t="s">
        <v>495</v>
      </c>
      <c r="E65" s="785">
        <f>-'FC-7_INF'!J31</f>
        <v>0</v>
      </c>
      <c r="F65" s="183"/>
    </row>
    <row r="66" spans="2:8" s="184" customFormat="1" ht="22.95" customHeight="1">
      <c r="B66" s="182"/>
      <c r="C66" s="312"/>
      <c r="D66" s="286" t="s">
        <v>496</v>
      </c>
      <c r="E66" s="786">
        <f>-'FC-7_INF'!L31</f>
        <v>0</v>
      </c>
      <c r="F66" s="183"/>
    </row>
    <row r="67" spans="2:8" s="184" customFormat="1" ht="22.95" customHeight="1">
      <c r="B67" s="182"/>
      <c r="C67" s="175"/>
      <c r="D67" s="261" t="s">
        <v>844</v>
      </c>
      <c r="E67" s="787">
        <f>-'FC-8_INV_FINANCIERAS'!I25-'FC-8_INV_FINANCIERAS'!I34-'FC-8_INV_FINANCIERAS'!I49-'FC-8_INV_FINANCIERAS'!I58</f>
        <v>0</v>
      </c>
      <c r="F67" s="183"/>
    </row>
    <row r="68" spans="2:8" s="184" customFormat="1" ht="22.95" customHeight="1">
      <c r="B68" s="182"/>
      <c r="C68" s="175"/>
      <c r="D68" s="261" t="s">
        <v>1020</v>
      </c>
      <c r="E68" s="787">
        <f>-'FC-4_ACTIVO'!G47+'FC-4_ACTIVO'!F47</f>
        <v>-9545381.9199999999</v>
      </c>
      <c r="F68" s="183"/>
    </row>
    <row r="69" spans="2:8" s="184" customFormat="1" ht="22.95" customHeight="1">
      <c r="B69" s="182"/>
      <c r="C69" s="175"/>
      <c r="D69" s="261" t="s">
        <v>846</v>
      </c>
      <c r="E69" s="187">
        <f>-(('FC-4_ACTIVO'!G50-'FC-4_ACTIVO'!G75-'FC-4_ACTIVO'!G82)-('FC-4_ACTIVO'!F50-'FC-4_ACTIVO'!F75-'FC-4_ACTIVO'!F82))</f>
        <v>28553713.379999992</v>
      </c>
      <c r="F69" s="183"/>
    </row>
    <row r="70" spans="2:8" s="184" customFormat="1" ht="22.95" customHeight="1">
      <c r="B70" s="182"/>
      <c r="C70" s="175"/>
      <c r="D70" s="261" t="s">
        <v>1021</v>
      </c>
      <c r="E70" s="187">
        <f>+'FC-9_TRANS_SUBV'!G33</f>
        <v>-682979.74258126202</v>
      </c>
      <c r="F70" s="183"/>
      <c r="H70" s="314"/>
    </row>
    <row r="71" spans="2:8" s="184" customFormat="1" ht="22.95" customHeight="1">
      <c r="B71" s="182"/>
      <c r="C71" s="175"/>
      <c r="D71" s="261" t="s">
        <v>845</v>
      </c>
      <c r="E71" s="187">
        <f>'FC-4_PASIVO'!G48-'FC-4_PASIVO'!F48+'FC-4_PASIVO'!G73-'FC-4_PASIVO'!F73+'FC-4_PASIVO'!G83-'FC-4_PASIVO'!F83-0.02</f>
        <v>-1260324.56</v>
      </c>
      <c r="F71" s="183"/>
      <c r="H71" s="314"/>
    </row>
    <row r="72" spans="2:8" s="184" customFormat="1" ht="22.95" customHeight="1">
      <c r="B72" s="182"/>
      <c r="C72" s="22"/>
      <c r="D72" s="308"/>
      <c r="E72" s="210"/>
      <c r="F72" s="183"/>
    </row>
    <row r="73" spans="2:8" s="302" customFormat="1" ht="22.95" customHeight="1" thickBot="1">
      <c r="B73" s="111"/>
      <c r="C73" s="305" t="s">
        <v>756</v>
      </c>
      <c r="D73" s="306"/>
      <c r="E73" s="307">
        <f>+E59+E61</f>
        <v>-2.5812685489654541E-3</v>
      </c>
      <c r="F73" s="114"/>
      <c r="H73" s="313"/>
    </row>
    <row r="74" spans="2:8" s="184" customFormat="1" ht="22.95" customHeight="1" thickTop="1">
      <c r="B74" s="182"/>
      <c r="C74" s="22"/>
      <c r="D74" s="150"/>
      <c r="E74" s="146"/>
      <c r="F74" s="183"/>
    </row>
    <row r="75" spans="2:8" ht="22.95" customHeight="1" thickBot="1">
      <c r="B75" s="121"/>
      <c r="C75" s="1003"/>
      <c r="D75" s="1003"/>
      <c r="E75" s="122"/>
      <c r="F75" s="123"/>
    </row>
    <row r="76" spans="2:8" ht="22.95" customHeight="1">
      <c r="C76" s="104"/>
      <c r="D76" s="104"/>
      <c r="E76" s="105"/>
    </row>
    <row r="77" spans="2:8" ht="13.2">
      <c r="C77" s="124" t="s">
        <v>174</v>
      </c>
      <c r="D77" s="104"/>
      <c r="E77" s="95" t="s">
        <v>167</v>
      </c>
    </row>
    <row r="78" spans="2:8" ht="13.2">
      <c r="C78" s="125" t="s">
        <v>175</v>
      </c>
      <c r="D78" s="104"/>
      <c r="E78" s="105"/>
    </row>
    <row r="79" spans="2:8" ht="13.2">
      <c r="C79" s="125" t="s">
        <v>176</v>
      </c>
      <c r="D79" s="104"/>
      <c r="E79" s="105"/>
    </row>
    <row r="80" spans="2:8" ht="13.2">
      <c r="C80" s="125" t="s">
        <v>177</v>
      </c>
      <c r="D80" s="104"/>
      <c r="E80" s="105"/>
    </row>
    <row r="81" spans="3:5" ht="13.2">
      <c r="C81" s="125" t="s">
        <v>178</v>
      </c>
      <c r="D81" s="104"/>
      <c r="E81" s="105"/>
    </row>
    <row r="82" spans="3:5" ht="22.95" customHeight="1">
      <c r="C82" s="104"/>
      <c r="D82" s="104"/>
      <c r="E82" s="105"/>
    </row>
    <row r="83" spans="3:5" ht="22.95" customHeight="1">
      <c r="C83" s="104"/>
      <c r="D83" s="104"/>
      <c r="E83" s="105"/>
    </row>
    <row r="84" spans="3:5" ht="22.95" customHeight="1">
      <c r="C84" s="104"/>
      <c r="D84" s="104"/>
      <c r="E84" s="105"/>
    </row>
    <row r="85" spans="3:5" ht="22.95" customHeight="1">
      <c r="C85" s="104"/>
      <c r="D85" s="104"/>
      <c r="E85" s="105"/>
    </row>
    <row r="86" spans="3:5" ht="22.95" customHeight="1">
      <c r="E86" s="105"/>
    </row>
  </sheetData>
  <sheetProtection password="E059" sheet="1" objects="1" scenarios="1"/>
  <mergeCells count="18">
    <mergeCell ref="C75:D75"/>
    <mergeCell ref="C51:D51"/>
    <mergeCell ref="C53:D53"/>
    <mergeCell ref="C35:D35"/>
    <mergeCell ref="C55:D55"/>
    <mergeCell ref="C57:D57"/>
    <mergeCell ref="E6:E7"/>
    <mergeCell ref="D9:E9"/>
    <mergeCell ref="C12:D12"/>
    <mergeCell ref="C14:D14"/>
    <mergeCell ref="C25:D25"/>
    <mergeCell ref="C31:D31"/>
    <mergeCell ref="C21:D21"/>
    <mergeCell ref="C33:D33"/>
    <mergeCell ref="C43:D43"/>
    <mergeCell ref="C47:D47"/>
    <mergeCell ref="C37:D37"/>
    <mergeCell ref="C29:D29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63"/>
  <sheetViews>
    <sheetView workbookViewId="0">
      <selection activeCell="F15" sqref="F15"/>
    </sheetView>
  </sheetViews>
  <sheetFormatPr baseColWidth="10" defaultColWidth="10.54296875" defaultRowHeight="22.95" customHeight="1"/>
  <cols>
    <col min="1" max="2" width="3.1796875" style="97" customWidth="1"/>
    <col min="3" max="3" width="13.1796875" style="97" customWidth="1"/>
    <col min="4" max="4" width="68" style="97" customWidth="1"/>
    <col min="5" max="5" width="16.54296875" style="98" customWidth="1"/>
    <col min="6" max="6" width="3.453125" style="97" customWidth="1"/>
    <col min="7" max="16384" width="10.54296875" style="97"/>
  </cols>
  <sheetData>
    <row r="2" spans="2:6" ht="22.95" customHeight="1">
      <c r="D2" s="209" t="s">
        <v>477</v>
      </c>
    </row>
    <row r="3" spans="2:6" ht="22.95" customHeight="1">
      <c r="D3" s="209" t="s">
        <v>478</v>
      </c>
    </row>
    <row r="4" spans="2:6" ht="22.95" customHeight="1" thickBot="1"/>
    <row r="5" spans="2:6" ht="9" customHeight="1">
      <c r="B5" s="99"/>
      <c r="C5" s="100"/>
      <c r="D5" s="100"/>
      <c r="E5" s="101"/>
      <c r="F5" s="102"/>
    </row>
    <row r="6" spans="2:6" ht="30" customHeight="1">
      <c r="B6" s="103"/>
      <c r="C6" s="67" t="s">
        <v>97</v>
      </c>
      <c r="D6" s="104"/>
      <c r="E6" s="984">
        <f>ejercicio</f>
        <v>2018</v>
      </c>
      <c r="F6" s="106"/>
    </row>
    <row r="7" spans="2:6" ht="30" customHeight="1">
      <c r="B7" s="103"/>
      <c r="C7" s="67" t="s">
        <v>98</v>
      </c>
      <c r="D7" s="104"/>
      <c r="E7" s="984"/>
      <c r="F7" s="106"/>
    </row>
    <row r="8" spans="2:6" ht="30" customHeight="1">
      <c r="B8" s="103"/>
      <c r="C8" s="107"/>
      <c r="D8" s="104"/>
      <c r="E8" s="108"/>
      <c r="F8" s="106"/>
    </row>
    <row r="9" spans="2:6" s="184" customFormat="1" ht="30" customHeight="1">
      <c r="B9" s="182"/>
      <c r="C9" s="40" t="s">
        <v>99</v>
      </c>
      <c r="D9" s="1004" t="str">
        <f>Entidad</f>
        <v>INSTITUTO TECNOLÓGICO Y DE ENERGÍAS RENOVALBES S.A. (ITER)</v>
      </c>
      <c r="E9" s="1004"/>
      <c r="F9" s="183"/>
    </row>
    <row r="10" spans="2:6" ht="7.2" customHeight="1">
      <c r="B10" s="103"/>
      <c r="C10" s="104"/>
      <c r="D10" s="104"/>
      <c r="E10" s="105"/>
      <c r="F10" s="106"/>
    </row>
    <row r="11" spans="2:6" s="115" customFormat="1" ht="30" customHeight="1">
      <c r="B11" s="111"/>
      <c r="C11" s="112" t="s">
        <v>727</v>
      </c>
      <c r="D11" s="112"/>
      <c r="E11" s="113"/>
      <c r="F11" s="114"/>
    </row>
    <row r="12" spans="2:6" s="115" customFormat="1" ht="30" customHeight="1">
      <c r="B12" s="111"/>
      <c r="C12" s="1043"/>
      <c r="D12" s="1043"/>
      <c r="E12" s="96"/>
      <c r="F12" s="114"/>
    </row>
    <row r="13" spans="2:6" ht="9" customHeight="1">
      <c r="B13" s="117"/>
      <c r="C13" s="150"/>
      <c r="D13" s="150"/>
      <c r="E13" s="96"/>
      <c r="F13" s="106"/>
    </row>
    <row r="14" spans="2:6" s="246" customFormat="1" ht="24" customHeight="1">
      <c r="B14" s="243"/>
      <c r="C14" s="1035" t="s">
        <v>742</v>
      </c>
      <c r="D14" s="1037"/>
      <c r="E14" s="263" t="s">
        <v>582</v>
      </c>
      <c r="F14" s="245"/>
    </row>
    <row r="15" spans="2:6" ht="9" customHeight="1">
      <c r="B15" s="117"/>
      <c r="C15" s="66"/>
      <c r="D15" s="150"/>
      <c r="E15" s="96"/>
      <c r="F15" s="106"/>
    </row>
    <row r="16" spans="2:6" s="184" customFormat="1" ht="22.95" customHeight="1">
      <c r="B16" s="182"/>
      <c r="C16" s="285" t="s">
        <v>286</v>
      </c>
      <c r="D16" s="224" t="s">
        <v>728</v>
      </c>
      <c r="E16" s="168">
        <v>0</v>
      </c>
      <c r="F16" s="183"/>
    </row>
    <row r="17" spans="2:6" s="184" customFormat="1" ht="22.95" customHeight="1">
      <c r="B17" s="182"/>
      <c r="C17" s="188" t="s">
        <v>296</v>
      </c>
      <c r="D17" s="259" t="s">
        <v>729</v>
      </c>
      <c r="E17" s="189">
        <v>0</v>
      </c>
      <c r="F17" s="183"/>
    </row>
    <row r="18" spans="2:6" s="184" customFormat="1" ht="22.95" customHeight="1">
      <c r="B18" s="182"/>
      <c r="C18" s="188" t="s">
        <v>301</v>
      </c>
      <c r="D18" s="259" t="s">
        <v>730</v>
      </c>
      <c r="E18" s="189">
        <f>+'FC-92_PRESUPUESTO_PYG'!E18</f>
        <v>8773891.0500000007</v>
      </c>
      <c r="F18" s="183"/>
    </row>
    <row r="19" spans="2:6" s="184" customFormat="1" ht="22.95" customHeight="1">
      <c r="B19" s="182"/>
      <c r="C19" s="188" t="s">
        <v>305</v>
      </c>
      <c r="D19" s="259" t="s">
        <v>731</v>
      </c>
      <c r="E19" s="189">
        <f>+'FC-92_PRESUPUESTO_PYG'!E19+'FC-9_TRANS_SUBV'!G86</f>
        <v>3419189.83</v>
      </c>
      <c r="F19" s="183"/>
    </row>
    <row r="20" spans="2:6" s="184" customFormat="1" ht="22.95" customHeight="1">
      <c r="B20" s="182"/>
      <c r="C20" s="275" t="s">
        <v>313</v>
      </c>
      <c r="D20" s="260" t="s">
        <v>732</v>
      </c>
      <c r="E20" s="169">
        <f>+'FC-92_PRESUPUESTO_PYG'!E20</f>
        <v>1144873.8999999999</v>
      </c>
      <c r="F20" s="183"/>
    </row>
    <row r="21" spans="2:6" s="184" customFormat="1" ht="22.95" customHeight="1">
      <c r="B21" s="182"/>
      <c r="C21" s="1095" t="s">
        <v>733</v>
      </c>
      <c r="D21" s="1096"/>
      <c r="E21" s="292">
        <f>SUM(E16:E20)</f>
        <v>13337954.780000001</v>
      </c>
      <c r="F21" s="183"/>
    </row>
    <row r="22" spans="2:6" s="184" customFormat="1" ht="9" customHeight="1">
      <c r="B22" s="182"/>
      <c r="C22" s="22"/>
      <c r="D22" s="150"/>
      <c r="E22" s="146"/>
      <c r="F22" s="183"/>
    </row>
    <row r="23" spans="2:6" s="184" customFormat="1" ht="22.95" customHeight="1">
      <c r="B23" s="182"/>
      <c r="C23" s="285" t="s">
        <v>316</v>
      </c>
      <c r="D23" s="224" t="s">
        <v>734</v>
      </c>
      <c r="E23" s="168">
        <f>-'FC-7_INF'!K31</f>
        <v>0</v>
      </c>
      <c r="F23" s="183"/>
    </row>
    <row r="24" spans="2:6" s="184" customFormat="1" ht="22.95" customHeight="1">
      <c r="B24" s="182"/>
      <c r="C24" s="188" t="s">
        <v>318</v>
      </c>
      <c r="D24" s="259" t="s">
        <v>735</v>
      </c>
      <c r="E24" s="189">
        <f>+'FC-9_TRANS_SUBV'!G30</f>
        <v>1040285.72</v>
      </c>
      <c r="F24" s="183"/>
    </row>
    <row r="25" spans="2:6" s="184" customFormat="1" ht="22.95" customHeight="1">
      <c r="B25" s="182"/>
      <c r="C25" s="1095" t="s">
        <v>736</v>
      </c>
      <c r="D25" s="1096"/>
      <c r="E25" s="292">
        <f>SUM(E23:E24)</f>
        <v>1040285.72</v>
      </c>
      <c r="F25" s="183"/>
    </row>
    <row r="26" spans="2:6" s="184" customFormat="1" ht="9" customHeight="1">
      <c r="B26" s="182"/>
      <c r="C26" s="22"/>
      <c r="D26" s="150"/>
      <c r="E26" s="146"/>
      <c r="F26" s="183"/>
    </row>
    <row r="27" spans="2:6" s="184" customFormat="1" ht="22.95" customHeight="1">
      <c r="B27" s="182"/>
      <c r="C27" s="285" t="s">
        <v>369</v>
      </c>
      <c r="D27" s="224" t="s">
        <v>737</v>
      </c>
      <c r="E27" s="168">
        <f>-('FC-8_INV_FINANCIERAS'!H25+'FC-8_INV_FINANCIERAS'!H34+'FC-8_INV_FINANCIERAS'!H49+'FC-8_INV_FINANCIERAS'!H58)</f>
        <v>3463243.37</v>
      </c>
      <c r="F27" s="183"/>
    </row>
    <row r="28" spans="2:6" s="184" customFormat="1" ht="22.95" customHeight="1">
      <c r="B28" s="182"/>
      <c r="C28" s="188" t="s">
        <v>371</v>
      </c>
      <c r="D28" s="259" t="s">
        <v>738</v>
      </c>
      <c r="E28" s="189">
        <f>+'FC-10_DEUDAS'!M42+'FC-10_DEUDAS'!M74</f>
        <v>34763966.409999996</v>
      </c>
      <c r="F28" s="183"/>
    </row>
    <row r="29" spans="2:6" s="184" customFormat="1" ht="22.95" customHeight="1">
      <c r="B29" s="182"/>
      <c r="C29" s="1095" t="s">
        <v>739</v>
      </c>
      <c r="D29" s="1096"/>
      <c r="E29" s="292">
        <f>SUM(E27:E28)</f>
        <v>38227209.779999994</v>
      </c>
      <c r="F29" s="183"/>
    </row>
    <row r="30" spans="2:6" s="184" customFormat="1" ht="22.95" customHeight="1">
      <c r="B30" s="182"/>
      <c r="C30" s="150"/>
      <c r="D30" s="209"/>
      <c r="E30" s="211"/>
      <c r="F30" s="183"/>
    </row>
    <row r="31" spans="2:6" s="302" customFormat="1" ht="22.95" customHeight="1" thickBot="1">
      <c r="B31" s="111"/>
      <c r="C31" s="1099" t="s">
        <v>740</v>
      </c>
      <c r="D31" s="1100"/>
      <c r="E31" s="301">
        <f>E21+E25+E29</f>
        <v>52605450.279999994</v>
      </c>
      <c r="F31" s="114"/>
    </row>
    <row r="32" spans="2:6" s="184" customFormat="1" ht="9" customHeight="1">
      <c r="B32" s="182"/>
      <c r="C32" s="22"/>
      <c r="D32" s="150"/>
      <c r="E32" s="146"/>
      <c r="F32" s="183"/>
    </row>
    <row r="33" spans="2:6" s="184" customFormat="1" ht="22.95" customHeight="1">
      <c r="B33" s="182"/>
      <c r="C33" s="303"/>
      <c r="D33" s="303"/>
      <c r="E33" s="304"/>
      <c r="F33" s="183"/>
    </row>
    <row r="34" spans="2:6" s="246" customFormat="1" ht="24" customHeight="1">
      <c r="B34" s="243"/>
      <c r="C34" s="1035" t="s">
        <v>743</v>
      </c>
      <c r="D34" s="1037"/>
      <c r="E34" s="263" t="s">
        <v>582</v>
      </c>
      <c r="F34" s="245"/>
    </row>
    <row r="35" spans="2:6" ht="9" customHeight="1">
      <c r="B35" s="117"/>
      <c r="C35" s="66"/>
      <c r="D35" s="150"/>
      <c r="E35" s="96"/>
      <c r="F35" s="106"/>
    </row>
    <row r="36" spans="2:6" s="184" customFormat="1" ht="22.95" customHeight="1">
      <c r="B36" s="182"/>
      <c r="C36" s="285" t="s">
        <v>286</v>
      </c>
      <c r="D36" s="224" t="s">
        <v>744</v>
      </c>
      <c r="E36" s="168">
        <f>+'FC-92_PRESUPUESTO_PYG'!E39</f>
        <v>5586206.4199999999</v>
      </c>
      <c r="F36" s="183"/>
    </row>
    <row r="37" spans="2:6" s="184" customFormat="1" ht="22.95" customHeight="1">
      <c r="B37" s="182"/>
      <c r="C37" s="188" t="s">
        <v>296</v>
      </c>
      <c r="D37" s="259" t="s">
        <v>745</v>
      </c>
      <c r="E37" s="189">
        <f>+'FC-92_PRESUPUESTO_PYG'!E40</f>
        <v>4493581.17</v>
      </c>
      <c r="F37" s="183"/>
    </row>
    <row r="38" spans="2:6" s="184" customFormat="1" ht="22.95" customHeight="1">
      <c r="B38" s="182"/>
      <c r="C38" s="188" t="s">
        <v>301</v>
      </c>
      <c r="D38" s="259" t="s">
        <v>493</v>
      </c>
      <c r="E38" s="189">
        <f>+'FC-92_PRESUPUESTO_PYG'!E41</f>
        <v>496822.48</v>
      </c>
      <c r="F38" s="183"/>
    </row>
    <row r="39" spans="2:6" s="184" customFormat="1" ht="22.95" customHeight="1">
      <c r="B39" s="182"/>
      <c r="C39" s="188" t="s">
        <v>305</v>
      </c>
      <c r="D39" s="259" t="s">
        <v>746</v>
      </c>
      <c r="E39" s="189">
        <f>+'FC-92_PRESUPUESTO_PYG'!E42</f>
        <v>0</v>
      </c>
      <c r="F39" s="183"/>
    </row>
    <row r="40" spans="2:6" s="184" customFormat="1" ht="22.95" customHeight="1">
      <c r="B40" s="182"/>
      <c r="C40" s="1095" t="s">
        <v>747</v>
      </c>
      <c r="D40" s="1096"/>
      <c r="E40" s="292">
        <f>SUM(E36:E39)</f>
        <v>10576610.07</v>
      </c>
      <c r="F40" s="183"/>
    </row>
    <row r="41" spans="2:6" s="184" customFormat="1" ht="9" customHeight="1">
      <c r="B41" s="182"/>
      <c r="C41" s="22"/>
      <c r="D41" s="150"/>
      <c r="E41" s="146"/>
      <c r="F41" s="183"/>
    </row>
    <row r="42" spans="2:6" s="184" customFormat="1" ht="22.95" customHeight="1">
      <c r="B42" s="182"/>
      <c r="C42" s="285" t="s">
        <v>316</v>
      </c>
      <c r="D42" s="224" t="s">
        <v>748</v>
      </c>
      <c r="E42" s="168">
        <f>'FC-7_INF'!F31+'FC-7_INF'!H31</f>
        <v>65738691.619999997</v>
      </c>
      <c r="F42" s="183"/>
    </row>
    <row r="43" spans="2:6" s="184" customFormat="1" ht="22.95" customHeight="1">
      <c r="B43" s="182"/>
      <c r="C43" s="188" t="s">
        <v>318</v>
      </c>
      <c r="D43" s="259" t="s">
        <v>735</v>
      </c>
      <c r="E43" s="189">
        <v>0</v>
      </c>
      <c r="F43" s="183"/>
    </row>
    <row r="44" spans="2:6" s="184" customFormat="1" ht="22.95" customHeight="1">
      <c r="B44" s="182"/>
      <c r="C44" s="1095" t="s">
        <v>749</v>
      </c>
      <c r="D44" s="1096"/>
      <c r="E44" s="292">
        <f>SUM(E42:E43)</f>
        <v>65738691.619999997</v>
      </c>
      <c r="F44" s="183"/>
    </row>
    <row r="45" spans="2:6" s="184" customFormat="1" ht="9" customHeight="1">
      <c r="B45" s="182"/>
      <c r="C45" s="22"/>
      <c r="D45" s="150"/>
      <c r="E45" s="146"/>
      <c r="F45" s="183"/>
    </row>
    <row r="46" spans="2:6" s="184" customFormat="1" ht="22.95" customHeight="1">
      <c r="B46" s="182"/>
      <c r="C46" s="285" t="s">
        <v>369</v>
      </c>
      <c r="D46" s="224" t="s">
        <v>737</v>
      </c>
      <c r="E46" s="168">
        <f>'FC-8_INV_FINANCIERAS'!G25+'FC-8_INV_FINANCIERAS'!G34+'FC-8_INV_FINANCIERAS'!G49+'FC-8_INV_FINANCIERAS'!G58</f>
        <v>573371.86</v>
      </c>
      <c r="F46" s="183"/>
    </row>
    <row r="47" spans="2:6" s="184" customFormat="1" ht="22.95" customHeight="1">
      <c r="B47" s="182"/>
      <c r="C47" s="188" t="s">
        <v>371</v>
      </c>
      <c r="D47" s="259" t="s">
        <v>738</v>
      </c>
      <c r="E47" s="189">
        <f>'FC-10_DEUDAS'!N42</f>
        <v>0</v>
      </c>
      <c r="F47" s="183"/>
    </row>
    <row r="48" spans="2:6" s="184" customFormat="1" ht="22.95" customHeight="1">
      <c r="B48" s="182"/>
      <c r="C48" s="1095" t="s">
        <v>750</v>
      </c>
      <c r="D48" s="1096"/>
      <c r="E48" s="292">
        <f>SUM(E46:E47)</f>
        <v>573371.86</v>
      </c>
      <c r="F48" s="183"/>
    </row>
    <row r="49" spans="2:8" s="184" customFormat="1" ht="22.95" customHeight="1">
      <c r="B49" s="182"/>
      <c r="C49" s="150"/>
      <c r="D49" s="209"/>
      <c r="E49" s="211"/>
      <c r="F49" s="183"/>
    </row>
    <row r="50" spans="2:8" s="302" customFormat="1" ht="22.95" customHeight="1" thickBot="1">
      <c r="B50" s="111"/>
      <c r="C50" s="1099" t="s">
        <v>751</v>
      </c>
      <c r="D50" s="1100"/>
      <c r="E50" s="301">
        <f>E40+E44+E48</f>
        <v>76888673.549999997</v>
      </c>
      <c r="F50" s="114"/>
    </row>
    <row r="51" spans="2:8" s="184" customFormat="1" ht="9" customHeight="1">
      <c r="B51" s="182"/>
      <c r="C51" s="22"/>
      <c r="D51" s="150"/>
      <c r="E51" s="146"/>
      <c r="F51" s="183"/>
    </row>
    <row r="52" spans="2:8" ht="22.95" customHeight="1" thickBot="1">
      <c r="B52" s="121"/>
      <c r="C52" s="1003"/>
      <c r="D52" s="1003"/>
      <c r="E52" s="122"/>
      <c r="F52" s="123"/>
      <c r="H52" s="184"/>
    </row>
    <row r="53" spans="2:8" ht="22.95" customHeight="1">
      <c r="C53" s="104"/>
      <c r="D53" s="104"/>
      <c r="E53" s="105"/>
    </row>
    <row r="54" spans="2:8" ht="13.2">
      <c r="C54" s="124" t="s">
        <v>174</v>
      </c>
      <c r="D54" s="104"/>
      <c r="E54" s="95" t="s">
        <v>169</v>
      </c>
    </row>
    <row r="55" spans="2:8" ht="13.2">
      <c r="C55" s="125" t="s">
        <v>175</v>
      </c>
      <c r="D55" s="104"/>
      <c r="E55" s="105"/>
    </row>
    <row r="56" spans="2:8" ht="13.2">
      <c r="C56" s="125" t="s">
        <v>176</v>
      </c>
      <c r="D56" s="104"/>
      <c r="E56" s="105"/>
    </row>
    <row r="57" spans="2:8" ht="13.2">
      <c r="C57" s="125" t="s">
        <v>177</v>
      </c>
      <c r="D57" s="104"/>
      <c r="E57" s="105"/>
    </row>
    <row r="58" spans="2:8" ht="13.2">
      <c r="C58" s="125" t="s">
        <v>178</v>
      </c>
      <c r="D58" s="104"/>
      <c r="E58" s="105"/>
    </row>
    <row r="59" spans="2:8" ht="22.95" customHeight="1">
      <c r="C59" s="104"/>
      <c r="D59" s="104"/>
      <c r="E59" s="105"/>
    </row>
    <row r="60" spans="2:8" ht="22.95" customHeight="1">
      <c r="C60" s="104"/>
      <c r="D60" s="104"/>
      <c r="E60" s="105"/>
    </row>
    <row r="61" spans="2:8" ht="22.95" customHeight="1">
      <c r="C61" s="104"/>
      <c r="D61" s="104"/>
      <c r="E61" s="105"/>
    </row>
    <row r="62" spans="2:8" ht="22.95" customHeight="1">
      <c r="C62" s="104"/>
      <c r="D62" s="104"/>
      <c r="E62" s="105"/>
    </row>
    <row r="63" spans="2:8" ht="22.95" customHeight="1">
      <c r="E63" s="105"/>
    </row>
  </sheetData>
  <sheetProtection password="E059" sheet="1" objects="1" scenarios="1"/>
  <mergeCells count="14">
    <mergeCell ref="C52:D52"/>
    <mergeCell ref="C34:D34"/>
    <mergeCell ref="C40:D40"/>
    <mergeCell ref="C44:D44"/>
    <mergeCell ref="C48:D48"/>
    <mergeCell ref="C50:D50"/>
    <mergeCell ref="C29:D29"/>
    <mergeCell ref="C31:D31"/>
    <mergeCell ref="C25:D25"/>
    <mergeCell ref="E6:E7"/>
    <mergeCell ref="D9:E9"/>
    <mergeCell ref="C12:D12"/>
    <mergeCell ref="C14:D14"/>
    <mergeCell ref="C21:D21"/>
  </mergeCells>
  <phoneticPr fontId="19" type="noConversion"/>
  <printOptions horizontalCentered="1" verticalCentered="1"/>
  <pageMargins left="0.36000000000000004" right="0.36000000000000004" top="0.6100000000000001" bottom="0.6100000000000001" header="0.5" footer="0.5"/>
  <pageSetup paperSize="9" scale="7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72"/>
  <sheetViews>
    <sheetView workbookViewId="0">
      <selection activeCell="F15" sqref="F15"/>
    </sheetView>
  </sheetViews>
  <sheetFormatPr baseColWidth="10" defaultColWidth="10.54296875" defaultRowHeight="22.95" customHeight="1"/>
  <cols>
    <col min="1" max="2" width="3.1796875" style="97" customWidth="1"/>
    <col min="3" max="3" width="13.1796875" style="97" customWidth="1"/>
    <col min="4" max="4" width="68" style="97" customWidth="1"/>
    <col min="5" max="5" width="16.54296875" style="98" customWidth="1"/>
    <col min="6" max="6" width="3.453125" style="97" customWidth="1"/>
    <col min="7" max="16384" width="10.54296875" style="97"/>
  </cols>
  <sheetData>
    <row r="2" spans="2:6" ht="22.95" customHeight="1">
      <c r="D2" s="209" t="s">
        <v>477</v>
      </c>
    </row>
    <row r="3" spans="2:6" ht="22.95" customHeight="1">
      <c r="D3" s="209" t="s">
        <v>478</v>
      </c>
    </row>
    <row r="4" spans="2:6" ht="22.95" customHeight="1" thickBot="1"/>
    <row r="5" spans="2:6" ht="9" customHeight="1">
      <c r="B5" s="99"/>
      <c r="C5" s="100"/>
      <c r="D5" s="100"/>
      <c r="E5" s="101"/>
      <c r="F5" s="102"/>
    </row>
    <row r="6" spans="2:6" ht="30" customHeight="1">
      <c r="B6" s="103"/>
      <c r="C6" s="67" t="s">
        <v>97</v>
      </c>
      <c r="D6" s="104"/>
      <c r="E6" s="984">
        <f>ejercicio</f>
        <v>2018</v>
      </c>
      <c r="F6" s="106"/>
    </row>
    <row r="7" spans="2:6" ht="30" customHeight="1">
      <c r="B7" s="103"/>
      <c r="C7" s="67" t="s">
        <v>98</v>
      </c>
      <c r="D7" s="104"/>
      <c r="E7" s="984"/>
      <c r="F7" s="106"/>
    </row>
    <row r="8" spans="2:6" ht="30" customHeight="1">
      <c r="B8" s="103"/>
      <c r="C8" s="107"/>
      <c r="D8" s="104"/>
      <c r="E8" s="108"/>
      <c r="F8" s="106"/>
    </row>
    <row r="9" spans="2:6" s="184" customFormat="1" ht="30" customHeight="1">
      <c r="B9" s="182"/>
      <c r="C9" s="40" t="s">
        <v>99</v>
      </c>
      <c r="D9" s="1004" t="str">
        <f>Entidad</f>
        <v>INSTITUTO TECNOLÓGICO Y DE ENERGÍAS RENOVALBES S.A. (ITER)</v>
      </c>
      <c r="E9" s="1004"/>
      <c r="F9" s="183"/>
    </row>
    <row r="10" spans="2:6" ht="7.2" customHeight="1">
      <c r="B10" s="103"/>
      <c r="C10" s="104"/>
      <c r="D10" s="104"/>
      <c r="E10" s="105"/>
      <c r="F10" s="106"/>
    </row>
    <row r="11" spans="2:6" s="115" customFormat="1" ht="30" customHeight="1">
      <c r="B11" s="111"/>
      <c r="C11" s="112" t="s">
        <v>727</v>
      </c>
      <c r="D11" s="112"/>
      <c r="E11" s="113"/>
      <c r="F11" s="114"/>
    </row>
    <row r="12" spans="2:6" s="115" customFormat="1" ht="30" customHeight="1">
      <c r="B12" s="111"/>
      <c r="C12" s="1043"/>
      <c r="D12" s="1043"/>
      <c r="E12" s="96"/>
      <c r="F12" s="114"/>
    </row>
    <row r="13" spans="2:6" ht="9" customHeight="1">
      <c r="B13" s="117"/>
      <c r="C13" s="150"/>
      <c r="D13" s="150"/>
      <c r="E13" s="96"/>
      <c r="F13" s="106"/>
    </row>
    <row r="14" spans="2:6" s="246" customFormat="1" ht="24" customHeight="1">
      <c r="B14" s="243"/>
      <c r="C14" s="1035" t="s">
        <v>742</v>
      </c>
      <c r="D14" s="1037"/>
      <c r="E14" s="263" t="s">
        <v>582</v>
      </c>
      <c r="F14" s="245"/>
    </row>
    <row r="15" spans="2:6" ht="9" customHeight="1">
      <c r="B15" s="117"/>
      <c r="C15" s="66"/>
      <c r="D15" s="150"/>
      <c r="E15" s="96"/>
      <c r="F15" s="106"/>
    </row>
    <row r="16" spans="2:6" s="184" customFormat="1" ht="22.95" customHeight="1">
      <c r="B16" s="182"/>
      <c r="C16" s="285" t="s">
        <v>286</v>
      </c>
      <c r="D16" s="224" t="s">
        <v>728</v>
      </c>
      <c r="E16" s="168">
        <v>0</v>
      </c>
      <c r="F16" s="183"/>
    </row>
    <row r="17" spans="2:6" s="184" customFormat="1" ht="22.95" customHeight="1">
      <c r="B17" s="182"/>
      <c r="C17" s="188" t="s">
        <v>296</v>
      </c>
      <c r="D17" s="259" t="s">
        <v>729</v>
      </c>
      <c r="E17" s="189">
        <v>0</v>
      </c>
      <c r="F17" s="183"/>
    </row>
    <row r="18" spans="2:6" s="184" customFormat="1" ht="22.95" customHeight="1">
      <c r="B18" s="182"/>
      <c r="C18" s="188" t="s">
        <v>301</v>
      </c>
      <c r="D18" s="259" t="s">
        <v>730</v>
      </c>
      <c r="E18" s="189">
        <f>+'FC-3_CPyG'!G16+'FC-3_1_INF_ADIC_CPyG'!G76+'FC-3_1_INF_ADIC_CPyG'!G78</f>
        <v>8773891.0500000007</v>
      </c>
      <c r="F18" s="183"/>
    </row>
    <row r="19" spans="2:6" s="184" customFormat="1" ht="22.95" customHeight="1">
      <c r="B19" s="182"/>
      <c r="C19" s="188" t="s">
        <v>305</v>
      </c>
      <c r="D19" s="259" t="s">
        <v>731</v>
      </c>
      <c r="E19" s="189">
        <f>'FC-3_CPyG'!G29</f>
        <v>3419189.83</v>
      </c>
      <c r="F19" s="183"/>
    </row>
    <row r="20" spans="2:6" s="184" customFormat="1" ht="22.95" customHeight="1">
      <c r="B20" s="182"/>
      <c r="C20" s="275" t="s">
        <v>313</v>
      </c>
      <c r="D20" s="260" t="s">
        <v>732</v>
      </c>
      <c r="E20" s="169">
        <f>'FC-3_1_INF_ADIC_CPyG'!G77+'FC-3_CPyG'!G52+'FC-3_CPyG'!G55+'FC-3_CPyG'!G72+'FC-3_CPyG'!G73</f>
        <v>1144873.8999999999</v>
      </c>
      <c r="F20" s="183"/>
    </row>
    <row r="21" spans="2:6" s="184" customFormat="1" ht="22.95" customHeight="1">
      <c r="B21" s="182"/>
      <c r="C21" s="1095" t="s">
        <v>733</v>
      </c>
      <c r="D21" s="1096"/>
      <c r="E21" s="292">
        <f>SUM(E16:E20)</f>
        <v>13337954.780000001</v>
      </c>
      <c r="F21" s="183"/>
    </row>
    <row r="22" spans="2:6" s="184" customFormat="1" ht="9" customHeight="1">
      <c r="B22" s="182"/>
      <c r="C22" s="22"/>
      <c r="D22" s="150"/>
      <c r="E22" s="146"/>
      <c r="F22" s="183"/>
    </row>
    <row r="23" spans="2:6" s="184" customFormat="1" ht="22.95" customHeight="1">
      <c r="B23" s="182"/>
      <c r="C23" s="285" t="s">
        <v>316</v>
      </c>
      <c r="D23" s="224" t="s">
        <v>734</v>
      </c>
      <c r="E23" s="168"/>
      <c r="F23" s="183"/>
    </row>
    <row r="24" spans="2:6" s="184" customFormat="1" ht="22.95" customHeight="1">
      <c r="B24" s="182"/>
      <c r="C24" s="188" t="s">
        <v>318</v>
      </c>
      <c r="D24" s="259" t="s">
        <v>735</v>
      </c>
      <c r="E24" s="189"/>
      <c r="F24" s="183"/>
    </row>
    <row r="25" spans="2:6" s="184" customFormat="1" ht="22.95" customHeight="1">
      <c r="B25" s="182"/>
      <c r="C25" s="1095" t="s">
        <v>736</v>
      </c>
      <c r="D25" s="1096"/>
      <c r="E25" s="292">
        <f>SUM(E23:E24)</f>
        <v>0</v>
      </c>
      <c r="F25" s="183"/>
    </row>
    <row r="26" spans="2:6" s="184" customFormat="1" ht="9" customHeight="1">
      <c r="B26" s="182"/>
      <c r="C26" s="22"/>
      <c r="D26" s="150"/>
      <c r="E26" s="146"/>
      <c r="F26" s="183"/>
    </row>
    <row r="27" spans="2:6" s="184" customFormat="1" ht="22.95" customHeight="1">
      <c r="B27" s="182"/>
      <c r="C27" s="285" t="s">
        <v>369</v>
      </c>
      <c r="D27" s="224" t="s">
        <v>737</v>
      </c>
      <c r="E27" s="168"/>
      <c r="F27" s="183"/>
    </row>
    <row r="28" spans="2:6" s="184" customFormat="1" ht="22.95" customHeight="1">
      <c r="B28" s="182"/>
      <c r="C28" s="188" t="s">
        <v>371</v>
      </c>
      <c r="D28" s="259" t="s">
        <v>738</v>
      </c>
      <c r="E28" s="189"/>
      <c r="F28" s="183"/>
    </row>
    <row r="29" spans="2:6" s="184" customFormat="1" ht="22.95" customHeight="1">
      <c r="B29" s="182"/>
      <c r="C29" s="1095" t="s">
        <v>739</v>
      </c>
      <c r="D29" s="1096"/>
      <c r="E29" s="292">
        <f>SUM(E27:E28)</f>
        <v>0</v>
      </c>
      <c r="F29" s="183"/>
    </row>
    <row r="30" spans="2:6" s="184" customFormat="1" ht="22.95" customHeight="1">
      <c r="B30" s="182"/>
      <c r="C30" s="150"/>
      <c r="D30" s="209"/>
      <c r="E30" s="211"/>
      <c r="F30" s="183"/>
    </row>
    <row r="31" spans="2:6" s="302" customFormat="1" ht="22.95" customHeight="1" thickBot="1">
      <c r="B31" s="111"/>
      <c r="C31" s="1099" t="s">
        <v>740</v>
      </c>
      <c r="D31" s="1100"/>
      <c r="E31" s="301">
        <f>E21+E25+E29</f>
        <v>13337954.780000001</v>
      </c>
      <c r="F31" s="114"/>
    </row>
    <row r="32" spans="2:6" s="184" customFormat="1" ht="9" customHeight="1">
      <c r="B32" s="182"/>
      <c r="C32" s="22"/>
      <c r="D32" s="150"/>
      <c r="E32" s="146"/>
      <c r="F32" s="183"/>
    </row>
    <row r="33" spans="2:6" s="184" customFormat="1" ht="22.95" customHeight="1">
      <c r="B33" s="182"/>
      <c r="C33" s="1095" t="s">
        <v>741</v>
      </c>
      <c r="D33" s="1096"/>
      <c r="E33" s="292">
        <f>IF('FC-3_CPyG'!G20&gt;0,'FC-3_CPyG'!G20,0)+'FC-3_CPyG'!G21+'FC-3_CPyG'!G41+'FC-3_CPyG'!G42+'FC-3_CPyG'!G45+'FC-3_CPyG'!G47+'FC-3_CPyG'!G58+'FC-3_CPyG'!G63+'FC-3_CPyG'!G77</f>
        <v>11341469.550000001</v>
      </c>
      <c r="F33" s="183"/>
    </row>
    <row r="34" spans="2:6" s="184" customFormat="1" ht="9" customHeight="1">
      <c r="B34" s="182"/>
      <c r="C34" s="22"/>
      <c r="D34" s="150"/>
      <c r="E34" s="146"/>
      <c r="F34" s="183"/>
    </row>
    <row r="35" spans="2:6" s="184" customFormat="1" ht="22.95" customHeight="1" thickBot="1">
      <c r="B35" s="182"/>
      <c r="C35" s="1099" t="s">
        <v>757</v>
      </c>
      <c r="D35" s="1100"/>
      <c r="E35" s="301">
        <f>+E31+E33</f>
        <v>24679424.330000002</v>
      </c>
      <c r="F35" s="183"/>
    </row>
    <row r="36" spans="2:6" s="184" customFormat="1" ht="22.95" customHeight="1">
      <c r="B36" s="182"/>
      <c r="C36" s="303"/>
      <c r="D36" s="303"/>
      <c r="E36" s="304"/>
      <c r="F36" s="183"/>
    </row>
    <row r="37" spans="2:6" s="246" customFormat="1" ht="24" customHeight="1">
      <c r="B37" s="243"/>
      <c r="C37" s="1035" t="s">
        <v>743</v>
      </c>
      <c r="D37" s="1037"/>
      <c r="E37" s="263" t="s">
        <v>582</v>
      </c>
      <c r="F37" s="245"/>
    </row>
    <row r="38" spans="2:6" ht="9" customHeight="1">
      <c r="B38" s="117"/>
      <c r="C38" s="66"/>
      <c r="D38" s="150"/>
      <c r="E38" s="96"/>
      <c r="F38" s="106"/>
    </row>
    <row r="39" spans="2:6" s="184" customFormat="1" ht="22.95" customHeight="1">
      <c r="B39" s="182"/>
      <c r="C39" s="285" t="s">
        <v>286</v>
      </c>
      <c r="D39" s="224" t="s">
        <v>744</v>
      </c>
      <c r="E39" s="168">
        <f>-'FC-3_CPyG'!G30+'FC-3_CPyG'!G33</f>
        <v>5586206.4199999999</v>
      </c>
      <c r="F39" s="183"/>
    </row>
    <row r="40" spans="2:6" s="184" customFormat="1" ht="22.95" customHeight="1">
      <c r="B40" s="182"/>
      <c r="C40" s="188" t="s">
        <v>296</v>
      </c>
      <c r="D40" s="259" t="s">
        <v>745</v>
      </c>
      <c r="E40" s="189">
        <f>-'FC-3_CPyG'!G22+'FC-3_CPyG'!G26-'FC-3_CPyG'!G35-'FC-3_CPyG'!G36-'FC-3_CPyG'!G38-'FC-3_1_INF_ADIC_CPyG'!G59-E42</f>
        <v>4493581.17</v>
      </c>
      <c r="F40" s="183"/>
    </row>
    <row r="41" spans="2:6" s="184" customFormat="1" ht="22.95" customHeight="1">
      <c r="B41" s="182"/>
      <c r="C41" s="188" t="s">
        <v>301</v>
      </c>
      <c r="D41" s="259" t="s">
        <v>493</v>
      </c>
      <c r="E41" s="189">
        <f>-'FC-3_CPyG'!G60-'FC-3_CPyG'!G61-'FC-3_CPyG'!G70</f>
        <v>496822.48</v>
      </c>
      <c r="F41" s="183"/>
    </row>
    <row r="42" spans="2:6" s="184" customFormat="1" ht="22.95" customHeight="1">
      <c r="B42" s="182"/>
      <c r="C42" s="188" t="s">
        <v>305</v>
      </c>
      <c r="D42" s="259" t="s">
        <v>746</v>
      </c>
      <c r="E42" s="169">
        <f>+'FC-3_1_INF_ADIC_CPyG'!G89</f>
        <v>0</v>
      </c>
      <c r="F42" s="183"/>
    </row>
    <row r="43" spans="2:6" s="184" customFormat="1" ht="22.95" customHeight="1">
      <c r="B43" s="182"/>
      <c r="C43" s="1095" t="s">
        <v>747</v>
      </c>
      <c r="D43" s="1096"/>
      <c r="E43" s="292">
        <f>SUM(E39:E42)</f>
        <v>10576610.07</v>
      </c>
      <c r="F43" s="183"/>
    </row>
    <row r="44" spans="2:6" s="184" customFormat="1" ht="9" customHeight="1">
      <c r="B44" s="182"/>
      <c r="C44" s="22"/>
      <c r="D44" s="150"/>
      <c r="E44" s="146"/>
      <c r="F44" s="183"/>
    </row>
    <row r="45" spans="2:6" s="184" customFormat="1" ht="22.95" customHeight="1">
      <c r="B45" s="182"/>
      <c r="C45" s="285" t="s">
        <v>316</v>
      </c>
      <c r="D45" s="224" t="s">
        <v>748</v>
      </c>
      <c r="E45" s="168"/>
      <c r="F45" s="183"/>
    </row>
    <row r="46" spans="2:6" s="184" customFormat="1" ht="22.95" customHeight="1">
      <c r="B46" s="182"/>
      <c r="C46" s="188" t="s">
        <v>318</v>
      </c>
      <c r="D46" s="259" t="s">
        <v>735</v>
      </c>
      <c r="E46" s="189"/>
      <c r="F46" s="183"/>
    </row>
    <row r="47" spans="2:6" s="184" customFormat="1" ht="22.95" customHeight="1">
      <c r="B47" s="182"/>
      <c r="C47" s="1095" t="s">
        <v>749</v>
      </c>
      <c r="D47" s="1096"/>
      <c r="E47" s="292">
        <f>SUM(E45:E46)</f>
        <v>0</v>
      </c>
      <c r="F47" s="183"/>
    </row>
    <row r="48" spans="2:6" s="184" customFormat="1" ht="9" customHeight="1">
      <c r="B48" s="182"/>
      <c r="C48" s="22"/>
      <c r="D48" s="150"/>
      <c r="E48" s="146"/>
      <c r="F48" s="183"/>
    </row>
    <row r="49" spans="2:8" s="184" customFormat="1" ht="22.95" customHeight="1">
      <c r="B49" s="182"/>
      <c r="C49" s="285" t="s">
        <v>369</v>
      </c>
      <c r="D49" s="224" t="s">
        <v>737</v>
      </c>
      <c r="E49" s="168"/>
      <c r="F49" s="183"/>
    </row>
    <row r="50" spans="2:8" s="184" customFormat="1" ht="22.95" customHeight="1">
      <c r="B50" s="182"/>
      <c r="C50" s="188" t="s">
        <v>371</v>
      </c>
      <c r="D50" s="259" t="s">
        <v>738</v>
      </c>
      <c r="E50" s="189"/>
      <c r="F50" s="183"/>
    </row>
    <row r="51" spans="2:8" s="184" customFormat="1" ht="22.95" customHeight="1">
      <c r="B51" s="182"/>
      <c r="C51" s="1095" t="s">
        <v>750</v>
      </c>
      <c r="D51" s="1096"/>
      <c r="E51" s="292">
        <f>SUM(E49:E50)</f>
        <v>0</v>
      </c>
      <c r="F51" s="183"/>
    </row>
    <row r="52" spans="2:8" s="184" customFormat="1" ht="22.95" customHeight="1">
      <c r="B52" s="182"/>
      <c r="C52" s="150"/>
      <c r="D52" s="209"/>
      <c r="E52" s="211"/>
      <c r="F52" s="183"/>
    </row>
    <row r="53" spans="2:8" s="302" customFormat="1" ht="22.95" customHeight="1" thickBot="1">
      <c r="B53" s="111"/>
      <c r="C53" s="1099" t="s">
        <v>751</v>
      </c>
      <c r="D53" s="1100"/>
      <c r="E53" s="301">
        <f>E43+E47+E51</f>
        <v>10576610.07</v>
      </c>
      <c r="F53" s="114"/>
    </row>
    <row r="54" spans="2:8" s="184" customFormat="1" ht="9" customHeight="1">
      <c r="B54" s="182"/>
      <c r="C54" s="22"/>
      <c r="D54" s="150"/>
      <c r="E54" s="146"/>
      <c r="F54" s="183"/>
    </row>
    <row r="55" spans="2:8" s="184" customFormat="1" ht="22.95" customHeight="1">
      <c r="B55" s="182"/>
      <c r="C55" s="1095" t="s">
        <v>752</v>
      </c>
      <c r="D55" s="1096"/>
      <c r="E55" s="292">
        <f>IF('FC-3_CPyG'!G20&lt;0,-'FC-3_CPyG'!G20,0)-'FC-3_CPyG'!G26-'FC-3_CPyG'!G33-'FC-3_CPyG'!G37-'FC-3_CPyG'!G40-'FC-3_CPyG'!G44-'FC-3_CPyG'!G62-'FC-3_CPyG'!G66-'FC-3_CPyG'!G67</f>
        <v>4018565.34</v>
      </c>
      <c r="F55" s="183"/>
    </row>
    <row r="56" spans="2:8" s="184" customFormat="1" ht="9" customHeight="1">
      <c r="B56" s="182"/>
      <c r="C56" s="22"/>
      <c r="D56" s="150"/>
      <c r="E56" s="146"/>
      <c r="F56" s="183"/>
    </row>
    <row r="57" spans="2:8" s="184" customFormat="1" ht="22.95" customHeight="1" thickBot="1">
      <c r="B57" s="182"/>
      <c r="C57" s="1099" t="s">
        <v>758</v>
      </c>
      <c r="D57" s="1100"/>
      <c r="E57" s="301">
        <f>+E53+E55</f>
        <v>14595175.41</v>
      </c>
      <c r="F57" s="183"/>
    </row>
    <row r="58" spans="2:8" s="184" customFormat="1" ht="22.95" customHeight="1">
      <c r="B58" s="182"/>
      <c r="C58" s="303"/>
      <c r="D58" s="303"/>
      <c r="E58" s="304"/>
      <c r="F58" s="183"/>
    </row>
    <row r="59" spans="2:8" s="302" customFormat="1" ht="22.95" customHeight="1" thickBot="1">
      <c r="B59" s="111"/>
      <c r="C59" s="305" t="s">
        <v>753</v>
      </c>
      <c r="D59" s="306"/>
      <c r="E59" s="307">
        <f>+E35-E57</f>
        <v>10084248.920000002</v>
      </c>
      <c r="F59" s="114"/>
      <c r="H59" s="184"/>
    </row>
    <row r="60" spans="2:8" s="184" customFormat="1" ht="22.95" customHeight="1" thickTop="1">
      <c r="B60" s="182"/>
      <c r="C60" s="22"/>
      <c r="D60" s="150"/>
      <c r="E60" s="146"/>
      <c r="F60" s="183"/>
    </row>
    <row r="61" spans="2:8" ht="22.95" customHeight="1" thickBot="1">
      <c r="B61" s="121"/>
      <c r="C61" s="1003"/>
      <c r="D61" s="1003"/>
      <c r="E61" s="122"/>
      <c r="F61" s="123"/>
      <c r="H61" s="184"/>
    </row>
    <row r="62" spans="2:8" ht="22.95" customHeight="1">
      <c r="C62" s="104"/>
      <c r="D62" s="104"/>
      <c r="E62" s="105"/>
    </row>
    <row r="63" spans="2:8" ht="13.2">
      <c r="C63" s="124" t="s">
        <v>174</v>
      </c>
      <c r="D63" s="104"/>
      <c r="E63" s="95" t="s">
        <v>171</v>
      </c>
    </row>
    <row r="64" spans="2:8" ht="13.2">
      <c r="C64" s="125" t="s">
        <v>175</v>
      </c>
      <c r="D64" s="104"/>
      <c r="E64" s="105"/>
    </row>
    <row r="65" spans="3:5" ht="13.2">
      <c r="C65" s="125" t="s">
        <v>176</v>
      </c>
      <c r="D65" s="104"/>
      <c r="E65" s="105"/>
    </row>
    <row r="66" spans="3:5" ht="13.2">
      <c r="C66" s="125" t="s">
        <v>177</v>
      </c>
      <c r="D66" s="104"/>
      <c r="E66" s="105"/>
    </row>
    <row r="67" spans="3:5" ht="13.2">
      <c r="C67" s="125" t="s">
        <v>178</v>
      </c>
      <c r="D67" s="104"/>
      <c r="E67" s="105"/>
    </row>
    <row r="68" spans="3:5" ht="22.95" customHeight="1">
      <c r="C68" s="104"/>
      <c r="D68" s="104"/>
      <c r="E68" s="105"/>
    </row>
    <row r="69" spans="3:5" ht="22.95" customHeight="1">
      <c r="C69" s="104"/>
      <c r="D69" s="104"/>
      <c r="E69" s="105"/>
    </row>
    <row r="70" spans="3:5" ht="22.95" customHeight="1">
      <c r="C70" s="104"/>
      <c r="D70" s="104"/>
      <c r="E70" s="105"/>
    </row>
    <row r="71" spans="3:5" ht="22.95" customHeight="1">
      <c r="C71" s="104"/>
      <c r="D71" s="104"/>
      <c r="E71" s="105"/>
    </row>
    <row r="72" spans="3:5" ht="22.95" customHeight="1">
      <c r="E72" s="105"/>
    </row>
  </sheetData>
  <sheetProtection password="E059" sheet="1" objects="1" scenarios="1"/>
  <mergeCells count="18">
    <mergeCell ref="C25:D25"/>
    <mergeCell ref="C55:D55"/>
    <mergeCell ref="C31:D31"/>
    <mergeCell ref="C33:D33"/>
    <mergeCell ref="C29:D29"/>
    <mergeCell ref="C61:D61"/>
    <mergeCell ref="C43:D43"/>
    <mergeCell ref="C47:D47"/>
    <mergeCell ref="C57:D57"/>
    <mergeCell ref="C35:D35"/>
    <mergeCell ref="C37:D37"/>
    <mergeCell ref="C51:D51"/>
    <mergeCell ref="C53:D53"/>
    <mergeCell ref="E6:E7"/>
    <mergeCell ref="D9:E9"/>
    <mergeCell ref="C12:D12"/>
    <mergeCell ref="C14:D14"/>
    <mergeCell ref="C21:D21"/>
  </mergeCells>
  <phoneticPr fontId="19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tabSelected="1" workbookViewId="0">
      <selection activeCell="L16" sqref="L16"/>
    </sheetView>
  </sheetViews>
  <sheetFormatPr baseColWidth="10" defaultColWidth="10.54296875" defaultRowHeight="22.95" customHeight="1"/>
  <cols>
    <col min="1" max="1" width="3" style="2" customWidth="1"/>
    <col min="2" max="2" width="3.1796875" style="2" customWidth="1"/>
    <col min="3" max="3" width="12.1796875" style="2" customWidth="1"/>
    <col min="4" max="4" width="7.54296875" style="2" customWidth="1"/>
    <col min="5" max="5" width="15.453125" style="2" customWidth="1"/>
    <col min="6" max="7" width="18.453125" style="2" customWidth="1"/>
    <col min="8" max="8" width="13" style="2" customWidth="1"/>
    <col min="9" max="9" width="3.54296875" style="2" customWidth="1"/>
    <col min="10" max="16384" width="10.54296875" style="2"/>
  </cols>
  <sheetData>
    <row r="1" spans="2:24" ht="22.95" customHeight="1">
      <c r="E1" s="3"/>
    </row>
    <row r="2" spans="2:24" ht="22.95" customHeight="1">
      <c r="D2" s="61" t="s">
        <v>128</v>
      </c>
    </row>
    <row r="3" spans="2:24" ht="22.95" customHeight="1">
      <c r="D3" s="61" t="s">
        <v>129</v>
      </c>
    </row>
    <row r="4" spans="2:24" ht="22.95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377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9"/>
    </row>
    <row r="6" spans="2:24" ht="30" customHeight="1">
      <c r="B6" s="8"/>
      <c r="C6" s="1" t="s">
        <v>97</v>
      </c>
      <c r="D6" s="23"/>
      <c r="E6" s="23"/>
      <c r="F6" s="23"/>
      <c r="G6" s="3"/>
      <c r="H6" s="984">
        <f>ejercicio</f>
        <v>2018</v>
      </c>
      <c r="I6" s="9"/>
      <c r="K6" s="380"/>
      <c r="L6" s="381" t="s">
        <v>810</v>
      </c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  <c r="X6" s="383"/>
    </row>
    <row r="7" spans="2:24" ht="30" customHeight="1">
      <c r="B7" s="8"/>
      <c r="C7" s="1" t="s">
        <v>98</v>
      </c>
      <c r="D7" s="3"/>
      <c r="E7" s="3"/>
      <c r="F7" s="3"/>
      <c r="G7" s="3"/>
      <c r="H7" s="984">
        <v>2018</v>
      </c>
      <c r="I7" s="9"/>
      <c r="K7" s="380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3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380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2"/>
      <c r="X8" s="383"/>
    </row>
    <row r="9" spans="2:24" ht="30" customHeight="1">
      <c r="B9" s="8"/>
      <c r="C9" s="39" t="s">
        <v>99</v>
      </c>
      <c r="D9" s="989" t="str">
        <f>Entidad</f>
        <v>INSTITUTO TECNOLÓGICO Y DE ENERGÍAS RENOVALBES S.A. (ITER)</v>
      </c>
      <c r="E9" s="989"/>
      <c r="F9" s="989"/>
      <c r="G9" s="989"/>
      <c r="H9" s="989"/>
      <c r="I9" s="9"/>
      <c r="K9" s="384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6"/>
    </row>
    <row r="10" spans="2:24" ht="7.2" customHeight="1">
      <c r="B10" s="8"/>
      <c r="C10" s="3"/>
      <c r="D10" s="3"/>
      <c r="E10" s="3"/>
      <c r="F10" s="3"/>
      <c r="G10" s="3"/>
      <c r="H10" s="10"/>
      <c r="I10" s="9"/>
      <c r="K10" s="380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2"/>
      <c r="X10" s="383"/>
    </row>
    <row r="11" spans="2:24" s="12" customFormat="1" ht="30" customHeight="1">
      <c r="B11" s="24"/>
      <c r="C11" s="11" t="s">
        <v>173</v>
      </c>
      <c r="D11" s="11"/>
      <c r="E11" s="11"/>
      <c r="F11" s="11"/>
      <c r="G11" s="11"/>
      <c r="H11" s="11"/>
      <c r="I11" s="25"/>
      <c r="K11" s="387"/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8"/>
      <c r="X11" s="389"/>
    </row>
    <row r="12" spans="2:24" ht="22.95" customHeight="1">
      <c r="B12" s="8"/>
      <c r="C12" s="3"/>
      <c r="D12" s="3"/>
      <c r="E12" s="3"/>
      <c r="F12" s="3"/>
      <c r="G12" s="3"/>
      <c r="H12" s="3"/>
      <c r="I12" s="9"/>
      <c r="K12" s="387"/>
      <c r="L12" s="388"/>
      <c r="M12" s="388"/>
      <c r="N12" s="388"/>
      <c r="O12" s="388"/>
      <c r="P12" s="388"/>
      <c r="Q12" s="388"/>
      <c r="R12" s="388"/>
      <c r="S12" s="388"/>
      <c r="T12" s="388"/>
      <c r="U12" s="388"/>
      <c r="V12" s="388"/>
      <c r="W12" s="388"/>
      <c r="X12" s="389"/>
    </row>
    <row r="13" spans="2:24" ht="22.95" customHeight="1">
      <c r="B13" s="8"/>
      <c r="C13" s="13" t="s">
        <v>788</v>
      </c>
      <c r="D13" s="13"/>
      <c r="E13" s="13"/>
      <c r="F13" s="13"/>
      <c r="G13" s="13"/>
      <c r="H13" s="499">
        <f>+H15+H19</f>
        <v>10</v>
      </c>
      <c r="I13" s="9"/>
      <c r="K13" s="380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2"/>
      <c r="X13" s="383"/>
    </row>
    <row r="14" spans="2:24" ht="22.95" customHeight="1">
      <c r="B14" s="8"/>
      <c r="C14" s="3"/>
      <c r="D14" s="3"/>
      <c r="E14" s="3"/>
      <c r="F14" s="3"/>
      <c r="G14" s="3"/>
      <c r="H14" s="3"/>
      <c r="I14" s="9"/>
      <c r="K14" s="380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3"/>
    </row>
    <row r="15" spans="2:24" ht="22.95" customHeight="1">
      <c r="B15" s="8"/>
      <c r="C15" s="3"/>
      <c r="D15" s="500" t="s">
        <v>789</v>
      </c>
      <c r="E15" s="500"/>
      <c r="F15" s="500"/>
      <c r="G15" s="500"/>
      <c r="H15" s="501">
        <f>H16+H17</f>
        <v>10</v>
      </c>
      <c r="I15" s="9"/>
      <c r="K15" s="380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3"/>
    </row>
    <row r="16" spans="2:24" ht="22.95" customHeight="1">
      <c r="B16" s="8"/>
      <c r="C16" s="3"/>
      <c r="D16" s="3"/>
      <c r="E16" s="26" t="s">
        <v>100</v>
      </c>
      <c r="F16" s="26"/>
      <c r="G16" s="26"/>
      <c r="H16" s="409">
        <v>10</v>
      </c>
      <c r="I16" s="9"/>
      <c r="K16" s="380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2"/>
      <c r="X16" s="383"/>
    </row>
    <row r="17" spans="2:24" ht="22.95" customHeight="1">
      <c r="B17" s="8"/>
      <c r="C17" s="3"/>
      <c r="D17" s="3"/>
      <c r="E17" s="26" t="s">
        <v>101</v>
      </c>
      <c r="F17" s="26"/>
      <c r="G17" s="26"/>
      <c r="H17" s="409"/>
      <c r="I17" s="9"/>
      <c r="K17" s="380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2"/>
      <c r="X17" s="383"/>
    </row>
    <row r="18" spans="2:24" ht="22.95" customHeight="1">
      <c r="B18" s="8"/>
      <c r="C18" s="3"/>
      <c r="D18" s="3"/>
      <c r="E18" s="3"/>
      <c r="F18" s="3"/>
      <c r="G18" s="3"/>
      <c r="H18" s="3"/>
      <c r="I18" s="9"/>
      <c r="K18" s="380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  <c r="X18" s="383"/>
    </row>
    <row r="19" spans="2:24" ht="22.95" customHeight="1">
      <c r="B19" s="8"/>
      <c r="C19" s="3"/>
      <c r="D19" s="500" t="s">
        <v>790</v>
      </c>
      <c r="E19" s="500"/>
      <c r="F19" s="500"/>
      <c r="G19" s="500"/>
      <c r="H19" s="502"/>
      <c r="I19" s="9"/>
      <c r="K19" s="380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2"/>
      <c r="X19" s="383"/>
    </row>
    <row r="20" spans="2:24" ht="22.95" customHeight="1">
      <c r="B20" s="8"/>
      <c r="C20" s="3"/>
      <c r="D20" s="3"/>
      <c r="E20" s="3"/>
      <c r="F20" s="3"/>
      <c r="G20" s="3"/>
      <c r="H20" s="3"/>
      <c r="I20" s="9"/>
      <c r="K20" s="380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3"/>
    </row>
    <row r="21" spans="2:24" ht="22.95" customHeight="1">
      <c r="B21" s="8"/>
      <c r="C21" s="3"/>
      <c r="D21" s="3"/>
      <c r="E21" s="3"/>
      <c r="F21" s="3"/>
      <c r="G21" s="3"/>
      <c r="H21" s="3"/>
      <c r="I21" s="9"/>
      <c r="K21" s="380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2"/>
      <c r="X21" s="383"/>
    </row>
    <row r="22" spans="2:24" ht="31.2" customHeight="1">
      <c r="B22" s="8"/>
      <c r="C22" s="27" t="s">
        <v>103</v>
      </c>
      <c r="D22" s="27" t="s">
        <v>102</v>
      </c>
      <c r="E22" s="27"/>
      <c r="F22" s="27"/>
      <c r="G22" s="27"/>
      <c r="H22" s="28" t="s">
        <v>104</v>
      </c>
      <c r="I22" s="9"/>
      <c r="K22" s="380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2"/>
      <c r="X22" s="383"/>
    </row>
    <row r="23" spans="2:24" ht="22.95" customHeight="1">
      <c r="B23" s="8"/>
      <c r="C23" s="29" t="s">
        <v>791</v>
      </c>
      <c r="D23" s="504" t="s">
        <v>55</v>
      </c>
      <c r="E23" s="503"/>
      <c r="F23" s="503"/>
      <c r="G23" s="503"/>
      <c r="H23" s="410">
        <v>42278</v>
      </c>
      <c r="I23" s="9"/>
      <c r="K23" s="380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3"/>
    </row>
    <row r="24" spans="2:24" ht="22.95" customHeight="1">
      <c r="B24" s="8"/>
      <c r="C24" s="30" t="s">
        <v>792</v>
      </c>
      <c r="D24" s="504" t="s">
        <v>56</v>
      </c>
      <c r="E24" s="504"/>
      <c r="F24" s="504"/>
      <c r="G24" s="504"/>
      <c r="H24" s="411">
        <v>42278</v>
      </c>
      <c r="I24" s="9"/>
      <c r="K24" s="380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2"/>
      <c r="X24" s="383"/>
    </row>
    <row r="25" spans="2:24" ht="22.95" customHeight="1">
      <c r="B25" s="8"/>
      <c r="C25" s="30" t="s">
        <v>793</v>
      </c>
      <c r="D25" s="504" t="s">
        <v>57</v>
      </c>
      <c r="E25" s="504"/>
      <c r="F25" s="504"/>
      <c r="G25" s="504"/>
      <c r="H25" s="411"/>
      <c r="I25" s="9"/>
      <c r="K25" s="380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3"/>
    </row>
    <row r="26" spans="2:24" ht="22.95" customHeight="1">
      <c r="B26" s="8"/>
      <c r="C26" s="30" t="s">
        <v>794</v>
      </c>
      <c r="D26" s="504"/>
      <c r="E26" s="504"/>
      <c r="F26" s="504"/>
      <c r="G26" s="504"/>
      <c r="H26" s="411"/>
      <c r="I26" s="9"/>
      <c r="K26" s="380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2"/>
      <c r="X26" s="383"/>
    </row>
    <row r="27" spans="2:24" ht="22.95" customHeight="1">
      <c r="B27" s="8"/>
      <c r="C27" s="30" t="s">
        <v>105</v>
      </c>
      <c r="D27" s="504" t="s">
        <v>58</v>
      </c>
      <c r="E27" s="504"/>
      <c r="F27" s="504"/>
      <c r="G27" s="504"/>
      <c r="H27" s="411">
        <v>42278</v>
      </c>
      <c r="I27" s="9"/>
      <c r="K27" s="380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2"/>
      <c r="X27" s="383"/>
    </row>
    <row r="28" spans="2:24" ht="22.95" customHeight="1">
      <c r="B28" s="8"/>
      <c r="C28" s="30" t="s">
        <v>106</v>
      </c>
      <c r="D28" s="504" t="s">
        <v>59</v>
      </c>
      <c r="E28" s="504"/>
      <c r="F28" s="504"/>
      <c r="G28" s="504"/>
      <c r="H28" s="411">
        <v>42278</v>
      </c>
      <c r="I28" s="9"/>
      <c r="K28" s="380"/>
      <c r="L28" s="382"/>
      <c r="M28" s="382"/>
      <c r="N28" s="382"/>
      <c r="O28" s="382"/>
      <c r="P28" s="382"/>
      <c r="Q28" s="382"/>
      <c r="R28" s="382"/>
      <c r="S28" s="382"/>
      <c r="T28" s="382"/>
      <c r="U28" s="382"/>
      <c r="V28" s="382"/>
      <c r="W28" s="382"/>
      <c r="X28" s="383"/>
    </row>
    <row r="29" spans="2:24" ht="22.95" customHeight="1">
      <c r="B29" s="8"/>
      <c r="C29" s="30" t="s">
        <v>107</v>
      </c>
      <c r="D29" s="504" t="s">
        <v>60</v>
      </c>
      <c r="E29" s="504"/>
      <c r="F29" s="504"/>
      <c r="G29" s="504"/>
      <c r="H29" s="411">
        <v>42278</v>
      </c>
      <c r="I29" s="9"/>
      <c r="K29" s="380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2"/>
      <c r="X29" s="383"/>
    </row>
    <row r="30" spans="2:24" ht="22.95" customHeight="1">
      <c r="B30" s="8"/>
      <c r="C30" s="30" t="s">
        <v>108</v>
      </c>
      <c r="D30" s="504" t="s">
        <v>61</v>
      </c>
      <c r="E30" s="504"/>
      <c r="F30" s="504"/>
      <c r="G30" s="504"/>
      <c r="H30" s="411">
        <v>42278</v>
      </c>
      <c r="I30" s="9"/>
      <c r="K30" s="390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1"/>
      <c r="X30" s="392"/>
    </row>
    <row r="31" spans="2:24" ht="22.95" customHeight="1">
      <c r="B31" s="8"/>
      <c r="C31" s="30" t="s">
        <v>109</v>
      </c>
      <c r="D31" s="504" t="s">
        <v>62</v>
      </c>
      <c r="E31" s="504"/>
      <c r="F31" s="504"/>
      <c r="G31" s="504"/>
      <c r="H31" s="411">
        <v>42278</v>
      </c>
      <c r="I31" s="9"/>
      <c r="K31" s="390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1"/>
      <c r="X31" s="392"/>
    </row>
    <row r="32" spans="2:24" ht="22.95" customHeight="1">
      <c r="B32" s="8"/>
      <c r="C32" s="30" t="s">
        <v>110</v>
      </c>
      <c r="D32" s="504" t="s">
        <v>63</v>
      </c>
      <c r="E32" s="504"/>
      <c r="F32" s="504"/>
      <c r="G32" s="504"/>
      <c r="H32" s="411">
        <v>42278</v>
      </c>
      <c r="I32" s="9"/>
      <c r="K32" s="380"/>
      <c r="L32" s="382"/>
      <c r="M32" s="382"/>
      <c r="N32" s="382"/>
      <c r="O32" s="382"/>
      <c r="P32" s="382"/>
      <c r="Q32" s="382"/>
      <c r="R32" s="382"/>
      <c r="S32" s="382"/>
      <c r="T32" s="382"/>
      <c r="U32" s="382"/>
      <c r="V32" s="382"/>
      <c r="W32" s="382"/>
      <c r="X32" s="383"/>
    </row>
    <row r="33" spans="2:25" ht="22.95" customHeight="1">
      <c r="B33" s="8"/>
      <c r="C33" s="30" t="s">
        <v>111</v>
      </c>
      <c r="D33" s="504" t="s">
        <v>64</v>
      </c>
      <c r="E33" s="504"/>
      <c r="F33" s="504"/>
      <c r="G33" s="504"/>
      <c r="H33" s="411">
        <v>42278</v>
      </c>
      <c r="I33" s="9"/>
      <c r="K33" s="380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2"/>
      <c r="X33" s="383"/>
    </row>
    <row r="34" spans="2:25" ht="22.95" customHeight="1">
      <c r="B34" s="8"/>
      <c r="C34" s="30" t="s">
        <v>112</v>
      </c>
      <c r="D34" s="504"/>
      <c r="E34" s="504"/>
      <c r="F34" s="504"/>
      <c r="G34" s="504"/>
      <c r="H34" s="411"/>
      <c r="I34" s="9"/>
      <c r="K34" s="380"/>
      <c r="L34" s="382"/>
      <c r="M34" s="382"/>
      <c r="N34" s="382"/>
      <c r="O34" s="382"/>
      <c r="P34" s="382"/>
      <c r="Q34" s="382"/>
      <c r="R34" s="382"/>
      <c r="S34" s="382"/>
      <c r="T34" s="382"/>
      <c r="U34" s="382"/>
      <c r="V34" s="382"/>
      <c r="W34" s="382"/>
      <c r="X34" s="383"/>
    </row>
    <row r="35" spans="2:25" ht="22.95" customHeight="1">
      <c r="B35" s="8"/>
      <c r="C35" s="30" t="s">
        <v>113</v>
      </c>
      <c r="D35" s="504"/>
      <c r="E35" s="504"/>
      <c r="F35" s="504"/>
      <c r="G35" s="504"/>
      <c r="H35" s="411"/>
      <c r="I35" s="9"/>
      <c r="K35" s="380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2"/>
      <c r="X35" s="383"/>
    </row>
    <row r="36" spans="2:25" ht="22.95" customHeight="1">
      <c r="B36" s="8"/>
      <c r="C36" s="30" t="s">
        <v>114</v>
      </c>
      <c r="D36" s="504"/>
      <c r="E36" s="504"/>
      <c r="F36" s="504"/>
      <c r="G36" s="504"/>
      <c r="H36" s="411"/>
      <c r="I36" s="9"/>
      <c r="K36" s="393"/>
      <c r="L36" s="394"/>
      <c r="M36" s="394"/>
      <c r="N36" s="394"/>
      <c r="O36" s="394"/>
      <c r="P36" s="394"/>
      <c r="Q36" s="394"/>
      <c r="R36" s="394"/>
      <c r="S36" s="394"/>
      <c r="T36" s="394"/>
      <c r="U36" s="394"/>
      <c r="V36" s="394"/>
      <c r="W36" s="394"/>
      <c r="X36" s="395"/>
    </row>
    <row r="37" spans="2:25" ht="22.95" customHeight="1">
      <c r="B37" s="8"/>
      <c r="C37" s="30" t="s">
        <v>115</v>
      </c>
      <c r="D37" s="504"/>
      <c r="E37" s="504"/>
      <c r="F37" s="504"/>
      <c r="G37" s="504"/>
      <c r="H37" s="411"/>
      <c r="I37" s="9"/>
      <c r="K37" s="393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4"/>
      <c r="X37" s="395"/>
    </row>
    <row r="38" spans="2:25" ht="22.95" customHeight="1">
      <c r="B38" s="8"/>
      <c r="C38" s="30" t="s">
        <v>116</v>
      </c>
      <c r="D38" s="504"/>
      <c r="E38" s="504"/>
      <c r="F38" s="504"/>
      <c r="G38" s="504"/>
      <c r="H38" s="411"/>
      <c r="I38" s="9"/>
      <c r="K38" s="393"/>
      <c r="L38" s="394"/>
      <c r="M38" s="394"/>
      <c r="N38" s="394"/>
      <c r="O38" s="394"/>
      <c r="P38" s="394"/>
      <c r="Q38" s="394"/>
      <c r="R38" s="394"/>
      <c r="S38" s="394"/>
      <c r="T38" s="394"/>
      <c r="U38" s="394"/>
      <c r="V38" s="394"/>
      <c r="W38" s="394"/>
      <c r="X38" s="395"/>
    </row>
    <row r="39" spans="2:25" ht="22.95" customHeight="1">
      <c r="B39" s="8"/>
      <c r="C39" s="31"/>
      <c r="D39" s="32"/>
      <c r="E39" s="32"/>
      <c r="F39" s="32"/>
      <c r="G39" s="32"/>
      <c r="H39" s="33"/>
      <c r="I39" s="9"/>
      <c r="K39" s="393"/>
      <c r="L39" s="394"/>
      <c r="M39" s="394"/>
      <c r="N39" s="394"/>
      <c r="O39" s="394"/>
      <c r="P39" s="394"/>
      <c r="Q39" s="394"/>
      <c r="R39" s="394"/>
      <c r="S39" s="394"/>
      <c r="T39" s="394"/>
      <c r="U39" s="394"/>
      <c r="V39" s="394"/>
      <c r="W39" s="394"/>
      <c r="X39" s="395"/>
    </row>
    <row r="40" spans="2:25" ht="22.95" customHeight="1">
      <c r="B40" s="8"/>
      <c r="C40" s="34" t="s">
        <v>795</v>
      </c>
      <c r="D40" s="505" t="s">
        <v>65</v>
      </c>
      <c r="E40" s="505"/>
      <c r="F40" s="505"/>
      <c r="G40" s="505"/>
      <c r="H40" s="412"/>
      <c r="I40" s="9"/>
      <c r="K40" s="380"/>
      <c r="L40" s="382"/>
      <c r="M40" s="382"/>
      <c r="N40" s="382"/>
      <c r="O40" s="382"/>
      <c r="P40" s="382"/>
      <c r="Q40" s="382"/>
      <c r="R40" s="382"/>
      <c r="S40" s="382"/>
      <c r="T40" s="382"/>
      <c r="U40" s="382"/>
      <c r="V40" s="382"/>
      <c r="W40" s="382"/>
      <c r="X40" s="383"/>
    </row>
    <row r="41" spans="2:25" ht="22.95" customHeight="1">
      <c r="B41" s="8"/>
      <c r="C41" s="34" t="s">
        <v>133</v>
      </c>
      <c r="D41" s="933" t="s">
        <v>66</v>
      </c>
      <c r="E41" s="504"/>
      <c r="F41" s="504"/>
      <c r="G41" s="504"/>
      <c r="H41" s="412"/>
      <c r="I41" s="9"/>
      <c r="K41" s="380"/>
      <c r="L41" s="382"/>
      <c r="M41" s="382"/>
      <c r="N41" s="382"/>
      <c r="O41" s="382"/>
      <c r="P41" s="382"/>
      <c r="Q41" s="382"/>
      <c r="R41" s="382"/>
      <c r="S41" s="382"/>
      <c r="T41" s="382"/>
      <c r="U41" s="382"/>
      <c r="V41" s="382"/>
      <c r="W41" s="382"/>
      <c r="X41" s="383"/>
    </row>
    <row r="42" spans="2:25" ht="22.95" customHeight="1" thickBot="1">
      <c r="B42" s="18"/>
      <c r="C42" s="19"/>
      <c r="D42" s="19"/>
      <c r="E42" s="19"/>
      <c r="F42" s="19"/>
      <c r="G42" s="35"/>
      <c r="H42" s="19"/>
      <c r="I42" s="20"/>
      <c r="K42" s="396"/>
      <c r="L42" s="397"/>
      <c r="M42" s="397"/>
      <c r="N42" s="397"/>
      <c r="O42" s="397"/>
      <c r="P42" s="397"/>
      <c r="Q42" s="397"/>
      <c r="R42" s="397"/>
      <c r="S42" s="397"/>
      <c r="T42" s="397"/>
      <c r="U42" s="397"/>
      <c r="V42" s="397"/>
      <c r="W42" s="397"/>
      <c r="X42" s="398"/>
    </row>
    <row r="43" spans="2:25" ht="22.95" customHeight="1">
      <c r="G43" s="36"/>
    </row>
    <row r="44" spans="2:25" s="42" customFormat="1" ht="15">
      <c r="C44" s="37" t="s">
        <v>174</v>
      </c>
      <c r="G44" s="43"/>
      <c r="H44" s="41" t="s">
        <v>134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175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176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177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178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5" customHeight="1">
      <c r="G49" s="36"/>
    </row>
    <row r="50" spans="7:7" ht="22.95" customHeight="1">
      <c r="G50" s="36"/>
    </row>
    <row r="51" spans="7:7" ht="22.95" customHeight="1">
      <c r="G51" s="36"/>
    </row>
    <row r="52" spans="7:7" ht="22.95" customHeight="1">
      <c r="G52" s="36"/>
    </row>
    <row r="53" spans="7:7" ht="22.95" customHeight="1">
      <c r="G53" s="36"/>
    </row>
    <row r="54" spans="7:7" ht="22.95" customHeight="1">
      <c r="G54" s="36"/>
    </row>
    <row r="55" spans="7:7" ht="22.95" customHeight="1">
      <c r="G55" s="36"/>
    </row>
  </sheetData>
  <sheetProtection password="E059" sheet="1" objects="1" scenarios="1"/>
  <mergeCells count="2">
    <mergeCell ref="H6:H7"/>
    <mergeCell ref="D9:H9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zoomScale="70" zoomScaleNormal="70" workbookViewId="0">
      <selection activeCell="B1" sqref="B1:Q61"/>
    </sheetView>
  </sheetViews>
  <sheetFormatPr baseColWidth="10" defaultColWidth="10.54296875" defaultRowHeight="22.95" customHeight="1"/>
  <cols>
    <col min="1" max="2" width="3.1796875" style="687" customWidth="1"/>
    <col min="3" max="3" width="13.54296875" style="687" customWidth="1"/>
    <col min="4" max="4" width="16.453125" style="687" customWidth="1"/>
    <col min="5" max="5" width="14" style="687" customWidth="1"/>
    <col min="6" max="7" width="16.453125" style="687" customWidth="1"/>
    <col min="8" max="8" width="10.1796875" style="687" customWidth="1"/>
    <col min="9" max="9" width="13" style="687" customWidth="1"/>
    <col min="10" max="10" width="10.54296875" style="687"/>
    <col min="11" max="11" width="2" style="687" customWidth="1"/>
    <col min="12" max="15" width="10.54296875" style="687"/>
    <col min="16" max="16" width="30.453125" style="687" customWidth="1"/>
    <col min="17" max="17" width="3.453125" style="687" customWidth="1"/>
    <col min="18" max="16384" width="10.54296875" style="687"/>
  </cols>
  <sheetData>
    <row r="1" spans="2:32" ht="22.95" customHeight="1">
      <c r="D1" s="688"/>
    </row>
    <row r="2" spans="2:32" ht="22.95" customHeight="1">
      <c r="D2" s="689" t="s">
        <v>128</v>
      </c>
    </row>
    <row r="3" spans="2:32" ht="22.95" customHeight="1">
      <c r="D3" s="689" t="s">
        <v>129</v>
      </c>
    </row>
    <row r="4" spans="2:32" ht="22.95" customHeight="1" thickBot="1"/>
    <row r="5" spans="2:32" ht="9" customHeight="1">
      <c r="B5" s="690"/>
      <c r="C5" s="691"/>
      <c r="D5" s="691"/>
      <c r="E5" s="691"/>
      <c r="F5" s="691"/>
      <c r="G5" s="691"/>
      <c r="H5" s="691"/>
      <c r="I5" s="691"/>
      <c r="J5" s="691"/>
      <c r="K5" s="691"/>
      <c r="L5" s="691"/>
      <c r="M5" s="691"/>
      <c r="N5" s="691"/>
      <c r="O5" s="691"/>
      <c r="P5" s="691"/>
      <c r="Q5" s="692"/>
      <c r="S5" s="377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9"/>
    </row>
    <row r="6" spans="2:32" ht="30" customHeight="1">
      <c r="B6" s="693"/>
      <c r="C6" s="694" t="s">
        <v>97</v>
      </c>
      <c r="D6" s="688"/>
      <c r="E6" s="688"/>
      <c r="F6" s="688"/>
      <c r="G6" s="688"/>
      <c r="H6" s="688"/>
      <c r="I6" s="688"/>
      <c r="J6" s="688"/>
      <c r="K6" s="688"/>
      <c r="L6" s="688"/>
      <c r="M6" s="688"/>
      <c r="N6" s="688"/>
      <c r="P6" s="990">
        <f>ejercicio</f>
        <v>2018</v>
      </c>
      <c r="Q6" s="695"/>
      <c r="S6" s="380"/>
      <c r="T6" s="381" t="s">
        <v>810</v>
      </c>
      <c r="U6" s="382"/>
      <c r="V6" s="382"/>
      <c r="W6" s="382"/>
      <c r="X6" s="382"/>
      <c r="Y6" s="382"/>
      <c r="Z6" s="382"/>
      <c r="AA6" s="382"/>
      <c r="AB6" s="382"/>
      <c r="AC6" s="382"/>
      <c r="AD6" s="382"/>
      <c r="AE6" s="382"/>
      <c r="AF6" s="383"/>
    </row>
    <row r="7" spans="2:32" ht="30" customHeight="1">
      <c r="B7" s="693"/>
      <c r="C7" s="694" t="s">
        <v>98</v>
      </c>
      <c r="D7" s="688"/>
      <c r="E7" s="688"/>
      <c r="F7" s="688"/>
      <c r="G7" s="688"/>
      <c r="H7" s="688"/>
      <c r="I7" s="688"/>
      <c r="J7" s="688"/>
      <c r="K7" s="688"/>
      <c r="L7" s="688"/>
      <c r="M7" s="696"/>
      <c r="N7" s="688"/>
      <c r="P7" s="990"/>
      <c r="Q7" s="695"/>
      <c r="S7" s="380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2"/>
      <c r="AE7" s="382"/>
      <c r="AF7" s="383"/>
    </row>
    <row r="8" spans="2:32" ht="30" customHeight="1">
      <c r="B8" s="693"/>
      <c r="C8" s="697"/>
      <c r="D8" s="688"/>
      <c r="E8" s="688"/>
      <c r="F8" s="688"/>
      <c r="G8" s="688"/>
      <c r="H8" s="688"/>
      <c r="I8" s="688"/>
      <c r="J8" s="688"/>
      <c r="K8" s="688"/>
      <c r="L8" s="688"/>
      <c r="M8" s="696"/>
      <c r="N8" s="688"/>
      <c r="O8" s="698"/>
      <c r="P8" s="698"/>
      <c r="Q8" s="695"/>
      <c r="S8" s="380"/>
      <c r="T8" s="382"/>
      <c r="U8" s="382"/>
      <c r="V8" s="382"/>
      <c r="W8" s="382"/>
      <c r="X8" s="382"/>
      <c r="Y8" s="382"/>
      <c r="Z8" s="382"/>
      <c r="AA8" s="382"/>
      <c r="AB8" s="382"/>
      <c r="AC8" s="382"/>
      <c r="AD8" s="382"/>
      <c r="AE8" s="382"/>
      <c r="AF8" s="383"/>
    </row>
    <row r="9" spans="2:32" s="702" customFormat="1" ht="30" customHeight="1">
      <c r="B9" s="699"/>
      <c r="C9" s="700" t="s">
        <v>99</v>
      </c>
      <c r="D9" s="992" t="str">
        <f>Entidad</f>
        <v>INSTITUTO TECNOLÓGICO Y DE ENERGÍAS RENOVALBES S.A. (ITER)</v>
      </c>
      <c r="E9" s="992"/>
      <c r="F9" s="992"/>
      <c r="G9" s="992"/>
      <c r="H9" s="992"/>
      <c r="I9" s="992"/>
      <c r="J9" s="992"/>
      <c r="K9" s="992"/>
      <c r="L9" s="992"/>
      <c r="M9" s="992"/>
      <c r="N9" s="992"/>
      <c r="O9" s="992"/>
      <c r="P9" s="682"/>
      <c r="Q9" s="701"/>
      <c r="S9" s="384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5"/>
      <c r="AF9" s="386"/>
    </row>
    <row r="10" spans="2:32" ht="7.2" customHeight="1">
      <c r="B10" s="693"/>
      <c r="C10" s="688"/>
      <c r="D10" s="688"/>
      <c r="E10" s="688"/>
      <c r="F10" s="688"/>
      <c r="G10" s="688"/>
      <c r="H10" s="688"/>
      <c r="I10" s="696"/>
      <c r="J10" s="688"/>
      <c r="K10" s="688"/>
      <c r="L10" s="688"/>
      <c r="M10" s="688"/>
      <c r="N10" s="688"/>
      <c r="O10" s="688"/>
      <c r="P10" s="688"/>
      <c r="Q10" s="695"/>
      <c r="S10" s="380"/>
      <c r="T10" s="382"/>
      <c r="U10" s="382"/>
      <c r="V10" s="382"/>
      <c r="W10" s="382"/>
      <c r="X10" s="382"/>
      <c r="Y10" s="382"/>
      <c r="Z10" s="382"/>
      <c r="AA10" s="382"/>
      <c r="AB10" s="382"/>
      <c r="AC10" s="382"/>
      <c r="AD10" s="382"/>
      <c r="AE10" s="382"/>
      <c r="AF10" s="383"/>
    </row>
    <row r="11" spans="2:32" s="706" customFormat="1" ht="30" customHeight="1">
      <c r="B11" s="703"/>
      <c r="C11" s="704" t="s">
        <v>180</v>
      </c>
      <c r="D11" s="704"/>
      <c r="E11" s="704"/>
      <c r="F11" s="704"/>
      <c r="G11" s="704"/>
      <c r="H11" s="704"/>
      <c r="I11" s="704"/>
      <c r="J11" s="704"/>
      <c r="K11" s="704"/>
      <c r="L11" s="704"/>
      <c r="M11" s="704"/>
      <c r="N11" s="704"/>
      <c r="O11" s="704"/>
      <c r="P11" s="704"/>
      <c r="Q11" s="705"/>
      <c r="S11" s="387"/>
      <c r="T11" s="388"/>
      <c r="U11" s="388"/>
      <c r="V11" s="388"/>
      <c r="W11" s="388"/>
      <c r="X11" s="388"/>
      <c r="Y11" s="388"/>
      <c r="Z11" s="388"/>
      <c r="AA11" s="388"/>
      <c r="AB11" s="388"/>
      <c r="AC11" s="388"/>
      <c r="AD11" s="388"/>
      <c r="AE11" s="388"/>
      <c r="AF11" s="389"/>
    </row>
    <row r="12" spans="2:32" ht="22.95" customHeight="1">
      <c r="B12" s="693"/>
      <c r="C12" s="688"/>
      <c r="D12" s="688"/>
      <c r="E12" s="688"/>
      <c r="F12" s="688"/>
      <c r="G12" s="688"/>
      <c r="H12" s="688"/>
      <c r="I12" s="688"/>
      <c r="J12" s="688"/>
      <c r="K12" s="688"/>
      <c r="L12" s="688"/>
      <c r="M12" s="688"/>
      <c r="N12" s="688"/>
      <c r="O12" s="688"/>
      <c r="P12" s="688"/>
      <c r="Q12" s="695"/>
      <c r="S12" s="387"/>
      <c r="T12" s="388"/>
      <c r="U12" s="388"/>
      <c r="V12" s="388"/>
      <c r="W12" s="388"/>
      <c r="X12" s="388"/>
      <c r="Y12" s="388"/>
      <c r="Z12" s="388"/>
      <c r="AA12" s="388"/>
      <c r="AB12" s="388"/>
      <c r="AC12" s="388"/>
      <c r="AD12" s="388"/>
      <c r="AE12" s="388"/>
      <c r="AF12" s="389"/>
    </row>
    <row r="13" spans="2:32" ht="22.95" customHeight="1">
      <c r="B13" s="693"/>
      <c r="C13" s="707" t="s">
        <v>863</v>
      </c>
      <c r="D13" s="707"/>
      <c r="E13" s="707"/>
      <c r="F13" s="707"/>
      <c r="G13" s="707"/>
      <c r="H13" s="707"/>
      <c r="I13" s="707"/>
      <c r="J13" s="707"/>
      <c r="K13" s="707"/>
      <c r="L13" s="707"/>
      <c r="M13" s="707"/>
      <c r="N13" s="707"/>
      <c r="O13" s="707"/>
      <c r="P13" s="707"/>
      <c r="Q13" s="695"/>
      <c r="S13" s="380"/>
      <c r="T13" s="382"/>
      <c r="U13" s="382"/>
      <c r="V13" s="382"/>
      <c r="W13" s="382"/>
      <c r="X13" s="382"/>
      <c r="Y13" s="382"/>
      <c r="Z13" s="382"/>
      <c r="AA13" s="382"/>
      <c r="AB13" s="382"/>
      <c r="AC13" s="382"/>
      <c r="AD13" s="382"/>
      <c r="AE13" s="382"/>
      <c r="AF13" s="383"/>
    </row>
    <row r="14" spans="2:32" ht="22.95" customHeight="1">
      <c r="B14" s="693"/>
      <c r="C14" s="697"/>
      <c r="D14" s="697"/>
      <c r="E14" s="697"/>
      <c r="F14" s="697"/>
      <c r="G14" s="697"/>
      <c r="H14" s="697"/>
      <c r="I14" s="697"/>
      <c r="J14" s="697"/>
      <c r="K14" s="697"/>
      <c r="L14" s="697"/>
      <c r="M14" s="697"/>
      <c r="N14" s="697"/>
      <c r="O14" s="697"/>
      <c r="P14" s="697"/>
      <c r="Q14" s="695"/>
      <c r="S14" s="380"/>
      <c r="T14" s="382"/>
      <c r="U14" s="382"/>
      <c r="V14" s="382"/>
      <c r="W14" s="382"/>
      <c r="X14" s="382"/>
      <c r="Y14" s="382"/>
      <c r="Z14" s="382"/>
      <c r="AA14" s="382"/>
      <c r="AB14" s="382"/>
      <c r="AC14" s="382"/>
      <c r="AD14" s="382"/>
      <c r="AE14" s="382"/>
      <c r="AF14" s="383"/>
    </row>
    <row r="15" spans="2:32" ht="22.95" customHeight="1">
      <c r="B15" s="693"/>
      <c r="C15" s="688"/>
      <c r="D15" s="688"/>
      <c r="E15" s="688"/>
      <c r="F15" s="995" t="s">
        <v>862</v>
      </c>
      <c r="G15" s="995"/>
      <c r="H15" s="995"/>
      <c r="I15" s="708">
        <f>ejercicio-2</f>
        <v>2016</v>
      </c>
      <c r="J15" s="709"/>
      <c r="K15" s="688"/>
      <c r="L15" s="995" t="s">
        <v>861</v>
      </c>
      <c r="M15" s="995"/>
      <c r="N15" s="995"/>
      <c r="O15" s="710">
        <f>ejercicio-1</f>
        <v>2017</v>
      </c>
      <c r="P15" s="711"/>
      <c r="Q15" s="695"/>
      <c r="S15" s="380"/>
      <c r="T15" s="382"/>
      <c r="U15" s="382"/>
      <c r="V15" s="382"/>
      <c r="W15" s="382"/>
      <c r="X15" s="382"/>
      <c r="Y15" s="382"/>
      <c r="Z15" s="382"/>
      <c r="AA15" s="382"/>
      <c r="AB15" s="382"/>
      <c r="AC15" s="382"/>
      <c r="AD15" s="382"/>
      <c r="AE15" s="382"/>
      <c r="AF15" s="383"/>
    </row>
    <row r="16" spans="2:32" s="719" customFormat="1" ht="51" customHeight="1">
      <c r="B16" s="712"/>
      <c r="C16" s="713" t="s">
        <v>117</v>
      </c>
      <c r="D16" s="713"/>
      <c r="E16" s="714" t="s">
        <v>118</v>
      </c>
      <c r="F16" s="714" t="s">
        <v>119</v>
      </c>
      <c r="G16" s="714" t="s">
        <v>858</v>
      </c>
      <c r="H16" s="715" t="s">
        <v>857</v>
      </c>
      <c r="I16" s="714" t="s">
        <v>865</v>
      </c>
      <c r="J16" s="714" t="s">
        <v>866</v>
      </c>
      <c r="K16" s="714"/>
      <c r="L16" s="716" t="s">
        <v>868</v>
      </c>
      <c r="M16" s="716" t="s">
        <v>121</v>
      </c>
      <c r="N16" s="716" t="s">
        <v>869</v>
      </c>
      <c r="O16" s="716" t="s">
        <v>123</v>
      </c>
      <c r="P16" s="717" t="s">
        <v>688</v>
      </c>
      <c r="Q16" s="718"/>
      <c r="S16" s="380"/>
      <c r="T16" s="382"/>
      <c r="U16" s="382"/>
      <c r="V16" s="382"/>
      <c r="W16" s="382"/>
      <c r="X16" s="382"/>
      <c r="Y16" s="382"/>
      <c r="Z16" s="382"/>
      <c r="AA16" s="382"/>
      <c r="AB16" s="382"/>
      <c r="AC16" s="382"/>
      <c r="AD16" s="382"/>
      <c r="AE16" s="382"/>
      <c r="AF16" s="383"/>
    </row>
    <row r="17" spans="2:32" ht="22.95" customHeight="1">
      <c r="B17" s="693"/>
      <c r="C17" s="413" t="s">
        <v>174</v>
      </c>
      <c r="D17" s="413"/>
      <c r="E17" s="934" t="s">
        <v>95</v>
      </c>
      <c r="F17" s="414">
        <v>0.92859999999999998</v>
      </c>
      <c r="G17" s="728">
        <v>429766</v>
      </c>
      <c r="H17" s="935" t="s">
        <v>67</v>
      </c>
      <c r="I17" s="415">
        <v>60.1</v>
      </c>
      <c r="J17" s="415"/>
      <c r="K17" s="415"/>
      <c r="L17" s="415"/>
      <c r="M17" s="415"/>
      <c r="N17" s="415"/>
      <c r="O17" s="415"/>
      <c r="P17" s="415"/>
      <c r="Q17" s="695"/>
      <c r="S17" s="380"/>
      <c r="T17" s="382"/>
      <c r="U17" s="382"/>
      <c r="V17" s="382"/>
      <c r="W17" s="382"/>
      <c r="X17" s="382"/>
      <c r="Y17" s="382"/>
      <c r="Z17" s="382"/>
      <c r="AA17" s="382"/>
      <c r="AB17" s="382"/>
      <c r="AC17" s="382"/>
      <c r="AD17" s="382"/>
      <c r="AE17" s="382"/>
      <c r="AF17" s="383"/>
    </row>
    <row r="18" spans="2:32" ht="22.95" customHeight="1">
      <c r="B18" s="693"/>
      <c r="C18" s="413" t="s">
        <v>174</v>
      </c>
      <c r="D18" s="416"/>
      <c r="E18" s="934" t="s">
        <v>95</v>
      </c>
      <c r="F18" s="417">
        <v>9.5999999999999992E-3</v>
      </c>
      <c r="G18" s="729">
        <v>4433</v>
      </c>
      <c r="H18" s="935" t="s">
        <v>68</v>
      </c>
      <c r="I18" s="415">
        <v>60.1</v>
      </c>
      <c r="J18" s="419"/>
      <c r="K18" s="419"/>
      <c r="L18" s="419"/>
      <c r="M18" s="419"/>
      <c r="N18" s="419"/>
      <c r="O18" s="419"/>
      <c r="P18" s="419"/>
      <c r="Q18" s="695"/>
      <c r="S18" s="380"/>
      <c r="T18" s="382"/>
      <c r="U18" s="382"/>
      <c r="V18" s="382"/>
      <c r="W18" s="382"/>
      <c r="X18" s="382"/>
      <c r="Y18" s="382"/>
      <c r="Z18" s="382"/>
      <c r="AA18" s="382"/>
      <c r="AB18" s="382"/>
      <c r="AC18" s="382"/>
      <c r="AD18" s="382"/>
      <c r="AE18" s="382"/>
      <c r="AF18" s="383"/>
    </row>
    <row r="19" spans="2:32" ht="22.95" customHeight="1">
      <c r="B19" s="693"/>
      <c r="C19" s="416" t="s">
        <v>96</v>
      </c>
      <c r="D19" s="416"/>
      <c r="E19" s="731" t="s">
        <v>69</v>
      </c>
      <c r="F19" s="417">
        <v>2.7199999999999998E-2</v>
      </c>
      <c r="G19" s="729">
        <v>12574</v>
      </c>
      <c r="H19" s="935" t="s">
        <v>68</v>
      </c>
      <c r="I19" s="415">
        <v>60.1</v>
      </c>
      <c r="J19" s="419"/>
      <c r="K19" s="419"/>
      <c r="L19" s="419"/>
      <c r="M19" s="419"/>
      <c r="N19" s="419"/>
      <c r="O19" s="419"/>
      <c r="P19" s="419"/>
      <c r="Q19" s="695"/>
      <c r="S19" s="380"/>
      <c r="T19" s="382"/>
      <c r="U19" s="382"/>
      <c r="V19" s="382"/>
      <c r="W19" s="382"/>
      <c r="X19" s="382"/>
      <c r="Y19" s="382"/>
      <c r="Z19" s="382"/>
      <c r="AA19" s="382"/>
      <c r="AB19" s="382"/>
      <c r="AC19" s="382"/>
      <c r="AD19" s="382"/>
      <c r="AE19" s="382"/>
      <c r="AF19" s="383"/>
    </row>
    <row r="20" spans="2:32" ht="22.95" customHeight="1">
      <c r="B20" s="693"/>
      <c r="C20" s="416" t="s">
        <v>70</v>
      </c>
      <c r="D20" s="416"/>
      <c r="E20" s="934" t="s">
        <v>71</v>
      </c>
      <c r="F20" s="417">
        <v>3.4700000000000002E-2</v>
      </c>
      <c r="G20" s="729">
        <v>16057</v>
      </c>
      <c r="H20" s="729" t="s">
        <v>68</v>
      </c>
      <c r="I20" s="415">
        <v>60.1</v>
      </c>
      <c r="J20" s="419"/>
      <c r="K20" s="419"/>
      <c r="L20" s="419"/>
      <c r="M20" s="419"/>
      <c r="N20" s="419"/>
      <c r="O20" s="419"/>
      <c r="P20" s="419"/>
      <c r="Q20" s="695"/>
      <c r="S20" s="380"/>
      <c r="T20" s="382"/>
      <c r="U20" s="382"/>
      <c r="V20" s="382"/>
      <c r="W20" s="382"/>
      <c r="X20" s="382"/>
      <c r="Y20" s="382"/>
      <c r="Z20" s="382"/>
      <c r="AA20" s="382"/>
      <c r="AB20" s="382"/>
      <c r="AC20" s="382"/>
      <c r="AD20" s="382"/>
      <c r="AE20" s="382"/>
      <c r="AF20" s="383"/>
    </row>
    <row r="21" spans="2:32" ht="22.95" customHeight="1">
      <c r="B21" s="693"/>
      <c r="C21" s="416"/>
      <c r="D21" s="416"/>
      <c r="E21" s="731"/>
      <c r="F21" s="417"/>
      <c r="G21" s="729"/>
      <c r="H21" s="935"/>
      <c r="I21" s="419"/>
      <c r="J21" s="419"/>
      <c r="K21" s="419"/>
      <c r="L21" s="419"/>
      <c r="M21" s="419"/>
      <c r="N21" s="419"/>
      <c r="O21" s="419"/>
      <c r="P21" s="419"/>
      <c r="Q21" s="695"/>
      <c r="S21" s="380"/>
      <c r="T21" s="382"/>
      <c r="U21" s="382"/>
      <c r="V21" s="382"/>
      <c r="W21" s="382"/>
      <c r="X21" s="382"/>
      <c r="Y21" s="382"/>
      <c r="Z21" s="382"/>
      <c r="AA21" s="382"/>
      <c r="AB21" s="382"/>
      <c r="AC21" s="382"/>
      <c r="AD21" s="382"/>
      <c r="AE21" s="382"/>
      <c r="AF21" s="383"/>
    </row>
    <row r="22" spans="2:32" ht="22.95" customHeight="1">
      <c r="B22" s="693"/>
      <c r="C22" s="416"/>
      <c r="D22" s="416"/>
      <c r="E22" s="731"/>
      <c r="F22" s="417"/>
      <c r="G22" s="729"/>
      <c r="H22" s="935"/>
      <c r="I22" s="419"/>
      <c r="J22" s="419"/>
      <c r="K22" s="419"/>
      <c r="L22" s="419"/>
      <c r="M22" s="419"/>
      <c r="N22" s="419"/>
      <c r="O22" s="419"/>
      <c r="P22" s="419"/>
      <c r="Q22" s="695"/>
      <c r="S22" s="380"/>
      <c r="T22" s="382"/>
      <c r="U22" s="382"/>
      <c r="V22" s="382"/>
      <c r="W22" s="382"/>
      <c r="X22" s="382"/>
      <c r="Y22" s="382"/>
      <c r="Z22" s="382"/>
      <c r="AA22" s="382"/>
      <c r="AB22" s="382"/>
      <c r="AC22" s="382"/>
      <c r="AD22" s="382"/>
      <c r="AE22" s="382"/>
      <c r="AF22" s="383"/>
    </row>
    <row r="23" spans="2:32" ht="22.95" customHeight="1">
      <c r="B23" s="693"/>
      <c r="C23" s="416"/>
      <c r="D23" s="416"/>
      <c r="E23" s="731"/>
      <c r="F23" s="417"/>
      <c r="G23" s="729"/>
      <c r="H23" s="935"/>
      <c r="I23" s="419"/>
      <c r="J23" s="419"/>
      <c r="K23" s="419"/>
      <c r="L23" s="419"/>
      <c r="M23" s="419"/>
      <c r="N23" s="419"/>
      <c r="O23" s="419"/>
      <c r="P23" s="419"/>
      <c r="Q23" s="695"/>
      <c r="S23" s="380"/>
      <c r="T23" s="382"/>
      <c r="U23" s="382"/>
      <c r="V23" s="382"/>
      <c r="W23" s="382"/>
      <c r="X23" s="382"/>
      <c r="Y23" s="382"/>
      <c r="Z23" s="382"/>
      <c r="AA23" s="382"/>
      <c r="AB23" s="382"/>
      <c r="AC23" s="382"/>
      <c r="AD23" s="382"/>
      <c r="AE23" s="382"/>
      <c r="AF23" s="383"/>
    </row>
    <row r="24" spans="2:32" ht="22.95" customHeight="1">
      <c r="B24" s="693"/>
      <c r="C24" s="416"/>
      <c r="D24" s="416"/>
      <c r="E24" s="731"/>
      <c r="F24" s="417"/>
      <c r="G24" s="729"/>
      <c r="H24" s="935"/>
      <c r="I24" s="419"/>
      <c r="J24" s="419"/>
      <c r="K24" s="419"/>
      <c r="L24" s="419"/>
      <c r="M24" s="419"/>
      <c r="N24" s="419"/>
      <c r="O24" s="419"/>
      <c r="P24" s="419"/>
      <c r="Q24" s="695"/>
      <c r="S24" s="380"/>
      <c r="T24" s="382"/>
      <c r="U24" s="382"/>
      <c r="V24" s="382"/>
      <c r="W24" s="382"/>
      <c r="X24" s="382"/>
      <c r="Y24" s="382"/>
      <c r="Z24" s="382"/>
      <c r="AA24" s="382"/>
      <c r="AB24" s="382"/>
      <c r="AC24" s="382"/>
      <c r="AD24" s="382"/>
      <c r="AE24" s="382"/>
      <c r="AF24" s="383"/>
    </row>
    <row r="25" spans="2:32" ht="22.95" customHeight="1">
      <c r="B25" s="693"/>
      <c r="C25" s="416"/>
      <c r="D25" s="416"/>
      <c r="E25" s="731"/>
      <c r="F25" s="417"/>
      <c r="G25" s="729"/>
      <c r="H25" s="935"/>
      <c r="I25" s="419"/>
      <c r="J25" s="419"/>
      <c r="K25" s="419"/>
      <c r="L25" s="419"/>
      <c r="M25" s="419"/>
      <c r="N25" s="419"/>
      <c r="O25" s="419"/>
      <c r="P25" s="419"/>
      <c r="Q25" s="695"/>
      <c r="S25" s="380"/>
      <c r="T25" s="382"/>
      <c r="U25" s="382"/>
      <c r="V25" s="382"/>
      <c r="W25" s="382"/>
      <c r="X25" s="382"/>
      <c r="Y25" s="382"/>
      <c r="Z25" s="382"/>
      <c r="AA25" s="382"/>
      <c r="AB25" s="382"/>
      <c r="AC25" s="382"/>
      <c r="AD25" s="382"/>
      <c r="AE25" s="382"/>
      <c r="AF25" s="383"/>
    </row>
    <row r="26" spans="2:32" ht="22.95" customHeight="1">
      <c r="B26" s="693"/>
      <c r="C26" s="416"/>
      <c r="D26" s="416"/>
      <c r="E26" s="731"/>
      <c r="F26" s="417"/>
      <c r="G26" s="729"/>
      <c r="H26" s="729"/>
      <c r="I26" s="419"/>
      <c r="J26" s="419"/>
      <c r="K26" s="419"/>
      <c r="L26" s="419"/>
      <c r="M26" s="419"/>
      <c r="N26" s="419"/>
      <c r="O26" s="419"/>
      <c r="P26" s="419"/>
      <c r="Q26" s="695"/>
      <c r="S26" s="380"/>
      <c r="T26" s="382"/>
      <c r="U26" s="382"/>
      <c r="V26" s="382"/>
      <c r="W26" s="382"/>
      <c r="X26" s="382"/>
      <c r="Y26" s="382"/>
      <c r="Z26" s="382"/>
      <c r="AA26" s="382"/>
      <c r="AB26" s="382"/>
      <c r="AC26" s="382"/>
      <c r="AD26" s="382"/>
      <c r="AE26" s="382"/>
      <c r="AF26" s="383"/>
    </row>
    <row r="27" spans="2:32" ht="22.95" customHeight="1">
      <c r="B27" s="693"/>
      <c r="C27" s="416"/>
      <c r="D27" s="416"/>
      <c r="E27" s="731"/>
      <c r="F27" s="417"/>
      <c r="G27" s="729"/>
      <c r="H27" s="729"/>
      <c r="I27" s="419"/>
      <c r="J27" s="419"/>
      <c r="K27" s="419"/>
      <c r="L27" s="419"/>
      <c r="M27" s="419"/>
      <c r="N27" s="419"/>
      <c r="O27" s="419"/>
      <c r="P27" s="419"/>
      <c r="Q27" s="695"/>
      <c r="S27" s="380"/>
      <c r="T27" s="382"/>
      <c r="U27" s="382"/>
      <c r="V27" s="382"/>
      <c r="W27" s="382"/>
      <c r="X27" s="382"/>
      <c r="Y27" s="382"/>
      <c r="Z27" s="382"/>
      <c r="AA27" s="382"/>
      <c r="AB27" s="382"/>
      <c r="AC27" s="382"/>
      <c r="AD27" s="382"/>
      <c r="AE27" s="382"/>
      <c r="AF27" s="383"/>
    </row>
    <row r="28" spans="2:32" ht="22.95" customHeight="1">
      <c r="B28" s="693"/>
      <c r="C28" s="688"/>
      <c r="D28" s="688"/>
      <c r="E28" s="688"/>
      <c r="F28" s="688"/>
      <c r="G28" s="688"/>
      <c r="H28" s="688"/>
      <c r="I28" s="688"/>
      <c r="J28" s="688"/>
      <c r="K28" s="688"/>
      <c r="L28" s="688"/>
      <c r="M28" s="688"/>
      <c r="N28" s="688"/>
      <c r="O28" s="688"/>
      <c r="P28" s="688"/>
      <c r="Q28" s="695"/>
      <c r="S28" s="380"/>
      <c r="T28" s="382"/>
      <c r="U28" s="382"/>
      <c r="V28" s="382"/>
      <c r="W28" s="382"/>
      <c r="X28" s="382"/>
      <c r="Y28" s="382"/>
      <c r="Z28" s="382"/>
      <c r="AA28" s="382"/>
      <c r="AB28" s="382"/>
      <c r="AC28" s="382"/>
      <c r="AD28" s="382"/>
      <c r="AE28" s="382"/>
      <c r="AF28" s="383"/>
    </row>
    <row r="29" spans="2:32" ht="22.95" customHeight="1">
      <c r="B29" s="693"/>
      <c r="C29" s="707" t="s">
        <v>124</v>
      </c>
      <c r="D29" s="707"/>
      <c r="E29" s="707"/>
      <c r="F29" s="707"/>
      <c r="G29" s="707"/>
      <c r="H29" s="707"/>
      <c r="I29" s="707"/>
      <c r="J29" s="707"/>
      <c r="K29" s="707"/>
      <c r="L29" s="707"/>
      <c r="M29" s="707"/>
      <c r="N29" s="707"/>
      <c r="O29" s="707"/>
      <c r="P29" s="707"/>
      <c r="Q29" s="695"/>
      <c r="S29" s="380"/>
      <c r="T29" s="382"/>
      <c r="U29" s="382"/>
      <c r="V29" s="382"/>
      <c r="W29" s="382"/>
      <c r="X29" s="382"/>
      <c r="Y29" s="382"/>
      <c r="Z29" s="382"/>
      <c r="AA29" s="382"/>
      <c r="AB29" s="382"/>
      <c r="AC29" s="382"/>
      <c r="AD29" s="382"/>
      <c r="AE29" s="382"/>
      <c r="AF29" s="383"/>
    </row>
    <row r="30" spans="2:32" ht="22.95" customHeight="1">
      <c r="B30" s="693"/>
      <c r="C30" s="697"/>
      <c r="D30" s="697"/>
      <c r="E30" s="697"/>
      <c r="F30" s="697"/>
      <c r="G30" s="697"/>
      <c r="H30" s="697"/>
      <c r="I30" s="697"/>
      <c r="J30" s="697"/>
      <c r="K30" s="697"/>
      <c r="L30" s="697"/>
      <c r="M30" s="697"/>
      <c r="N30" s="697"/>
      <c r="O30" s="697"/>
      <c r="P30" s="697"/>
      <c r="Q30" s="695"/>
      <c r="S30" s="390"/>
      <c r="T30" s="391"/>
      <c r="U30" s="391"/>
      <c r="V30" s="391"/>
      <c r="W30" s="391"/>
      <c r="X30" s="391"/>
      <c r="Y30" s="391"/>
      <c r="Z30" s="391"/>
      <c r="AA30" s="391"/>
      <c r="AB30" s="391"/>
      <c r="AC30" s="391"/>
      <c r="AD30" s="391"/>
      <c r="AE30" s="391"/>
      <c r="AF30" s="392"/>
    </row>
    <row r="31" spans="2:32" ht="22.95" customHeight="1">
      <c r="B31" s="693"/>
      <c r="C31" s="688"/>
      <c r="D31" s="688"/>
      <c r="E31" s="688"/>
      <c r="F31" s="995" t="s">
        <v>862</v>
      </c>
      <c r="G31" s="995"/>
      <c r="H31" s="995"/>
      <c r="I31" s="708">
        <f>ejercicio-2</f>
        <v>2016</v>
      </c>
      <c r="J31" s="709"/>
      <c r="K31" s="688"/>
      <c r="L31" s="996" t="s">
        <v>861</v>
      </c>
      <c r="M31" s="996"/>
      <c r="N31" s="996"/>
      <c r="O31" s="720">
        <f>ejercicio-1</f>
        <v>2017</v>
      </c>
      <c r="Q31" s="695"/>
      <c r="S31" s="390"/>
      <c r="T31" s="391"/>
      <c r="U31" s="391"/>
      <c r="V31" s="391"/>
      <c r="W31" s="391"/>
      <c r="X31" s="391"/>
      <c r="Y31" s="391"/>
      <c r="Z31" s="391"/>
      <c r="AA31" s="391"/>
      <c r="AB31" s="391"/>
      <c r="AC31" s="391"/>
      <c r="AD31" s="391"/>
      <c r="AE31" s="391"/>
      <c r="AF31" s="392"/>
    </row>
    <row r="32" spans="2:32" ht="43.95" customHeight="1">
      <c r="B32" s="693"/>
      <c r="C32" s="713" t="s">
        <v>117</v>
      </c>
      <c r="D32" s="713"/>
      <c r="E32" s="714" t="s">
        <v>118</v>
      </c>
      <c r="F32" s="714" t="s">
        <v>119</v>
      </c>
      <c r="G32" s="714" t="s">
        <v>858</v>
      </c>
      <c r="H32" s="715" t="s">
        <v>857</v>
      </c>
      <c r="I32" s="714" t="s">
        <v>865</v>
      </c>
      <c r="J32" s="714" t="s">
        <v>125</v>
      </c>
      <c r="K32" s="714"/>
      <c r="L32" s="714" t="s">
        <v>120</v>
      </c>
      <c r="M32" s="714" t="s">
        <v>121</v>
      </c>
      <c r="N32" s="714" t="s">
        <v>122</v>
      </c>
      <c r="O32" s="714" t="s">
        <v>123</v>
      </c>
      <c r="P32" s="717" t="s">
        <v>688</v>
      </c>
      <c r="Q32" s="695"/>
      <c r="S32" s="380"/>
      <c r="T32" s="382"/>
      <c r="U32" s="382"/>
      <c r="V32" s="382"/>
      <c r="W32" s="382"/>
      <c r="X32" s="382"/>
      <c r="Y32" s="382"/>
      <c r="Z32" s="382"/>
      <c r="AA32" s="382"/>
      <c r="AB32" s="382"/>
      <c r="AC32" s="382"/>
      <c r="AD32" s="382"/>
      <c r="AE32" s="382"/>
      <c r="AF32" s="383"/>
    </row>
    <row r="33" spans="2:32" ht="22.95" customHeight="1">
      <c r="B33" s="693"/>
      <c r="C33" s="413" t="s">
        <v>72</v>
      </c>
      <c r="D33" s="413"/>
      <c r="E33" s="730" t="s">
        <v>73</v>
      </c>
      <c r="F33" s="414">
        <v>0.5</v>
      </c>
      <c r="G33" s="728">
        <v>35</v>
      </c>
      <c r="H33" s="935" t="s">
        <v>71</v>
      </c>
      <c r="I33" s="415">
        <v>6010.12</v>
      </c>
      <c r="J33" s="415"/>
      <c r="K33" s="415"/>
      <c r="L33" s="415"/>
      <c r="M33" s="415"/>
      <c r="N33" s="415"/>
      <c r="O33" s="415"/>
      <c r="P33" s="415"/>
      <c r="Q33" s="695"/>
      <c r="S33" s="380"/>
      <c r="T33" s="382"/>
      <c r="U33" s="382"/>
      <c r="V33" s="382"/>
      <c r="W33" s="382"/>
      <c r="X33" s="382"/>
      <c r="Y33" s="382"/>
      <c r="Z33" s="382"/>
      <c r="AA33" s="382"/>
      <c r="AB33" s="382"/>
      <c r="AC33" s="382"/>
      <c r="AD33" s="382"/>
      <c r="AE33" s="382"/>
      <c r="AF33" s="383"/>
    </row>
    <row r="34" spans="2:32" ht="22.95" customHeight="1">
      <c r="B34" s="693"/>
      <c r="C34" s="416" t="s">
        <v>74</v>
      </c>
      <c r="D34" s="416"/>
      <c r="E34" s="731" t="s">
        <v>75</v>
      </c>
      <c r="F34" s="417">
        <v>0.39939999999999998</v>
      </c>
      <c r="G34" s="729">
        <v>1626810</v>
      </c>
      <c r="H34" s="935" t="s">
        <v>71</v>
      </c>
      <c r="I34" s="419">
        <v>1</v>
      </c>
      <c r="J34" s="419"/>
      <c r="K34" s="419"/>
      <c r="L34" s="419"/>
      <c r="M34" s="419"/>
      <c r="N34" s="419"/>
      <c r="O34" s="419"/>
      <c r="P34" s="419"/>
      <c r="Q34" s="695"/>
      <c r="S34" s="380"/>
      <c r="T34" s="382"/>
      <c r="U34" s="382"/>
      <c r="V34" s="382"/>
      <c r="W34" s="382"/>
      <c r="X34" s="382"/>
      <c r="Y34" s="382"/>
      <c r="Z34" s="382"/>
      <c r="AA34" s="382"/>
      <c r="AB34" s="382"/>
      <c r="AC34" s="382"/>
      <c r="AD34" s="382"/>
      <c r="AE34" s="382"/>
      <c r="AF34" s="383"/>
    </row>
    <row r="35" spans="2:32" ht="22.95" customHeight="1">
      <c r="B35" s="693"/>
      <c r="C35" s="416" t="s">
        <v>76</v>
      </c>
      <c r="D35" s="416"/>
      <c r="E35" s="731" t="s">
        <v>77</v>
      </c>
      <c r="F35" s="417">
        <v>0.3</v>
      </c>
      <c r="G35" s="729">
        <v>2250000</v>
      </c>
      <c r="H35" s="935" t="s">
        <v>71</v>
      </c>
      <c r="I35" s="419">
        <v>1</v>
      </c>
      <c r="J35" s="419"/>
      <c r="K35" s="419"/>
      <c r="L35" s="419"/>
      <c r="M35" s="419"/>
      <c r="N35" s="419"/>
      <c r="O35" s="419"/>
      <c r="P35" s="419"/>
      <c r="Q35" s="695"/>
      <c r="S35" s="380"/>
      <c r="T35" s="382"/>
      <c r="U35" s="382"/>
      <c r="V35" s="382"/>
      <c r="W35" s="382"/>
      <c r="X35" s="382"/>
      <c r="Y35" s="382"/>
      <c r="Z35" s="382"/>
      <c r="AA35" s="382"/>
      <c r="AB35" s="382"/>
      <c r="AC35" s="382"/>
      <c r="AD35" s="382"/>
      <c r="AE35" s="382"/>
      <c r="AF35" s="383"/>
    </row>
    <row r="36" spans="2:32" ht="22.95" customHeight="1">
      <c r="B36" s="693"/>
      <c r="C36" s="416" t="s">
        <v>78</v>
      </c>
      <c r="D36" s="416"/>
      <c r="E36" s="731" t="s">
        <v>79</v>
      </c>
      <c r="F36" s="417">
        <v>0.21160000000000001</v>
      </c>
      <c r="G36" s="729">
        <v>9724</v>
      </c>
      <c r="H36" s="729" t="s">
        <v>80</v>
      </c>
      <c r="I36" s="419">
        <v>100</v>
      </c>
      <c r="J36" s="419"/>
      <c r="K36" s="419"/>
      <c r="L36" s="419">
        <v>2.9999999999999997E-4</v>
      </c>
      <c r="M36" s="419">
        <v>13</v>
      </c>
      <c r="N36" s="419"/>
      <c r="O36" s="419"/>
      <c r="P36" s="419"/>
      <c r="Q36" s="695"/>
      <c r="S36" s="393"/>
      <c r="T36" s="394"/>
      <c r="U36" s="394"/>
      <c r="V36" s="394"/>
      <c r="W36" s="394"/>
      <c r="X36" s="394"/>
      <c r="Y36" s="394"/>
      <c r="Z36" s="394"/>
      <c r="AA36" s="394"/>
      <c r="AB36" s="394"/>
      <c r="AC36" s="394"/>
      <c r="AD36" s="394"/>
      <c r="AE36" s="394"/>
      <c r="AF36" s="395"/>
    </row>
    <row r="37" spans="2:32" ht="22.95" customHeight="1">
      <c r="B37" s="693"/>
      <c r="C37" s="416" t="s">
        <v>81</v>
      </c>
      <c r="D37" s="416"/>
      <c r="E37" s="731" t="s">
        <v>82</v>
      </c>
      <c r="F37" s="417">
        <v>0.03</v>
      </c>
      <c r="G37" s="729">
        <v>266</v>
      </c>
      <c r="H37" s="935" t="s">
        <v>71</v>
      </c>
      <c r="I37" s="419">
        <v>60.1</v>
      </c>
      <c r="J37" s="419"/>
      <c r="K37" s="419"/>
      <c r="L37" s="419"/>
      <c r="M37" s="419"/>
      <c r="N37" s="419"/>
      <c r="O37" s="419"/>
      <c r="P37" s="419"/>
      <c r="Q37" s="695"/>
      <c r="S37" s="393"/>
      <c r="T37" s="394"/>
      <c r="U37" s="394"/>
      <c r="V37" s="394"/>
      <c r="W37" s="394"/>
      <c r="X37" s="394"/>
      <c r="Y37" s="394"/>
      <c r="Z37" s="394"/>
      <c r="AA37" s="394"/>
      <c r="AB37" s="394"/>
      <c r="AC37" s="394"/>
      <c r="AD37" s="394"/>
      <c r="AE37" s="394"/>
      <c r="AF37" s="395"/>
    </row>
    <row r="38" spans="2:32" ht="22.95" customHeight="1">
      <c r="B38" s="693"/>
      <c r="C38" s="416" t="s">
        <v>83</v>
      </c>
      <c r="D38" s="416"/>
      <c r="E38" s="731" t="s">
        <v>84</v>
      </c>
      <c r="F38" s="417">
        <v>0.3</v>
      </c>
      <c r="G38" s="729">
        <v>180</v>
      </c>
      <c r="H38" s="935" t="s">
        <v>71</v>
      </c>
      <c r="I38" s="419">
        <v>1000</v>
      </c>
      <c r="J38" s="419">
        <v>180000</v>
      </c>
      <c r="K38" s="419"/>
      <c r="L38" s="419"/>
      <c r="M38" s="419"/>
      <c r="N38" s="419"/>
      <c r="O38" s="419"/>
      <c r="P38" s="419"/>
      <c r="Q38" s="695"/>
      <c r="S38" s="393"/>
      <c r="T38" s="394"/>
      <c r="U38" s="394"/>
      <c r="V38" s="394"/>
      <c r="W38" s="394"/>
      <c r="X38" s="394"/>
      <c r="Y38" s="394"/>
      <c r="Z38" s="394"/>
      <c r="AA38" s="394"/>
      <c r="AB38" s="394"/>
      <c r="AC38" s="394"/>
      <c r="AD38" s="394"/>
      <c r="AE38" s="394"/>
      <c r="AF38" s="395"/>
    </row>
    <row r="39" spans="2:32" ht="22.95" customHeight="1">
      <c r="B39" s="693"/>
      <c r="C39" s="416" t="s">
        <v>85</v>
      </c>
      <c r="D39" s="416"/>
      <c r="E39" s="731" t="s">
        <v>86</v>
      </c>
      <c r="F39" s="417">
        <v>1</v>
      </c>
      <c r="G39" s="729">
        <v>602</v>
      </c>
      <c r="H39" s="935" t="s">
        <v>71</v>
      </c>
      <c r="I39" s="419"/>
      <c r="J39" s="419"/>
      <c r="K39" s="419"/>
      <c r="L39" s="419"/>
      <c r="M39" s="419"/>
      <c r="N39" s="419"/>
      <c r="O39" s="419"/>
      <c r="P39" s="419"/>
      <c r="Q39" s="695"/>
      <c r="S39" s="393"/>
      <c r="T39" s="394"/>
      <c r="U39" s="394"/>
      <c r="V39" s="394"/>
      <c r="W39" s="394"/>
      <c r="X39" s="394"/>
      <c r="Y39" s="394"/>
      <c r="Z39" s="394"/>
      <c r="AA39" s="394"/>
      <c r="AB39" s="394"/>
      <c r="AC39" s="394"/>
      <c r="AD39" s="394"/>
      <c r="AE39" s="394"/>
      <c r="AF39" s="395"/>
    </row>
    <row r="40" spans="2:32" ht="22.95" customHeight="1">
      <c r="B40" s="693"/>
      <c r="C40" s="416" t="s">
        <v>87</v>
      </c>
      <c r="D40" s="416"/>
      <c r="E40" s="731" t="s">
        <v>88</v>
      </c>
      <c r="F40" s="417">
        <v>0.12</v>
      </c>
      <c r="G40" s="729">
        <v>120</v>
      </c>
      <c r="H40" s="935" t="s">
        <v>71</v>
      </c>
      <c r="I40" s="419">
        <v>60.2</v>
      </c>
      <c r="J40" s="419">
        <v>5418</v>
      </c>
      <c r="K40" s="419"/>
      <c r="L40" s="419"/>
      <c r="M40" s="419"/>
      <c r="N40" s="419"/>
      <c r="O40" s="419"/>
      <c r="P40" s="419"/>
      <c r="Q40" s="695"/>
      <c r="S40" s="393"/>
      <c r="T40" s="394"/>
      <c r="U40" s="394"/>
      <c r="V40" s="394"/>
      <c r="W40" s="394"/>
      <c r="X40" s="394"/>
      <c r="Y40" s="394"/>
      <c r="Z40" s="394"/>
      <c r="AA40" s="394"/>
      <c r="AB40" s="394"/>
      <c r="AC40" s="394"/>
      <c r="AD40" s="394"/>
      <c r="AE40" s="394"/>
      <c r="AF40" s="395"/>
    </row>
    <row r="41" spans="2:32" ht="22.95" customHeight="1">
      <c r="B41" s="693"/>
      <c r="C41" s="416" t="s">
        <v>89</v>
      </c>
      <c r="D41" s="416"/>
      <c r="E41" s="731" t="s">
        <v>90</v>
      </c>
      <c r="F41" s="417">
        <v>1</v>
      </c>
      <c r="G41" s="729">
        <v>10676</v>
      </c>
      <c r="H41" s="935" t="s">
        <v>71</v>
      </c>
      <c r="I41" s="419"/>
      <c r="J41" s="419">
        <v>3000048.4</v>
      </c>
      <c r="K41" s="419"/>
      <c r="L41" s="419"/>
      <c r="M41" s="419"/>
      <c r="N41" s="419"/>
      <c r="O41" s="419"/>
      <c r="P41" s="419"/>
      <c r="Q41" s="695"/>
      <c r="S41" s="393"/>
      <c r="T41" s="394"/>
      <c r="U41" s="394"/>
      <c r="V41" s="394"/>
      <c r="W41" s="394"/>
      <c r="X41" s="394"/>
      <c r="Y41" s="394"/>
      <c r="Z41" s="394"/>
      <c r="AA41" s="394"/>
      <c r="AB41" s="394"/>
      <c r="AC41" s="394"/>
      <c r="AD41" s="394"/>
      <c r="AE41" s="394"/>
      <c r="AF41" s="395"/>
    </row>
    <row r="42" spans="2:32" ht="22.95" customHeight="1">
      <c r="B42" s="693"/>
      <c r="C42" s="416"/>
      <c r="D42" s="416"/>
      <c r="E42" s="731"/>
      <c r="F42" s="506"/>
      <c r="G42" s="729"/>
      <c r="H42" s="418"/>
      <c r="I42" s="419"/>
      <c r="J42" s="419"/>
      <c r="K42" s="419"/>
      <c r="L42" s="419"/>
      <c r="M42" s="419"/>
      <c r="N42" s="419"/>
      <c r="O42" s="419"/>
      <c r="P42" s="419"/>
      <c r="Q42" s="695"/>
      <c r="S42" s="393"/>
      <c r="T42" s="394"/>
      <c r="U42" s="394"/>
      <c r="V42" s="394"/>
      <c r="W42" s="394"/>
      <c r="X42" s="394"/>
      <c r="Y42" s="394"/>
      <c r="Z42" s="394"/>
      <c r="AA42" s="394"/>
      <c r="AB42" s="394"/>
      <c r="AC42" s="394"/>
      <c r="AD42" s="394"/>
      <c r="AE42" s="394"/>
      <c r="AF42" s="395"/>
    </row>
    <row r="43" spans="2:32" ht="22.95" customHeight="1">
      <c r="B43" s="693"/>
      <c r="C43" s="416"/>
      <c r="D43" s="416"/>
      <c r="E43" s="731"/>
      <c r="F43" s="506"/>
      <c r="G43" s="729"/>
      <c r="H43" s="418"/>
      <c r="I43" s="419"/>
      <c r="J43" s="419"/>
      <c r="K43" s="419"/>
      <c r="L43" s="419"/>
      <c r="M43" s="419"/>
      <c r="N43" s="419"/>
      <c r="O43" s="419"/>
      <c r="P43" s="419"/>
      <c r="Q43" s="695"/>
      <c r="S43" s="393"/>
      <c r="T43" s="394"/>
      <c r="U43" s="394"/>
      <c r="V43" s="394"/>
      <c r="W43" s="394"/>
      <c r="X43" s="394"/>
      <c r="Y43" s="394"/>
      <c r="Z43" s="394"/>
      <c r="AA43" s="394"/>
      <c r="AB43" s="394"/>
      <c r="AC43" s="394"/>
      <c r="AD43" s="394"/>
      <c r="AE43" s="394"/>
      <c r="AF43" s="395"/>
    </row>
    <row r="44" spans="2:32" ht="22.95" customHeight="1">
      <c r="B44" s="693"/>
      <c r="C44" s="688"/>
      <c r="D44" s="688"/>
      <c r="E44" s="688"/>
      <c r="F44" s="688"/>
      <c r="G44" s="688"/>
      <c r="H44" s="688"/>
      <c r="I44" s="688"/>
      <c r="J44" s="688"/>
      <c r="K44" s="688"/>
      <c r="L44" s="688"/>
      <c r="M44" s="688"/>
      <c r="N44" s="688"/>
      <c r="O44" s="688"/>
      <c r="P44" s="688"/>
      <c r="Q44" s="695"/>
      <c r="S44" s="393"/>
      <c r="T44" s="394"/>
      <c r="U44" s="394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395"/>
    </row>
    <row r="45" spans="2:32" ht="22.95" customHeight="1">
      <c r="B45" s="693"/>
      <c r="C45" s="707" t="s">
        <v>126</v>
      </c>
      <c r="D45" s="707"/>
      <c r="E45" s="707"/>
      <c r="F45" s="707"/>
      <c r="G45" s="707"/>
      <c r="H45" s="707"/>
      <c r="I45" s="707"/>
      <c r="J45" s="707"/>
      <c r="K45" s="707"/>
      <c r="L45" s="707"/>
      <c r="M45" s="707"/>
      <c r="N45" s="707"/>
      <c r="O45" s="707"/>
      <c r="P45" s="694"/>
      <c r="Q45" s="695"/>
      <c r="S45" s="393"/>
      <c r="T45" s="394"/>
      <c r="U45" s="394"/>
      <c r="V45" s="394"/>
      <c r="W45" s="394"/>
      <c r="X45" s="394"/>
      <c r="Y45" s="394"/>
      <c r="Z45" s="394"/>
      <c r="AA45" s="394"/>
      <c r="AB45" s="394"/>
      <c r="AC45" s="394"/>
      <c r="AD45" s="394"/>
      <c r="AE45" s="394"/>
      <c r="AF45" s="395"/>
    </row>
    <row r="46" spans="2:32" ht="22.95" customHeight="1">
      <c r="B46" s="693"/>
      <c r="C46" s="694"/>
      <c r="D46" s="694"/>
      <c r="E46" s="694"/>
      <c r="F46" s="694"/>
      <c r="G46" s="694"/>
      <c r="H46" s="694"/>
      <c r="I46" s="694"/>
      <c r="J46" s="694"/>
      <c r="K46" s="694"/>
      <c r="L46" s="694"/>
      <c r="M46" s="694"/>
      <c r="N46" s="694"/>
      <c r="O46" s="694"/>
      <c r="P46" s="694"/>
      <c r="Q46" s="695"/>
      <c r="S46" s="393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5"/>
    </row>
    <row r="47" spans="2:32" ht="22.95" customHeight="1">
      <c r="B47" s="693"/>
      <c r="C47" s="993" t="s">
        <v>127</v>
      </c>
      <c r="D47" s="993"/>
      <c r="E47" s="713"/>
      <c r="F47" s="714"/>
      <c r="G47" s="721"/>
      <c r="H47" s="721"/>
      <c r="I47" s="721"/>
      <c r="J47" s="721"/>
      <c r="K47" s="721"/>
      <c r="L47" s="721"/>
      <c r="M47" s="721"/>
      <c r="N47" s="721"/>
      <c r="O47" s="721"/>
      <c r="P47" s="721"/>
      <c r="Q47" s="695"/>
      <c r="S47" s="393"/>
      <c r="T47" s="394"/>
      <c r="U47" s="394"/>
      <c r="V47" s="394"/>
      <c r="W47" s="394"/>
      <c r="X47" s="394"/>
      <c r="Y47" s="394"/>
      <c r="Z47" s="394"/>
      <c r="AA47" s="394"/>
      <c r="AB47" s="394"/>
      <c r="AC47" s="394"/>
      <c r="AD47" s="394"/>
      <c r="AE47" s="394"/>
      <c r="AF47" s="395"/>
    </row>
    <row r="48" spans="2:32" ht="22.95" customHeight="1">
      <c r="B48" s="693"/>
      <c r="C48" s="994" t="s">
        <v>91</v>
      </c>
      <c r="D48" s="994"/>
      <c r="E48" s="994"/>
      <c r="F48" s="994"/>
      <c r="G48" s="688"/>
      <c r="H48" s="688"/>
      <c r="I48" s="688"/>
      <c r="J48" s="688"/>
      <c r="K48" s="688"/>
      <c r="L48" s="688"/>
      <c r="M48" s="688"/>
      <c r="N48" s="688"/>
      <c r="O48" s="688"/>
      <c r="P48" s="688"/>
      <c r="Q48" s="695"/>
      <c r="S48" s="393"/>
      <c r="T48" s="394"/>
      <c r="U48" s="394"/>
      <c r="V48" s="394"/>
      <c r="W48" s="394"/>
      <c r="X48" s="394"/>
      <c r="Y48" s="394"/>
      <c r="Z48" s="394"/>
      <c r="AA48" s="394"/>
      <c r="AB48" s="394"/>
      <c r="AC48" s="394"/>
      <c r="AD48" s="394"/>
      <c r="AE48" s="394"/>
      <c r="AF48" s="395"/>
    </row>
    <row r="49" spans="2:32" ht="22.95" customHeight="1">
      <c r="B49" s="693"/>
      <c r="C49" s="589"/>
      <c r="D49" s="589"/>
      <c r="E49" s="589"/>
      <c r="F49" s="589"/>
      <c r="G49" s="688"/>
      <c r="H49" s="688"/>
      <c r="I49" s="688"/>
      <c r="J49" s="688"/>
      <c r="K49" s="688"/>
      <c r="L49" s="688"/>
      <c r="M49" s="688"/>
      <c r="N49" s="688"/>
      <c r="O49" s="688"/>
      <c r="P49" s="688"/>
      <c r="Q49" s="695"/>
      <c r="S49" s="393"/>
      <c r="T49" s="394"/>
      <c r="U49" s="394"/>
      <c r="V49" s="394"/>
      <c r="W49" s="394"/>
      <c r="X49" s="394"/>
      <c r="Y49" s="394"/>
      <c r="Z49" s="394"/>
      <c r="AA49" s="394"/>
      <c r="AB49" s="394"/>
      <c r="AC49" s="394"/>
      <c r="AD49" s="394"/>
      <c r="AE49" s="394"/>
      <c r="AF49" s="395"/>
    </row>
    <row r="50" spans="2:32" ht="22.95" customHeight="1">
      <c r="B50" s="693"/>
      <c r="C50" s="589"/>
      <c r="D50" s="589"/>
      <c r="E50" s="589"/>
      <c r="F50" s="589"/>
      <c r="G50" s="688"/>
      <c r="H50" s="688"/>
      <c r="I50" s="688"/>
      <c r="J50" s="688"/>
      <c r="K50" s="688"/>
      <c r="L50" s="688"/>
      <c r="M50" s="688"/>
      <c r="N50" s="688"/>
      <c r="O50" s="688"/>
      <c r="P50" s="688"/>
      <c r="Q50" s="695"/>
      <c r="S50" s="393"/>
      <c r="T50" s="394"/>
      <c r="U50" s="394"/>
      <c r="V50" s="394"/>
      <c r="W50" s="394"/>
      <c r="X50" s="394"/>
      <c r="Y50" s="394"/>
      <c r="Z50" s="394"/>
      <c r="AA50" s="394"/>
      <c r="AB50" s="394"/>
      <c r="AC50" s="394"/>
      <c r="AD50" s="394"/>
      <c r="AE50" s="394"/>
      <c r="AF50" s="395"/>
    </row>
    <row r="51" spans="2:32" ht="22.95" customHeight="1">
      <c r="B51" s="693"/>
      <c r="C51" s="659" t="s">
        <v>514</v>
      </c>
      <c r="D51" s="589"/>
      <c r="E51" s="589"/>
      <c r="F51" s="589"/>
      <c r="G51" s="688"/>
      <c r="H51" s="688"/>
      <c r="I51" s="688"/>
      <c r="J51" s="688"/>
      <c r="K51" s="688"/>
      <c r="L51" s="688"/>
      <c r="M51" s="688"/>
      <c r="N51" s="688"/>
      <c r="O51" s="688"/>
      <c r="P51" s="688"/>
      <c r="Q51" s="695"/>
      <c r="S51" s="393"/>
      <c r="T51" s="394"/>
      <c r="U51" s="394"/>
      <c r="V51" s="394"/>
      <c r="W51" s="394"/>
      <c r="X51" s="394"/>
      <c r="Y51" s="394"/>
      <c r="Z51" s="394"/>
      <c r="AA51" s="394"/>
      <c r="AB51" s="394"/>
      <c r="AC51" s="394"/>
      <c r="AD51" s="394"/>
      <c r="AE51" s="394"/>
      <c r="AF51" s="395"/>
    </row>
    <row r="52" spans="2:32" ht="22.95" customHeight="1">
      <c r="B52" s="693"/>
      <c r="C52" s="660" t="s">
        <v>864</v>
      </c>
      <c r="D52" s="589"/>
      <c r="E52" s="589"/>
      <c r="F52" s="589"/>
      <c r="G52" s="688"/>
      <c r="H52" s="688"/>
      <c r="I52" s="688"/>
      <c r="J52" s="688"/>
      <c r="K52" s="688"/>
      <c r="L52" s="688"/>
      <c r="M52" s="688"/>
      <c r="N52" s="688"/>
      <c r="O52" s="688"/>
      <c r="P52" s="688"/>
      <c r="Q52" s="695"/>
      <c r="S52" s="393"/>
      <c r="T52" s="394"/>
      <c r="U52" s="394"/>
      <c r="V52" s="394"/>
      <c r="W52" s="394"/>
      <c r="X52" s="394"/>
      <c r="Y52" s="394"/>
      <c r="Z52" s="394"/>
      <c r="AA52" s="394"/>
      <c r="AB52" s="394"/>
      <c r="AC52" s="394"/>
      <c r="AD52" s="394"/>
      <c r="AE52" s="394"/>
      <c r="AF52" s="395"/>
    </row>
    <row r="53" spans="2:32" ht="22.95" customHeight="1">
      <c r="B53" s="693"/>
      <c r="C53" s="722" t="s">
        <v>867</v>
      </c>
      <c r="D53" s="589"/>
      <c r="E53" s="589"/>
      <c r="F53" s="589"/>
      <c r="G53" s="688"/>
      <c r="H53" s="688"/>
      <c r="I53" s="688"/>
      <c r="J53" s="688"/>
      <c r="K53" s="688"/>
      <c r="L53" s="688"/>
      <c r="M53" s="688"/>
      <c r="N53" s="688"/>
      <c r="O53" s="688"/>
      <c r="P53" s="688"/>
      <c r="Q53" s="695"/>
      <c r="S53" s="393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5"/>
    </row>
    <row r="54" spans="2:32" ht="22.95" customHeight="1">
      <c r="B54" s="693"/>
      <c r="C54" s="722" t="s">
        <v>2</v>
      </c>
      <c r="D54" s="589"/>
      <c r="E54" s="589"/>
      <c r="F54" s="589"/>
      <c r="G54" s="688"/>
      <c r="H54" s="688"/>
      <c r="I54" s="688"/>
      <c r="J54" s="688"/>
      <c r="K54" s="688"/>
      <c r="L54" s="688"/>
      <c r="M54" s="688"/>
      <c r="N54" s="688"/>
      <c r="O54" s="688"/>
      <c r="P54" s="688"/>
      <c r="Q54" s="695"/>
      <c r="S54" s="393"/>
      <c r="T54" s="394"/>
      <c r="U54" s="394"/>
      <c r="V54" s="394"/>
      <c r="W54" s="394"/>
      <c r="X54" s="394"/>
      <c r="Y54" s="394"/>
      <c r="Z54" s="394"/>
      <c r="AA54" s="394"/>
      <c r="AB54" s="394"/>
      <c r="AC54" s="394"/>
      <c r="AD54" s="394"/>
      <c r="AE54" s="394"/>
      <c r="AF54" s="395"/>
    </row>
    <row r="55" spans="2:32" ht="22.95" customHeight="1" thickBot="1">
      <c r="B55" s="723"/>
      <c r="C55" s="991"/>
      <c r="D55" s="991"/>
      <c r="E55" s="991"/>
      <c r="F55" s="991"/>
      <c r="G55" s="724"/>
      <c r="H55" s="724"/>
      <c r="I55" s="724"/>
      <c r="J55" s="724"/>
      <c r="K55" s="724"/>
      <c r="L55" s="724"/>
      <c r="M55" s="724"/>
      <c r="N55" s="724"/>
      <c r="O55" s="724"/>
      <c r="P55" s="724"/>
      <c r="Q55" s="725"/>
      <c r="S55" s="396"/>
      <c r="T55" s="397"/>
      <c r="U55" s="397"/>
      <c r="V55" s="397"/>
      <c r="W55" s="397"/>
      <c r="X55" s="397"/>
      <c r="Y55" s="397"/>
      <c r="Z55" s="397"/>
      <c r="AA55" s="397"/>
      <c r="AB55" s="397"/>
      <c r="AC55" s="397"/>
      <c r="AD55" s="397"/>
      <c r="AE55" s="397"/>
      <c r="AF55" s="398"/>
    </row>
    <row r="56" spans="2:32" ht="22.95" customHeight="1">
      <c r="C56" s="688"/>
      <c r="D56" s="688"/>
      <c r="E56" s="688"/>
      <c r="F56" s="688"/>
      <c r="G56" s="688"/>
      <c r="H56" s="688"/>
      <c r="I56" s="688"/>
      <c r="J56" s="688"/>
      <c r="K56" s="688"/>
      <c r="L56" s="688"/>
      <c r="M56" s="688"/>
      <c r="N56" s="688"/>
      <c r="O56" s="688"/>
      <c r="P56" s="688"/>
    </row>
    <row r="57" spans="2:32" ht="13.2">
      <c r="C57" s="726" t="s">
        <v>174</v>
      </c>
      <c r="D57" s="688"/>
      <c r="E57" s="688"/>
      <c r="F57" s="688"/>
      <c r="G57" s="688"/>
      <c r="H57" s="688"/>
      <c r="I57" s="688"/>
      <c r="J57" s="688"/>
      <c r="K57" s="688"/>
      <c r="L57" s="688"/>
      <c r="M57" s="688"/>
      <c r="N57" s="688"/>
      <c r="P57" s="666" t="s">
        <v>181</v>
      </c>
    </row>
    <row r="58" spans="2:32" ht="13.2">
      <c r="C58" s="727" t="s">
        <v>175</v>
      </c>
      <c r="D58" s="688"/>
      <c r="E58" s="688"/>
      <c r="F58" s="688"/>
      <c r="G58" s="688"/>
      <c r="H58" s="688"/>
      <c r="I58" s="688"/>
      <c r="J58" s="688"/>
      <c r="K58" s="688"/>
      <c r="L58" s="688"/>
      <c r="M58" s="688"/>
      <c r="N58" s="688"/>
      <c r="O58" s="688"/>
      <c r="P58" s="688"/>
    </row>
    <row r="59" spans="2:32" ht="13.2">
      <c r="C59" s="727" t="s">
        <v>176</v>
      </c>
      <c r="D59" s="688"/>
      <c r="E59" s="688"/>
      <c r="F59" s="688"/>
      <c r="G59" s="688"/>
      <c r="H59" s="688"/>
      <c r="I59" s="688"/>
      <c r="J59" s="688"/>
      <c r="K59" s="688"/>
      <c r="L59" s="688"/>
      <c r="M59" s="688"/>
      <c r="N59" s="688"/>
      <c r="O59" s="688"/>
      <c r="P59" s="688"/>
    </row>
    <row r="60" spans="2:32" ht="13.2">
      <c r="C60" s="727" t="s">
        <v>177</v>
      </c>
      <c r="D60" s="688"/>
      <c r="E60" s="688"/>
      <c r="F60" s="688"/>
      <c r="G60" s="688"/>
      <c r="H60" s="688"/>
      <c r="I60" s="688"/>
      <c r="J60" s="688"/>
      <c r="K60" s="688"/>
      <c r="L60" s="688"/>
      <c r="M60" s="688"/>
      <c r="N60" s="688"/>
      <c r="O60" s="688"/>
      <c r="P60" s="688"/>
    </row>
    <row r="61" spans="2:32" ht="13.2">
      <c r="C61" s="727" t="s">
        <v>178</v>
      </c>
      <c r="D61" s="688"/>
      <c r="E61" s="688"/>
      <c r="F61" s="688"/>
      <c r="G61" s="688"/>
      <c r="H61" s="688"/>
      <c r="I61" s="688"/>
      <c r="J61" s="688"/>
      <c r="K61" s="688"/>
      <c r="L61" s="688"/>
      <c r="M61" s="688"/>
      <c r="N61" s="688"/>
      <c r="O61" s="688"/>
      <c r="P61" s="688"/>
    </row>
    <row r="62" spans="2:32" ht="22.95" customHeight="1">
      <c r="C62" s="688"/>
      <c r="D62" s="688"/>
      <c r="E62" s="688"/>
      <c r="F62" s="688"/>
      <c r="G62" s="688"/>
      <c r="H62" s="688"/>
      <c r="I62" s="688"/>
      <c r="J62" s="688"/>
      <c r="K62" s="688"/>
      <c r="L62" s="688"/>
      <c r="M62" s="688"/>
      <c r="N62" s="688"/>
      <c r="O62" s="688"/>
      <c r="P62" s="688"/>
    </row>
    <row r="63" spans="2:32" ht="22.95" customHeight="1">
      <c r="C63" s="688"/>
      <c r="D63" s="688"/>
      <c r="E63" s="688"/>
      <c r="F63" s="688"/>
      <c r="G63" s="688"/>
      <c r="H63" s="688"/>
      <c r="I63" s="688"/>
      <c r="J63" s="688"/>
      <c r="K63" s="688"/>
      <c r="L63" s="688"/>
      <c r="M63" s="688"/>
      <c r="N63" s="688"/>
      <c r="O63" s="688"/>
      <c r="P63" s="688"/>
    </row>
    <row r="64" spans="2:32" ht="22.95" customHeight="1">
      <c r="C64" s="688"/>
      <c r="D64" s="688"/>
      <c r="E64" s="688"/>
      <c r="F64" s="688"/>
      <c r="G64" s="688"/>
      <c r="H64" s="688"/>
      <c r="I64" s="688"/>
      <c r="J64" s="688"/>
      <c r="K64" s="688"/>
      <c r="L64" s="688"/>
      <c r="M64" s="688"/>
      <c r="N64" s="688"/>
      <c r="O64" s="688"/>
      <c r="P64" s="688"/>
    </row>
    <row r="65" spans="3:16" ht="22.95" customHeight="1">
      <c r="C65" s="688"/>
      <c r="D65" s="688"/>
      <c r="E65" s="688"/>
      <c r="F65" s="688"/>
      <c r="G65" s="688"/>
      <c r="H65" s="688"/>
      <c r="I65" s="688"/>
      <c r="J65" s="688"/>
      <c r="K65" s="688"/>
      <c r="L65" s="688"/>
      <c r="M65" s="688"/>
      <c r="N65" s="688"/>
      <c r="O65" s="688"/>
      <c r="P65" s="688"/>
    </row>
    <row r="66" spans="3:16" ht="22.95" customHeight="1">
      <c r="F66" s="688"/>
      <c r="G66" s="688"/>
      <c r="H66" s="688"/>
      <c r="I66" s="688"/>
      <c r="J66" s="688"/>
      <c r="K66" s="688"/>
      <c r="L66" s="688"/>
      <c r="M66" s="688"/>
      <c r="N66" s="688"/>
      <c r="O66" s="688"/>
      <c r="P66" s="688"/>
    </row>
  </sheetData>
  <sheetProtection password="E059" sheet="1" objects="1" scenarios="1" insertRows="0"/>
  <mergeCells count="9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70"/>
  <sheetViews>
    <sheetView zoomScale="60" zoomScaleNormal="60" zoomScalePageLayoutView="60" workbookViewId="0">
      <selection activeCell="B1" sqref="B1:O66"/>
    </sheetView>
  </sheetViews>
  <sheetFormatPr baseColWidth="10" defaultColWidth="10.54296875" defaultRowHeight="22.95" customHeight="1"/>
  <cols>
    <col min="1" max="2" width="3.1796875" style="687" customWidth="1"/>
    <col min="3" max="4" width="14.54296875" style="687" customWidth="1"/>
    <col min="5" max="6" width="15.453125" style="687" customWidth="1"/>
    <col min="7" max="9" width="14.54296875" style="687" customWidth="1"/>
    <col min="10" max="10" width="21" style="687" bestFit="1" customWidth="1"/>
    <col min="11" max="11" width="16.453125" style="687" customWidth="1"/>
    <col min="12" max="12" width="16.1796875" style="687" customWidth="1"/>
    <col min="13" max="13" width="60.81640625" style="687" customWidth="1"/>
    <col min="14" max="14" width="16.54296875" style="687" customWidth="1"/>
    <col min="15" max="15" width="4" style="687" customWidth="1"/>
    <col min="16" max="16384" width="10.54296875" style="687"/>
  </cols>
  <sheetData>
    <row r="1" spans="2:30" ht="22.95" customHeight="1">
      <c r="D1" s="688"/>
      <c r="E1" s="688"/>
    </row>
    <row r="2" spans="2:30" ht="22.95" customHeight="1">
      <c r="D2" s="689" t="s">
        <v>128</v>
      </c>
      <c r="E2" s="689"/>
    </row>
    <row r="3" spans="2:30" ht="22.95" customHeight="1">
      <c r="D3" s="689" t="s">
        <v>129</v>
      </c>
      <c r="E3" s="689"/>
    </row>
    <row r="4" spans="2:30" ht="22.95" customHeight="1" thickBot="1"/>
    <row r="5" spans="2:30" ht="9" customHeight="1">
      <c r="B5" s="690"/>
      <c r="C5" s="691"/>
      <c r="D5" s="691"/>
      <c r="E5" s="691"/>
      <c r="F5" s="691"/>
      <c r="G5" s="691"/>
      <c r="H5" s="691"/>
      <c r="I5" s="691"/>
      <c r="J5" s="691"/>
      <c r="K5" s="691"/>
      <c r="L5" s="691"/>
      <c r="M5" s="691"/>
      <c r="N5" s="691"/>
      <c r="O5" s="692"/>
      <c r="Q5" s="377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9"/>
    </row>
    <row r="6" spans="2:30" ht="30" customHeight="1">
      <c r="B6" s="693"/>
      <c r="C6" s="694" t="s">
        <v>97</v>
      </c>
      <c r="D6" s="688"/>
      <c r="E6" s="688"/>
      <c r="F6" s="688"/>
      <c r="G6" s="688"/>
      <c r="H6" s="688"/>
      <c r="I6" s="688"/>
      <c r="J6" s="688"/>
      <c r="K6" s="688"/>
      <c r="L6" s="688"/>
      <c r="M6" s="688"/>
      <c r="N6" s="990">
        <f>ejercicio</f>
        <v>2018</v>
      </c>
      <c r="O6" s="695"/>
      <c r="Q6" s="380"/>
      <c r="R6" s="381" t="s">
        <v>810</v>
      </c>
      <c r="S6" s="382"/>
      <c r="T6" s="382"/>
      <c r="U6" s="382"/>
      <c r="V6" s="382"/>
      <c r="W6" s="382"/>
      <c r="X6" s="382"/>
      <c r="Y6" s="382"/>
      <c r="Z6" s="382"/>
      <c r="AA6" s="382"/>
      <c r="AB6" s="382"/>
      <c r="AC6" s="382"/>
      <c r="AD6" s="383"/>
    </row>
    <row r="7" spans="2:30" ht="30" customHeight="1">
      <c r="B7" s="693"/>
      <c r="C7" s="694" t="s">
        <v>98</v>
      </c>
      <c r="D7" s="688"/>
      <c r="E7" s="688"/>
      <c r="F7" s="688"/>
      <c r="G7" s="688"/>
      <c r="H7" s="688"/>
      <c r="I7" s="688"/>
      <c r="J7" s="688"/>
      <c r="K7" s="688"/>
      <c r="L7" s="688"/>
      <c r="M7" s="688"/>
      <c r="N7" s="990"/>
      <c r="O7" s="695"/>
      <c r="Q7" s="380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3"/>
    </row>
    <row r="8" spans="2:30" ht="30" customHeight="1">
      <c r="B8" s="693"/>
      <c r="C8" s="697"/>
      <c r="D8" s="688"/>
      <c r="E8" s="688"/>
      <c r="F8" s="688"/>
      <c r="G8" s="688"/>
      <c r="H8" s="688"/>
      <c r="I8" s="688"/>
      <c r="J8" s="688"/>
      <c r="K8" s="688"/>
      <c r="L8" s="688"/>
      <c r="M8" s="688"/>
      <c r="N8" s="698"/>
      <c r="O8" s="695"/>
      <c r="Q8" s="380"/>
      <c r="R8" s="382"/>
      <c r="S8" s="382"/>
      <c r="T8" s="382"/>
      <c r="U8" s="382"/>
      <c r="V8" s="382"/>
      <c r="W8" s="382"/>
      <c r="X8" s="382"/>
      <c r="Y8" s="382"/>
      <c r="Z8" s="382"/>
      <c r="AA8" s="382"/>
      <c r="AB8" s="382"/>
      <c r="AC8" s="382"/>
      <c r="AD8" s="383"/>
    </row>
    <row r="9" spans="2:30" s="702" customFormat="1" ht="30" customHeight="1">
      <c r="B9" s="699"/>
      <c r="C9" s="700" t="s">
        <v>99</v>
      </c>
      <c r="D9" s="992" t="str">
        <f>Entidad</f>
        <v>INSTITUTO TECNOLÓGICO Y DE ENERGÍAS RENOVALBES S.A. (ITER)</v>
      </c>
      <c r="E9" s="992"/>
      <c r="F9" s="992"/>
      <c r="G9" s="992"/>
      <c r="H9" s="992"/>
      <c r="I9" s="992"/>
      <c r="J9" s="992"/>
      <c r="K9" s="992"/>
      <c r="L9" s="992"/>
      <c r="M9" s="992"/>
      <c r="N9" s="682"/>
      <c r="O9" s="701"/>
      <c r="Q9" s="384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6"/>
    </row>
    <row r="10" spans="2:30" ht="7.2" customHeight="1">
      <c r="B10" s="693"/>
      <c r="C10" s="688"/>
      <c r="D10" s="688"/>
      <c r="E10" s="688"/>
      <c r="F10" s="688"/>
      <c r="G10" s="688"/>
      <c r="H10" s="688"/>
      <c r="I10" s="688"/>
      <c r="J10" s="696"/>
      <c r="K10" s="688"/>
      <c r="L10" s="688"/>
      <c r="M10" s="688"/>
      <c r="N10" s="688"/>
      <c r="O10" s="695"/>
      <c r="Q10" s="380"/>
      <c r="R10" s="382"/>
      <c r="S10" s="382"/>
      <c r="T10" s="382"/>
      <c r="U10" s="382"/>
      <c r="V10" s="382"/>
      <c r="W10" s="382"/>
      <c r="X10" s="382"/>
      <c r="Y10" s="382"/>
      <c r="Z10" s="382"/>
      <c r="AA10" s="382"/>
      <c r="AB10" s="382"/>
      <c r="AC10" s="382"/>
      <c r="AD10" s="383"/>
    </row>
    <row r="11" spans="2:30" s="706" customFormat="1" ht="30" customHeight="1">
      <c r="B11" s="703"/>
      <c r="C11" s="704" t="s">
        <v>877</v>
      </c>
      <c r="D11" s="704"/>
      <c r="E11" s="704"/>
      <c r="F11" s="704"/>
      <c r="G11" s="704"/>
      <c r="H11" s="704"/>
      <c r="I11" s="704"/>
      <c r="J11" s="704"/>
      <c r="K11" s="704"/>
      <c r="L11" s="704"/>
      <c r="M11" s="704"/>
      <c r="N11" s="704"/>
      <c r="O11" s="705"/>
      <c r="Q11" s="387"/>
      <c r="R11" s="388"/>
      <c r="S11" s="388"/>
      <c r="T11" s="388"/>
      <c r="U11" s="388"/>
      <c r="V11" s="388"/>
      <c r="W11" s="388"/>
      <c r="X11" s="388"/>
      <c r="Y11" s="388"/>
      <c r="Z11" s="388"/>
      <c r="AA11" s="388"/>
      <c r="AB11" s="388"/>
      <c r="AC11" s="388"/>
      <c r="AD11" s="389"/>
    </row>
    <row r="12" spans="2:30" s="735" customFormat="1" ht="22.95" customHeight="1">
      <c r="B12" s="732"/>
      <c r="C12" s="733"/>
      <c r="D12" s="733"/>
      <c r="E12" s="733"/>
      <c r="F12" s="733"/>
      <c r="G12" s="733"/>
      <c r="H12" s="733"/>
      <c r="I12" s="733"/>
      <c r="J12" s="733"/>
      <c r="K12" s="733"/>
      <c r="L12" s="733"/>
      <c r="M12" s="733"/>
      <c r="N12" s="733"/>
      <c r="O12" s="734"/>
      <c r="Q12" s="736"/>
      <c r="R12" s="737"/>
      <c r="S12" s="737"/>
      <c r="T12" s="737"/>
      <c r="U12" s="737"/>
      <c r="V12" s="737"/>
      <c r="W12" s="737"/>
      <c r="X12" s="737"/>
      <c r="Y12" s="737"/>
      <c r="Z12" s="737"/>
      <c r="AA12" s="737"/>
      <c r="AB12" s="737"/>
      <c r="AC12" s="737"/>
      <c r="AD12" s="738"/>
    </row>
    <row r="13" spans="2:30" s="735" customFormat="1" ht="51" customHeight="1">
      <c r="B13" s="732"/>
      <c r="C13" s="751" t="s">
        <v>871</v>
      </c>
      <c r="D13" s="751" t="s">
        <v>870</v>
      </c>
      <c r="E13" s="999" t="s">
        <v>874</v>
      </c>
      <c r="F13" s="1000"/>
      <c r="G13" s="751" t="s">
        <v>857</v>
      </c>
      <c r="H13" s="751" t="s">
        <v>872</v>
      </c>
      <c r="I13" s="751" t="s">
        <v>873</v>
      </c>
      <c r="J13" s="751" t="s">
        <v>876</v>
      </c>
      <c r="K13" s="751" t="s">
        <v>879</v>
      </c>
      <c r="L13" s="751" t="s">
        <v>875</v>
      </c>
      <c r="M13" s="999" t="s">
        <v>882</v>
      </c>
      <c r="N13" s="1000"/>
      <c r="O13" s="734"/>
      <c r="Q13" s="740"/>
      <c r="R13" s="741"/>
      <c r="S13" s="741"/>
      <c r="T13" s="741"/>
      <c r="U13" s="741"/>
      <c r="V13" s="741"/>
      <c r="W13" s="741"/>
      <c r="X13" s="741"/>
      <c r="Y13" s="741"/>
      <c r="Z13" s="741"/>
      <c r="AA13" s="741"/>
      <c r="AB13" s="741"/>
      <c r="AC13" s="741"/>
      <c r="AD13" s="742"/>
    </row>
    <row r="14" spans="2:30" s="735" customFormat="1" ht="22.95" customHeight="1">
      <c r="B14" s="732"/>
      <c r="C14" s="936">
        <v>33184</v>
      </c>
      <c r="D14" s="937">
        <v>4500</v>
      </c>
      <c r="E14" s="937">
        <v>1</v>
      </c>
      <c r="F14" s="937">
        <v>4500</v>
      </c>
      <c r="G14" s="937" t="s">
        <v>67</v>
      </c>
      <c r="H14" s="937">
        <v>60.1</v>
      </c>
      <c r="I14" s="937"/>
      <c r="J14" s="938">
        <f>MMULT(D14,H14)</f>
        <v>270450</v>
      </c>
      <c r="K14" s="762"/>
      <c r="L14" s="763"/>
      <c r="M14" s="1001"/>
      <c r="N14" s="1002"/>
      <c r="O14" s="734"/>
      <c r="Q14" s="740"/>
      <c r="R14" s="741"/>
      <c r="S14" s="741"/>
      <c r="T14" s="741"/>
      <c r="U14" s="741"/>
      <c r="V14" s="741"/>
      <c r="W14" s="741"/>
      <c r="X14" s="741"/>
      <c r="Y14" s="741"/>
      <c r="Z14" s="741"/>
      <c r="AA14" s="741"/>
      <c r="AB14" s="741"/>
      <c r="AC14" s="741"/>
      <c r="AD14" s="742"/>
    </row>
    <row r="15" spans="2:30" s="745" customFormat="1" ht="22.95" customHeight="1">
      <c r="B15" s="743"/>
      <c r="C15" s="939">
        <v>33689</v>
      </c>
      <c r="D15" s="940">
        <v>0</v>
      </c>
      <c r="E15" s="940">
        <v>1</v>
      </c>
      <c r="F15" s="940">
        <v>4500</v>
      </c>
      <c r="G15" s="941" t="s">
        <v>71</v>
      </c>
      <c r="H15" s="937">
        <v>60.1</v>
      </c>
      <c r="I15" s="937"/>
      <c r="J15" s="938">
        <f t="shared" ref="J15:J53" si="0">MMULT(D15,H15)</f>
        <v>0</v>
      </c>
      <c r="K15" s="764"/>
      <c r="L15" s="765"/>
      <c r="M15" s="997"/>
      <c r="N15" s="998"/>
      <c r="O15" s="744"/>
      <c r="Q15" s="740"/>
      <c r="R15" s="741"/>
      <c r="S15" s="741"/>
      <c r="T15" s="741"/>
      <c r="U15" s="741"/>
      <c r="V15" s="741"/>
      <c r="W15" s="741"/>
      <c r="X15" s="741"/>
      <c r="Y15" s="741"/>
      <c r="Z15" s="741"/>
      <c r="AA15" s="741"/>
      <c r="AB15" s="741"/>
      <c r="AC15" s="741"/>
      <c r="AD15" s="742"/>
    </row>
    <row r="16" spans="2:30" s="735" customFormat="1" ht="22.95" customHeight="1">
      <c r="B16" s="732"/>
      <c r="C16" s="939">
        <v>35212</v>
      </c>
      <c r="D16" s="940">
        <v>1750</v>
      </c>
      <c r="E16" s="940">
        <v>4501</v>
      </c>
      <c r="F16" s="940">
        <v>6250</v>
      </c>
      <c r="G16" s="940" t="s">
        <v>68</v>
      </c>
      <c r="H16" s="937">
        <v>60.1</v>
      </c>
      <c r="I16" s="937"/>
      <c r="J16" s="938">
        <f t="shared" si="0"/>
        <v>105175</v>
      </c>
      <c r="K16" s="766"/>
      <c r="L16" s="767"/>
      <c r="M16" s="997"/>
      <c r="N16" s="998"/>
      <c r="O16" s="734"/>
      <c r="Q16" s="740"/>
      <c r="R16" s="741"/>
      <c r="S16" s="741"/>
      <c r="T16" s="741"/>
      <c r="U16" s="741"/>
      <c r="V16" s="741"/>
      <c r="W16" s="741"/>
      <c r="X16" s="741"/>
      <c r="Y16" s="741"/>
      <c r="Z16" s="741"/>
      <c r="AA16" s="741"/>
      <c r="AB16" s="741"/>
      <c r="AC16" s="741"/>
      <c r="AD16" s="742"/>
    </row>
    <row r="17" spans="2:30" s="735" customFormat="1" ht="22.95" customHeight="1">
      <c r="B17" s="732"/>
      <c r="C17" s="939">
        <v>35212</v>
      </c>
      <c r="D17" s="940">
        <v>1250</v>
      </c>
      <c r="E17" s="940">
        <v>6251</v>
      </c>
      <c r="F17" s="940">
        <v>7500</v>
      </c>
      <c r="G17" s="941" t="s">
        <v>71</v>
      </c>
      <c r="H17" s="937">
        <v>60.1</v>
      </c>
      <c r="I17" s="937"/>
      <c r="J17" s="938">
        <f t="shared" si="0"/>
        <v>75125</v>
      </c>
      <c r="K17" s="766"/>
      <c r="L17" s="767"/>
      <c r="M17" s="997"/>
      <c r="N17" s="998"/>
      <c r="O17" s="734"/>
      <c r="Q17" s="740"/>
      <c r="R17" s="741"/>
      <c r="S17" s="741"/>
      <c r="T17" s="741"/>
      <c r="U17" s="741"/>
      <c r="V17" s="741"/>
      <c r="W17" s="741"/>
      <c r="X17" s="741"/>
      <c r="Y17" s="741"/>
      <c r="Z17" s="741"/>
      <c r="AA17" s="741"/>
      <c r="AB17" s="741"/>
      <c r="AC17" s="741"/>
      <c r="AD17" s="742"/>
    </row>
    <row r="18" spans="2:30" s="735" customFormat="1" ht="22.95" customHeight="1">
      <c r="B18" s="732"/>
      <c r="C18" s="939">
        <v>35212</v>
      </c>
      <c r="D18" s="940">
        <v>-1250</v>
      </c>
      <c r="E18" s="940">
        <v>7501</v>
      </c>
      <c r="F18" s="940">
        <v>6250</v>
      </c>
      <c r="G18" s="941" t="s">
        <v>71</v>
      </c>
      <c r="H18" s="937">
        <v>60.1</v>
      </c>
      <c r="I18" s="937"/>
      <c r="J18" s="938">
        <f t="shared" si="0"/>
        <v>-75125</v>
      </c>
      <c r="K18" s="766"/>
      <c r="L18" s="767"/>
      <c r="M18" s="997"/>
      <c r="N18" s="998"/>
      <c r="O18" s="734"/>
      <c r="Q18" s="740"/>
      <c r="R18" s="741"/>
      <c r="S18" s="741"/>
      <c r="T18" s="741"/>
      <c r="U18" s="741"/>
      <c r="V18" s="741"/>
      <c r="W18" s="741"/>
      <c r="X18" s="741"/>
      <c r="Y18" s="741"/>
      <c r="Z18" s="741"/>
      <c r="AA18" s="741"/>
      <c r="AB18" s="741"/>
      <c r="AC18" s="741"/>
      <c r="AD18" s="742"/>
    </row>
    <row r="19" spans="2:30" s="735" customFormat="1" ht="22.95" customHeight="1">
      <c r="B19" s="732"/>
      <c r="C19" s="939">
        <v>35457</v>
      </c>
      <c r="D19" s="940">
        <v>900</v>
      </c>
      <c r="E19" s="940">
        <v>6251</v>
      </c>
      <c r="F19" s="940">
        <v>7150</v>
      </c>
      <c r="G19" s="940" t="s">
        <v>67</v>
      </c>
      <c r="H19" s="937">
        <v>60.1</v>
      </c>
      <c r="I19" s="937"/>
      <c r="J19" s="938">
        <f t="shared" si="0"/>
        <v>54090</v>
      </c>
      <c r="K19" s="766"/>
      <c r="L19" s="767"/>
      <c r="M19" s="997"/>
      <c r="N19" s="998"/>
      <c r="O19" s="734"/>
      <c r="Q19" s="740"/>
      <c r="R19" s="741"/>
      <c r="S19" s="741"/>
      <c r="T19" s="741"/>
      <c r="U19" s="741"/>
      <c r="V19" s="741"/>
      <c r="W19" s="741"/>
      <c r="X19" s="741"/>
      <c r="Y19" s="741"/>
      <c r="Z19" s="741"/>
      <c r="AA19" s="741"/>
      <c r="AB19" s="741"/>
      <c r="AC19" s="741"/>
      <c r="AD19" s="742"/>
    </row>
    <row r="20" spans="2:30" s="735" customFormat="1" ht="22.95" customHeight="1">
      <c r="B20" s="732"/>
      <c r="C20" s="939">
        <v>35619</v>
      </c>
      <c r="D20" s="940">
        <v>35943</v>
      </c>
      <c r="E20" s="940">
        <v>7151</v>
      </c>
      <c r="F20" s="940">
        <v>43093</v>
      </c>
      <c r="G20" s="940" t="s">
        <v>67</v>
      </c>
      <c r="H20" s="937">
        <v>60.1</v>
      </c>
      <c r="I20" s="937"/>
      <c r="J20" s="938">
        <f t="shared" si="0"/>
        <v>2160174.3000000003</v>
      </c>
      <c r="K20" s="766"/>
      <c r="L20" s="767"/>
      <c r="M20" s="997"/>
      <c r="N20" s="998"/>
      <c r="O20" s="734"/>
      <c r="Q20" s="740"/>
      <c r="R20" s="741"/>
      <c r="S20" s="741"/>
      <c r="T20" s="741"/>
      <c r="U20" s="741"/>
      <c r="V20" s="741"/>
      <c r="W20" s="741"/>
      <c r="X20" s="741"/>
      <c r="Y20" s="741"/>
      <c r="Z20" s="741"/>
      <c r="AA20" s="741"/>
      <c r="AB20" s="741"/>
      <c r="AC20" s="741"/>
      <c r="AD20" s="742"/>
    </row>
    <row r="21" spans="2:30" s="735" customFormat="1" ht="22.95" customHeight="1">
      <c r="B21" s="732"/>
      <c r="C21" s="939">
        <v>35619</v>
      </c>
      <c r="D21" s="940">
        <v>4907</v>
      </c>
      <c r="E21" s="940">
        <v>43094</v>
      </c>
      <c r="F21" s="940">
        <v>48000</v>
      </c>
      <c r="G21" s="940" t="s">
        <v>68</v>
      </c>
      <c r="H21" s="937">
        <v>60.1</v>
      </c>
      <c r="I21" s="937"/>
      <c r="J21" s="938">
        <f t="shared" si="0"/>
        <v>294910.7</v>
      </c>
      <c r="K21" s="766"/>
      <c r="L21" s="767"/>
      <c r="M21" s="997"/>
      <c r="N21" s="998"/>
      <c r="O21" s="734"/>
      <c r="Q21" s="740"/>
      <c r="R21" s="741"/>
      <c r="S21" s="741"/>
      <c r="T21" s="741"/>
      <c r="U21" s="741"/>
      <c r="V21" s="741"/>
      <c r="W21" s="741"/>
      <c r="X21" s="741"/>
      <c r="Y21" s="741"/>
      <c r="Z21" s="741"/>
      <c r="AA21" s="741"/>
      <c r="AB21" s="741"/>
      <c r="AC21" s="741"/>
      <c r="AD21" s="742"/>
    </row>
    <row r="22" spans="2:30" s="735" customFormat="1" ht="22.95" customHeight="1">
      <c r="B22" s="732"/>
      <c r="C22" s="939">
        <v>35746</v>
      </c>
      <c r="D22" s="940">
        <v>4800</v>
      </c>
      <c r="E22" s="940">
        <v>48001</v>
      </c>
      <c r="F22" s="940">
        <v>52800</v>
      </c>
      <c r="G22" s="940" t="s">
        <v>68</v>
      </c>
      <c r="H22" s="937">
        <v>60.1</v>
      </c>
      <c r="I22" s="937"/>
      <c r="J22" s="938">
        <f t="shared" si="0"/>
        <v>288480</v>
      </c>
      <c r="K22" s="766"/>
      <c r="L22" s="767"/>
      <c r="M22" s="997"/>
      <c r="N22" s="998"/>
      <c r="O22" s="734"/>
      <c r="Q22" s="740"/>
      <c r="R22" s="741"/>
      <c r="S22" s="741"/>
      <c r="T22" s="741"/>
      <c r="U22" s="741"/>
      <c r="V22" s="741"/>
      <c r="W22" s="741"/>
      <c r="X22" s="741"/>
      <c r="Y22" s="741"/>
      <c r="Z22" s="741"/>
      <c r="AA22" s="741"/>
      <c r="AB22" s="741"/>
      <c r="AC22" s="741"/>
      <c r="AD22" s="742"/>
    </row>
    <row r="23" spans="2:30" s="735" customFormat="1" ht="22.95" customHeight="1">
      <c r="B23" s="732"/>
      <c r="C23" s="939">
        <v>35746</v>
      </c>
      <c r="D23" s="940">
        <v>10900</v>
      </c>
      <c r="E23" s="940">
        <v>52801</v>
      </c>
      <c r="F23" s="940">
        <v>63700</v>
      </c>
      <c r="G23" s="940" t="s">
        <v>92</v>
      </c>
      <c r="H23" s="937">
        <v>60.1</v>
      </c>
      <c r="I23" s="937"/>
      <c r="J23" s="938">
        <f t="shared" si="0"/>
        <v>655090</v>
      </c>
      <c r="K23" s="768"/>
      <c r="L23" s="769"/>
      <c r="M23" s="997"/>
      <c r="N23" s="998"/>
      <c r="O23" s="734"/>
      <c r="Q23" s="740"/>
      <c r="R23" s="741"/>
      <c r="S23" s="741"/>
      <c r="T23" s="741"/>
      <c r="U23" s="741"/>
      <c r="V23" s="741"/>
      <c r="W23" s="741"/>
      <c r="X23" s="741"/>
      <c r="Y23" s="741"/>
      <c r="Z23" s="741"/>
      <c r="AA23" s="741"/>
      <c r="AB23" s="741"/>
      <c r="AC23" s="741"/>
      <c r="AD23" s="742"/>
    </row>
    <row r="24" spans="2:30" s="735" customFormat="1" ht="22.95" customHeight="1">
      <c r="B24" s="732"/>
      <c r="C24" s="939">
        <v>36056</v>
      </c>
      <c r="D24" s="940">
        <v>50000</v>
      </c>
      <c r="E24" s="940">
        <v>63701</v>
      </c>
      <c r="F24" s="940">
        <v>113700</v>
      </c>
      <c r="G24" s="940" t="s">
        <v>67</v>
      </c>
      <c r="H24" s="937">
        <v>60.1</v>
      </c>
      <c r="I24" s="937"/>
      <c r="J24" s="938">
        <f t="shared" si="0"/>
        <v>3005000</v>
      </c>
      <c r="K24" s="768"/>
      <c r="L24" s="769"/>
      <c r="M24" s="760"/>
      <c r="N24" s="761"/>
      <c r="O24" s="734"/>
      <c r="Q24" s="740"/>
      <c r="R24" s="741"/>
      <c r="S24" s="741"/>
      <c r="T24" s="741"/>
      <c r="U24" s="741"/>
      <c r="V24" s="741"/>
      <c r="W24" s="741"/>
      <c r="X24" s="741"/>
      <c r="Y24" s="741"/>
      <c r="Z24" s="741"/>
      <c r="AA24" s="741"/>
      <c r="AB24" s="741"/>
      <c r="AC24" s="741"/>
      <c r="AD24" s="742"/>
    </row>
    <row r="25" spans="2:30" s="735" customFormat="1" ht="22.95" customHeight="1">
      <c r="B25" s="732"/>
      <c r="C25" s="939">
        <v>36347</v>
      </c>
      <c r="D25" s="940">
        <v>15000</v>
      </c>
      <c r="E25" s="940">
        <v>113701</v>
      </c>
      <c r="F25" s="940">
        <v>128700</v>
      </c>
      <c r="G25" s="940" t="s">
        <v>67</v>
      </c>
      <c r="H25" s="937">
        <v>60.1</v>
      </c>
      <c r="I25" s="937"/>
      <c r="J25" s="938">
        <f t="shared" si="0"/>
        <v>901500</v>
      </c>
      <c r="K25" s="768"/>
      <c r="L25" s="769"/>
      <c r="M25" s="760"/>
      <c r="N25" s="761"/>
      <c r="O25" s="734"/>
      <c r="Q25" s="740"/>
      <c r="R25" s="741"/>
      <c r="S25" s="741"/>
      <c r="T25" s="741"/>
      <c r="U25" s="741"/>
      <c r="V25" s="741"/>
      <c r="W25" s="741"/>
      <c r="X25" s="741"/>
      <c r="Y25" s="741"/>
      <c r="Z25" s="741"/>
      <c r="AA25" s="741"/>
      <c r="AB25" s="741"/>
      <c r="AC25" s="741"/>
      <c r="AD25" s="742"/>
    </row>
    <row r="26" spans="2:30" s="735" customFormat="1" ht="22.95" customHeight="1">
      <c r="B26" s="732"/>
      <c r="C26" s="939">
        <v>36857</v>
      </c>
      <c r="D26" s="940">
        <v>30000</v>
      </c>
      <c r="E26" s="940">
        <v>128701</v>
      </c>
      <c r="F26" s="940">
        <v>158700</v>
      </c>
      <c r="G26" s="940" t="s">
        <v>67</v>
      </c>
      <c r="H26" s="937">
        <v>60.1</v>
      </c>
      <c r="I26" s="937"/>
      <c r="J26" s="938">
        <f t="shared" si="0"/>
        <v>1803000</v>
      </c>
      <c r="K26" s="768"/>
      <c r="L26" s="769"/>
      <c r="M26" s="760"/>
      <c r="N26" s="761"/>
      <c r="O26" s="734"/>
      <c r="Q26" s="740"/>
      <c r="R26" s="741"/>
      <c r="S26" s="741"/>
      <c r="T26" s="741"/>
      <c r="U26" s="741"/>
      <c r="V26" s="741"/>
      <c r="W26" s="741"/>
      <c r="X26" s="741"/>
      <c r="Y26" s="741"/>
      <c r="Z26" s="741"/>
      <c r="AA26" s="741"/>
      <c r="AB26" s="741"/>
      <c r="AC26" s="741"/>
      <c r="AD26" s="742"/>
    </row>
    <row r="27" spans="2:30" s="735" customFormat="1" ht="22.95" customHeight="1">
      <c r="B27" s="732"/>
      <c r="C27" s="939">
        <v>36857</v>
      </c>
      <c r="D27" s="940">
        <v>7504</v>
      </c>
      <c r="E27" s="940">
        <v>158701</v>
      </c>
      <c r="F27" s="940">
        <v>166204</v>
      </c>
      <c r="G27" s="940" t="s">
        <v>68</v>
      </c>
      <c r="H27" s="937">
        <v>60.1</v>
      </c>
      <c r="I27" s="937"/>
      <c r="J27" s="938">
        <f t="shared" si="0"/>
        <v>450990.4</v>
      </c>
      <c r="K27" s="768"/>
      <c r="L27" s="769"/>
      <c r="M27" s="760"/>
      <c r="N27" s="761"/>
      <c r="O27" s="734"/>
      <c r="Q27" s="740"/>
      <c r="R27" s="741"/>
      <c r="S27" s="741"/>
      <c r="T27" s="741"/>
      <c r="U27" s="741"/>
      <c r="V27" s="741"/>
      <c r="W27" s="741"/>
      <c r="X27" s="741"/>
      <c r="Y27" s="741"/>
      <c r="Z27" s="741"/>
      <c r="AA27" s="741"/>
      <c r="AB27" s="741"/>
      <c r="AC27" s="741"/>
      <c r="AD27" s="742"/>
    </row>
    <row r="28" spans="2:30" s="735" customFormat="1" ht="22.95" customHeight="1">
      <c r="B28" s="732"/>
      <c r="C28" s="939">
        <v>37412</v>
      </c>
      <c r="D28" s="940">
        <v>15000</v>
      </c>
      <c r="E28" s="940">
        <v>166205</v>
      </c>
      <c r="F28" s="940">
        <v>181204</v>
      </c>
      <c r="G28" s="940" t="s">
        <v>67</v>
      </c>
      <c r="H28" s="937">
        <v>60.1</v>
      </c>
      <c r="I28" s="937"/>
      <c r="J28" s="938">
        <f t="shared" si="0"/>
        <v>901500</v>
      </c>
      <c r="K28" s="768"/>
      <c r="L28" s="769"/>
      <c r="M28" s="760"/>
      <c r="N28" s="761"/>
      <c r="O28" s="734"/>
      <c r="Q28" s="740"/>
      <c r="R28" s="741"/>
      <c r="S28" s="741"/>
      <c r="T28" s="741"/>
      <c r="U28" s="741"/>
      <c r="V28" s="741"/>
      <c r="W28" s="741"/>
      <c r="X28" s="741"/>
      <c r="Y28" s="741"/>
      <c r="Z28" s="741"/>
      <c r="AA28" s="741"/>
      <c r="AB28" s="741"/>
      <c r="AC28" s="741"/>
      <c r="AD28" s="742"/>
    </row>
    <row r="29" spans="2:30" s="735" customFormat="1" ht="22.95" customHeight="1">
      <c r="B29" s="732"/>
      <c r="C29" s="939">
        <v>37412</v>
      </c>
      <c r="D29" s="940">
        <v>733</v>
      </c>
      <c r="E29" s="940">
        <v>181205</v>
      </c>
      <c r="F29" s="940">
        <v>181937</v>
      </c>
      <c r="G29" s="940" t="s">
        <v>68</v>
      </c>
      <c r="H29" s="937">
        <v>60.1</v>
      </c>
      <c r="I29" s="937"/>
      <c r="J29" s="938">
        <f t="shared" si="0"/>
        <v>44053.3</v>
      </c>
      <c r="K29" s="768"/>
      <c r="L29" s="769"/>
      <c r="M29" s="760"/>
      <c r="N29" s="761"/>
      <c r="O29" s="734"/>
      <c r="Q29" s="740"/>
      <c r="R29" s="741"/>
      <c r="S29" s="741"/>
      <c r="T29" s="741"/>
      <c r="U29" s="741"/>
      <c r="V29" s="741"/>
      <c r="W29" s="741"/>
      <c r="X29" s="741"/>
      <c r="Y29" s="741"/>
      <c r="Z29" s="741"/>
      <c r="AA29" s="741"/>
      <c r="AB29" s="741"/>
      <c r="AC29" s="741"/>
      <c r="AD29" s="742"/>
    </row>
    <row r="30" spans="2:30" s="735" customFormat="1" ht="22.95" customHeight="1">
      <c r="B30" s="732"/>
      <c r="C30" s="939">
        <v>37412</v>
      </c>
      <c r="D30" s="940">
        <v>3753</v>
      </c>
      <c r="E30" s="940">
        <v>181938</v>
      </c>
      <c r="F30" s="940">
        <v>185690</v>
      </c>
      <c r="G30" s="940" t="s">
        <v>68</v>
      </c>
      <c r="H30" s="937">
        <v>60.1</v>
      </c>
      <c r="I30" s="937"/>
      <c r="J30" s="938">
        <f t="shared" si="0"/>
        <v>225555.30000000002</v>
      </c>
      <c r="K30" s="768"/>
      <c r="L30" s="769"/>
      <c r="M30" s="760"/>
      <c r="N30" s="761"/>
      <c r="O30" s="734"/>
      <c r="Q30" s="740"/>
      <c r="R30" s="741"/>
      <c r="S30" s="741"/>
      <c r="T30" s="741"/>
      <c r="U30" s="741"/>
      <c r="V30" s="741"/>
      <c r="W30" s="741"/>
      <c r="X30" s="741"/>
      <c r="Y30" s="741"/>
      <c r="Z30" s="741"/>
      <c r="AA30" s="741"/>
      <c r="AB30" s="741"/>
      <c r="AC30" s="741"/>
      <c r="AD30" s="742"/>
    </row>
    <row r="31" spans="2:30" s="735" customFormat="1" ht="22.95" customHeight="1">
      <c r="B31" s="732"/>
      <c r="C31" s="939">
        <v>37600</v>
      </c>
      <c r="D31" s="940">
        <v>-5450</v>
      </c>
      <c r="E31" s="940">
        <v>52801</v>
      </c>
      <c r="F31" s="940">
        <v>58250</v>
      </c>
      <c r="G31" s="940" t="s">
        <v>93</v>
      </c>
      <c r="H31" s="937">
        <v>60.1</v>
      </c>
      <c r="I31" s="937"/>
      <c r="J31" s="938">
        <f t="shared" si="0"/>
        <v>-327545</v>
      </c>
      <c r="K31" s="768"/>
      <c r="L31" s="769"/>
      <c r="M31" s="760"/>
      <c r="N31" s="761"/>
      <c r="O31" s="734"/>
      <c r="Q31" s="740"/>
      <c r="R31" s="741"/>
      <c r="S31" s="741"/>
      <c r="T31" s="741"/>
      <c r="U31" s="741"/>
      <c r="V31" s="741"/>
      <c r="W31" s="741"/>
      <c r="X31" s="741"/>
      <c r="Y31" s="741"/>
      <c r="Z31" s="741"/>
      <c r="AA31" s="741"/>
      <c r="AB31" s="741"/>
      <c r="AC31" s="741"/>
      <c r="AD31" s="742"/>
    </row>
    <row r="32" spans="2:30" s="735" customFormat="1" ht="22.95" customHeight="1">
      <c r="B32" s="732"/>
      <c r="C32" s="939">
        <v>37600</v>
      </c>
      <c r="D32" s="940">
        <v>5450</v>
      </c>
      <c r="E32" s="940">
        <v>52801</v>
      </c>
      <c r="F32" s="940">
        <v>58250</v>
      </c>
      <c r="G32" s="940" t="s">
        <v>94</v>
      </c>
      <c r="H32" s="937">
        <v>60.1</v>
      </c>
      <c r="I32" s="937"/>
      <c r="J32" s="938">
        <f t="shared" si="0"/>
        <v>327545</v>
      </c>
      <c r="K32" s="768"/>
      <c r="L32" s="769"/>
      <c r="M32" s="760"/>
      <c r="N32" s="761"/>
      <c r="O32" s="734"/>
      <c r="Q32" s="740"/>
      <c r="R32" s="741"/>
      <c r="S32" s="741"/>
      <c r="T32" s="741"/>
      <c r="U32" s="741"/>
      <c r="V32" s="741"/>
      <c r="W32" s="741"/>
      <c r="X32" s="741"/>
      <c r="Y32" s="741"/>
      <c r="Z32" s="741"/>
      <c r="AA32" s="741"/>
      <c r="AB32" s="741"/>
      <c r="AC32" s="741"/>
      <c r="AD32" s="742"/>
    </row>
    <row r="33" spans="2:30" s="735" customFormat="1" ht="22.95" customHeight="1">
      <c r="B33" s="732"/>
      <c r="C33" s="939">
        <v>37938</v>
      </c>
      <c r="D33" s="940">
        <v>-5450</v>
      </c>
      <c r="E33" s="940">
        <v>58251</v>
      </c>
      <c r="F33" s="940">
        <v>63700</v>
      </c>
      <c r="G33" s="940" t="s">
        <v>93</v>
      </c>
      <c r="H33" s="937">
        <v>60.1</v>
      </c>
      <c r="I33" s="937"/>
      <c r="J33" s="938">
        <f t="shared" si="0"/>
        <v>-327545</v>
      </c>
      <c r="K33" s="768"/>
      <c r="L33" s="769"/>
      <c r="M33" s="997"/>
      <c r="N33" s="998"/>
      <c r="O33" s="734"/>
      <c r="Q33" s="740"/>
      <c r="R33" s="741"/>
      <c r="S33" s="741"/>
      <c r="T33" s="741"/>
      <c r="U33" s="741"/>
      <c r="V33" s="741"/>
      <c r="W33" s="741"/>
      <c r="X33" s="741"/>
      <c r="Y33" s="741"/>
      <c r="Z33" s="741"/>
      <c r="AA33" s="741"/>
      <c r="AB33" s="741"/>
      <c r="AC33" s="741"/>
      <c r="AD33" s="742"/>
    </row>
    <row r="34" spans="2:30" s="735" customFormat="1" ht="22.95" customHeight="1">
      <c r="B34" s="732"/>
      <c r="C34" s="939">
        <v>37938</v>
      </c>
      <c r="D34" s="940">
        <v>5450</v>
      </c>
      <c r="E34" s="940">
        <v>63701</v>
      </c>
      <c r="F34" s="940">
        <v>69150</v>
      </c>
      <c r="G34" s="940" t="s">
        <v>94</v>
      </c>
      <c r="H34" s="937">
        <v>60.1</v>
      </c>
      <c r="I34" s="937"/>
      <c r="J34" s="938">
        <f t="shared" si="0"/>
        <v>327545</v>
      </c>
      <c r="K34" s="768"/>
      <c r="L34" s="769"/>
      <c r="M34" s="997"/>
      <c r="N34" s="998"/>
      <c r="O34" s="734"/>
      <c r="Q34" s="740"/>
      <c r="R34" s="741"/>
      <c r="S34" s="741"/>
      <c r="T34" s="741"/>
      <c r="U34" s="741"/>
      <c r="V34" s="741"/>
      <c r="W34" s="741"/>
      <c r="X34" s="741"/>
      <c r="Y34" s="741"/>
      <c r="Z34" s="741"/>
      <c r="AA34" s="741"/>
      <c r="AB34" s="741"/>
      <c r="AC34" s="741"/>
      <c r="AD34" s="742"/>
    </row>
    <row r="35" spans="2:30" s="735" customFormat="1" ht="22.95" customHeight="1">
      <c r="B35" s="732"/>
      <c r="C35" s="939">
        <v>38253</v>
      </c>
      <c r="D35" s="940">
        <v>0</v>
      </c>
      <c r="E35" s="940">
        <v>63700</v>
      </c>
      <c r="F35" s="940">
        <v>52801</v>
      </c>
      <c r="G35" s="940" t="s">
        <v>93</v>
      </c>
      <c r="H35" s="937">
        <v>60.1</v>
      </c>
      <c r="I35" s="937"/>
      <c r="J35" s="938">
        <f t="shared" si="0"/>
        <v>0</v>
      </c>
      <c r="K35" s="768"/>
      <c r="L35" s="769"/>
      <c r="M35" s="997"/>
      <c r="N35" s="998"/>
      <c r="O35" s="734"/>
      <c r="Q35" s="740"/>
      <c r="R35" s="741"/>
      <c r="S35" s="741"/>
      <c r="T35" s="741"/>
      <c r="U35" s="741"/>
      <c r="V35" s="741"/>
      <c r="W35" s="741"/>
      <c r="X35" s="741"/>
      <c r="Y35" s="741"/>
      <c r="Z35" s="741"/>
      <c r="AA35" s="741"/>
      <c r="AB35" s="741"/>
      <c r="AC35" s="741"/>
      <c r="AD35" s="742"/>
    </row>
    <row r="36" spans="2:30" s="735" customFormat="1" ht="22.95" customHeight="1">
      <c r="B36" s="732"/>
      <c r="C36" s="939">
        <v>38253</v>
      </c>
      <c r="D36" s="940">
        <v>16638</v>
      </c>
      <c r="E36" s="940">
        <v>185691</v>
      </c>
      <c r="F36" s="940">
        <v>202328</v>
      </c>
      <c r="G36" s="940" t="s">
        <v>67</v>
      </c>
      <c r="H36" s="937">
        <v>60.1</v>
      </c>
      <c r="I36" s="937"/>
      <c r="J36" s="938">
        <f>MMULT(D36,H36)</f>
        <v>999943.8</v>
      </c>
      <c r="K36" s="768"/>
      <c r="L36" s="769"/>
      <c r="M36" s="997"/>
      <c r="N36" s="998"/>
      <c r="O36" s="734"/>
      <c r="Q36" s="740"/>
      <c r="R36" s="741"/>
      <c r="S36" s="741"/>
      <c r="T36" s="741"/>
      <c r="U36" s="741"/>
      <c r="V36" s="741"/>
      <c r="W36" s="741"/>
      <c r="X36" s="741"/>
      <c r="Y36" s="741"/>
      <c r="Z36" s="741"/>
      <c r="AA36" s="741"/>
      <c r="AB36" s="741"/>
      <c r="AC36" s="741"/>
      <c r="AD36" s="742"/>
    </row>
    <row r="37" spans="2:30" s="735" customFormat="1" ht="22.95" customHeight="1">
      <c r="B37" s="732"/>
      <c r="C37" s="939">
        <v>38337</v>
      </c>
      <c r="D37" s="940">
        <v>-5450</v>
      </c>
      <c r="E37" s="940">
        <v>58251</v>
      </c>
      <c r="F37" s="940">
        <v>63700</v>
      </c>
      <c r="G37" s="940" t="s">
        <v>93</v>
      </c>
      <c r="H37" s="937">
        <v>60.1</v>
      </c>
      <c r="I37" s="937"/>
      <c r="J37" s="938">
        <f t="shared" si="0"/>
        <v>-327545</v>
      </c>
      <c r="K37" s="768"/>
      <c r="L37" s="769"/>
      <c r="M37" s="997"/>
      <c r="N37" s="998"/>
      <c r="O37" s="734"/>
      <c r="Q37" s="740"/>
      <c r="R37" s="741"/>
      <c r="S37" s="741"/>
      <c r="T37" s="741"/>
      <c r="U37" s="741"/>
      <c r="V37" s="741"/>
      <c r="W37" s="741"/>
      <c r="X37" s="741"/>
      <c r="Y37" s="741"/>
      <c r="Z37" s="741"/>
      <c r="AA37" s="741"/>
      <c r="AB37" s="741"/>
      <c r="AC37" s="741"/>
      <c r="AD37" s="742"/>
    </row>
    <row r="38" spans="2:30" s="735" customFormat="1" ht="22.95" customHeight="1">
      <c r="B38" s="732"/>
      <c r="C38" s="939">
        <v>38337</v>
      </c>
      <c r="D38" s="940">
        <v>5450</v>
      </c>
      <c r="E38" s="940">
        <v>58251</v>
      </c>
      <c r="F38" s="940">
        <v>63700</v>
      </c>
      <c r="G38" s="940" t="s">
        <v>93</v>
      </c>
      <c r="H38" s="937">
        <v>60.1</v>
      </c>
      <c r="I38" s="937"/>
      <c r="J38" s="938">
        <f t="shared" si="0"/>
        <v>327545</v>
      </c>
      <c r="K38" s="768"/>
      <c r="L38" s="769"/>
      <c r="M38" s="997"/>
      <c r="N38" s="998"/>
      <c r="O38" s="734"/>
      <c r="Q38" s="746"/>
      <c r="R38" s="381"/>
      <c r="S38" s="381"/>
      <c r="T38" s="381"/>
      <c r="U38" s="381"/>
      <c r="V38" s="381"/>
      <c r="W38" s="381"/>
      <c r="X38" s="381"/>
      <c r="Y38" s="381"/>
      <c r="Z38" s="381"/>
      <c r="AA38" s="381"/>
      <c r="AB38" s="381"/>
      <c r="AC38" s="381"/>
      <c r="AD38" s="747"/>
    </row>
    <row r="39" spans="2:30" s="735" customFormat="1" ht="22.95" customHeight="1">
      <c r="B39" s="732"/>
      <c r="C39" s="939">
        <v>38666</v>
      </c>
      <c r="D39" s="940">
        <v>-5450</v>
      </c>
      <c r="E39" s="940">
        <v>52801</v>
      </c>
      <c r="F39" s="940">
        <v>58250</v>
      </c>
      <c r="G39" s="940" t="s">
        <v>93</v>
      </c>
      <c r="H39" s="937">
        <v>60.1</v>
      </c>
      <c r="I39" s="937"/>
      <c r="J39" s="938">
        <f t="shared" si="0"/>
        <v>-327545</v>
      </c>
      <c r="K39" s="768"/>
      <c r="L39" s="769"/>
      <c r="M39" s="997"/>
      <c r="N39" s="998"/>
      <c r="O39" s="734"/>
      <c r="Q39" s="746"/>
      <c r="R39" s="381"/>
      <c r="S39" s="381"/>
      <c r="T39" s="381"/>
      <c r="U39" s="381"/>
      <c r="V39" s="381"/>
      <c r="W39" s="381"/>
      <c r="X39" s="381"/>
      <c r="Y39" s="381"/>
      <c r="Z39" s="381"/>
      <c r="AA39" s="381"/>
      <c r="AB39" s="381"/>
      <c r="AC39" s="381"/>
      <c r="AD39" s="747"/>
    </row>
    <row r="40" spans="2:30" s="735" customFormat="1" ht="22.95" customHeight="1">
      <c r="B40" s="732"/>
      <c r="C40" s="939">
        <v>38666</v>
      </c>
      <c r="D40" s="940">
        <v>5450</v>
      </c>
      <c r="E40" s="940">
        <v>52801</v>
      </c>
      <c r="F40" s="940">
        <v>58250</v>
      </c>
      <c r="G40" s="940" t="s">
        <v>93</v>
      </c>
      <c r="H40" s="937">
        <v>60.1</v>
      </c>
      <c r="I40" s="937"/>
      <c r="J40" s="938">
        <f t="shared" si="0"/>
        <v>327545</v>
      </c>
      <c r="K40" s="768"/>
      <c r="L40" s="769"/>
      <c r="M40" s="997"/>
      <c r="N40" s="998"/>
      <c r="O40" s="734"/>
      <c r="Q40" s="740"/>
      <c r="R40" s="741"/>
      <c r="S40" s="741"/>
      <c r="T40" s="741"/>
      <c r="U40" s="741"/>
      <c r="V40" s="741"/>
      <c r="W40" s="741"/>
      <c r="X40" s="741"/>
      <c r="Y40" s="741"/>
      <c r="Z40" s="741"/>
      <c r="AA40" s="741"/>
      <c r="AB40" s="741"/>
      <c r="AC40" s="741"/>
      <c r="AD40" s="742"/>
    </row>
    <row r="41" spans="2:30" s="735" customFormat="1" ht="22.95" customHeight="1">
      <c r="B41" s="732"/>
      <c r="C41" s="939">
        <v>39140</v>
      </c>
      <c r="D41" s="940">
        <v>5184</v>
      </c>
      <c r="E41" s="940">
        <v>202329</v>
      </c>
      <c r="F41" s="940">
        <v>207512</v>
      </c>
      <c r="G41" s="940" t="s">
        <v>68</v>
      </c>
      <c r="H41" s="937">
        <v>60.1</v>
      </c>
      <c r="I41" s="937"/>
      <c r="J41" s="938">
        <f t="shared" si="0"/>
        <v>311558.40000000002</v>
      </c>
      <c r="K41" s="768"/>
      <c r="L41" s="769"/>
      <c r="M41" s="997"/>
      <c r="N41" s="998"/>
      <c r="O41" s="734"/>
      <c r="Q41" s="740"/>
      <c r="R41" s="741"/>
      <c r="S41" s="741"/>
      <c r="T41" s="741"/>
      <c r="U41" s="741"/>
      <c r="V41" s="741"/>
      <c r="W41" s="741"/>
      <c r="X41" s="741"/>
      <c r="Y41" s="741"/>
      <c r="Z41" s="741"/>
      <c r="AA41" s="741"/>
      <c r="AB41" s="741"/>
      <c r="AC41" s="741"/>
      <c r="AD41" s="742"/>
    </row>
    <row r="42" spans="2:30" s="735" customFormat="1" ht="22.95" customHeight="1">
      <c r="B42" s="732"/>
      <c r="C42" s="942">
        <v>39302</v>
      </c>
      <c r="D42" s="940">
        <v>-10900</v>
      </c>
      <c r="E42" s="940">
        <v>63700</v>
      </c>
      <c r="F42" s="940">
        <v>52801</v>
      </c>
      <c r="G42" s="940" t="s">
        <v>93</v>
      </c>
      <c r="H42" s="937">
        <v>60.1</v>
      </c>
      <c r="I42" s="937"/>
      <c r="J42" s="938">
        <f t="shared" si="0"/>
        <v>-655090</v>
      </c>
      <c r="K42" s="768"/>
      <c r="L42" s="769"/>
      <c r="M42" s="760"/>
      <c r="N42" s="761"/>
      <c r="O42" s="734"/>
      <c r="Q42" s="740"/>
      <c r="R42" s="741"/>
      <c r="S42" s="741"/>
      <c r="T42" s="741"/>
      <c r="U42" s="741"/>
      <c r="V42" s="741"/>
      <c r="W42" s="741"/>
      <c r="X42" s="741"/>
      <c r="Y42" s="741"/>
      <c r="Z42" s="741"/>
      <c r="AA42" s="741"/>
      <c r="AB42" s="741"/>
      <c r="AC42" s="741"/>
      <c r="AD42" s="742"/>
    </row>
    <row r="43" spans="2:30" s="735" customFormat="1" ht="22.95" customHeight="1">
      <c r="B43" s="732"/>
      <c r="C43" s="939">
        <v>40350</v>
      </c>
      <c r="D43" s="940">
        <v>16638</v>
      </c>
      <c r="E43" s="940">
        <v>196613</v>
      </c>
      <c r="F43" s="940">
        <v>213250</v>
      </c>
      <c r="G43" s="940" t="s">
        <v>67</v>
      </c>
      <c r="H43" s="937">
        <v>60.1</v>
      </c>
      <c r="I43" s="937"/>
      <c r="J43" s="938">
        <f t="shared" si="0"/>
        <v>999943.8</v>
      </c>
      <c r="K43" s="768"/>
      <c r="L43" s="769"/>
      <c r="M43" s="760"/>
      <c r="N43" s="761"/>
      <c r="O43" s="734"/>
      <c r="Q43" s="740"/>
      <c r="R43" s="741"/>
      <c r="S43" s="741"/>
      <c r="T43" s="741"/>
      <c r="U43" s="741"/>
      <c r="V43" s="741"/>
      <c r="W43" s="741"/>
      <c r="X43" s="741"/>
      <c r="Y43" s="741"/>
      <c r="Z43" s="741"/>
      <c r="AA43" s="741"/>
      <c r="AB43" s="741"/>
      <c r="AC43" s="741"/>
      <c r="AD43" s="742"/>
    </row>
    <row r="44" spans="2:30" s="735" customFormat="1" ht="22.95" customHeight="1">
      <c r="B44" s="732"/>
      <c r="C44" s="939">
        <v>40709</v>
      </c>
      <c r="D44" s="940">
        <v>66555</v>
      </c>
      <c r="E44" s="940">
        <v>213251</v>
      </c>
      <c r="F44" s="940">
        <v>279805</v>
      </c>
      <c r="G44" s="940" t="s">
        <v>67</v>
      </c>
      <c r="H44" s="937">
        <v>60.1</v>
      </c>
      <c r="I44" s="937"/>
      <c r="J44" s="938">
        <f t="shared" si="0"/>
        <v>3999955.5</v>
      </c>
      <c r="K44" s="768"/>
      <c r="L44" s="769"/>
      <c r="M44" s="760"/>
      <c r="N44" s="761"/>
      <c r="O44" s="734"/>
      <c r="Q44" s="740"/>
      <c r="R44" s="741"/>
      <c r="S44" s="741"/>
      <c r="T44" s="741"/>
      <c r="U44" s="741"/>
      <c r="V44" s="741"/>
      <c r="W44" s="741"/>
      <c r="X44" s="741"/>
      <c r="Y44" s="741"/>
      <c r="Z44" s="741"/>
      <c r="AA44" s="741"/>
      <c r="AB44" s="741"/>
      <c r="AC44" s="741"/>
      <c r="AD44" s="742"/>
    </row>
    <row r="45" spans="2:30" s="735" customFormat="1" ht="22.95" customHeight="1">
      <c r="B45" s="732"/>
      <c r="C45" s="939">
        <v>41355</v>
      </c>
      <c r="D45" s="940">
        <v>66555</v>
      </c>
      <c r="E45" s="940">
        <v>279806</v>
      </c>
      <c r="F45" s="940">
        <v>346360</v>
      </c>
      <c r="G45" s="940" t="s">
        <v>67</v>
      </c>
      <c r="H45" s="937">
        <v>60.1</v>
      </c>
      <c r="I45" s="937"/>
      <c r="J45" s="938">
        <f t="shared" si="0"/>
        <v>3999955.5</v>
      </c>
      <c r="K45" s="768"/>
      <c r="L45" s="769"/>
      <c r="M45" s="760"/>
      <c r="N45" s="761"/>
      <c r="O45" s="734"/>
      <c r="Q45" s="740"/>
      <c r="R45" s="741"/>
      <c r="S45" s="741"/>
      <c r="T45" s="741"/>
      <c r="U45" s="741"/>
      <c r="V45" s="741"/>
      <c r="W45" s="741"/>
      <c r="X45" s="741"/>
      <c r="Y45" s="741"/>
      <c r="Z45" s="741"/>
      <c r="AA45" s="741"/>
      <c r="AB45" s="741"/>
      <c r="AC45" s="741"/>
      <c r="AD45" s="742"/>
    </row>
    <row r="46" spans="2:30" s="735" customFormat="1" ht="22.95" customHeight="1">
      <c r="B46" s="732"/>
      <c r="C46" s="939">
        <v>41956</v>
      </c>
      <c r="D46" s="940">
        <v>-16057</v>
      </c>
      <c r="E46" s="940">
        <v>184038</v>
      </c>
      <c r="F46" s="940">
        <v>167982</v>
      </c>
      <c r="G46" s="940" t="s">
        <v>68</v>
      </c>
      <c r="H46" s="937">
        <v>60.1</v>
      </c>
      <c r="I46" s="937"/>
      <c r="J46" s="938">
        <f t="shared" si="0"/>
        <v>-965025.70000000007</v>
      </c>
      <c r="K46" s="768"/>
      <c r="L46" s="769"/>
      <c r="M46" s="760"/>
      <c r="N46" s="761"/>
      <c r="O46" s="734"/>
      <c r="Q46" s="740"/>
      <c r="R46" s="741"/>
      <c r="S46" s="741"/>
      <c r="T46" s="741"/>
      <c r="U46" s="741"/>
      <c r="V46" s="741"/>
      <c r="W46" s="741"/>
      <c r="X46" s="741"/>
      <c r="Y46" s="741"/>
      <c r="Z46" s="741"/>
      <c r="AA46" s="741"/>
      <c r="AB46" s="741"/>
      <c r="AC46" s="741"/>
      <c r="AD46" s="742"/>
    </row>
    <row r="47" spans="2:30" s="735" customFormat="1" ht="22.95" customHeight="1">
      <c r="B47" s="732"/>
      <c r="C47" s="939">
        <v>41956</v>
      </c>
      <c r="D47" s="940">
        <v>16057</v>
      </c>
      <c r="E47" s="940">
        <v>167982</v>
      </c>
      <c r="F47" s="940">
        <v>184038</v>
      </c>
      <c r="G47" s="940" t="s">
        <v>68</v>
      </c>
      <c r="H47" s="937">
        <v>60.1</v>
      </c>
      <c r="I47" s="937"/>
      <c r="J47" s="938">
        <f t="shared" si="0"/>
        <v>965025.70000000007</v>
      </c>
      <c r="K47" s="768"/>
      <c r="L47" s="769"/>
      <c r="M47" s="760"/>
      <c r="N47" s="761"/>
      <c r="O47" s="734"/>
      <c r="Q47" s="740"/>
      <c r="R47" s="741"/>
      <c r="S47" s="741"/>
      <c r="T47" s="741"/>
      <c r="U47" s="741"/>
      <c r="V47" s="741"/>
      <c r="W47" s="741"/>
      <c r="X47" s="741"/>
      <c r="Y47" s="741"/>
      <c r="Z47" s="741"/>
      <c r="AA47" s="741"/>
      <c r="AB47" s="741"/>
      <c r="AC47" s="741"/>
      <c r="AD47" s="742"/>
    </row>
    <row r="48" spans="2:30" s="735" customFormat="1" ht="22.95" customHeight="1">
      <c r="B48" s="732"/>
      <c r="C48" s="942">
        <v>42068</v>
      </c>
      <c r="D48" s="940">
        <v>48016</v>
      </c>
      <c r="E48" s="940">
        <v>346361</v>
      </c>
      <c r="F48" s="940">
        <v>394376</v>
      </c>
      <c r="G48" s="940" t="s">
        <v>67</v>
      </c>
      <c r="H48" s="937">
        <v>60.1</v>
      </c>
      <c r="I48" s="937"/>
      <c r="J48" s="938">
        <f t="shared" si="0"/>
        <v>2885761.6</v>
      </c>
      <c r="K48" s="768"/>
      <c r="L48" s="769"/>
      <c r="M48" s="760"/>
      <c r="N48" s="761"/>
      <c r="O48" s="734"/>
      <c r="Q48" s="740"/>
      <c r="R48" s="741"/>
      <c r="S48" s="741"/>
      <c r="T48" s="741"/>
      <c r="U48" s="741"/>
      <c r="V48" s="741"/>
      <c r="W48" s="741"/>
      <c r="X48" s="741"/>
      <c r="Y48" s="741"/>
      <c r="Z48" s="741"/>
      <c r="AA48" s="741"/>
      <c r="AB48" s="741"/>
      <c r="AC48" s="741"/>
      <c r="AD48" s="742"/>
    </row>
    <row r="49" spans="2:30" s="735" customFormat="1" ht="22.95" customHeight="1">
      <c r="B49" s="732"/>
      <c r="C49" s="942">
        <v>42068</v>
      </c>
      <c r="D49" s="940">
        <v>1900</v>
      </c>
      <c r="E49" s="940">
        <v>394377</v>
      </c>
      <c r="F49" s="940">
        <v>396276</v>
      </c>
      <c r="G49" s="940" t="s">
        <v>68</v>
      </c>
      <c r="H49" s="937">
        <v>60.1</v>
      </c>
      <c r="I49" s="937"/>
      <c r="J49" s="938">
        <f t="shared" si="0"/>
        <v>114190</v>
      </c>
      <c r="K49" s="768"/>
      <c r="L49" s="769"/>
      <c r="M49" s="760"/>
      <c r="N49" s="761"/>
      <c r="O49" s="734"/>
      <c r="Q49" s="740"/>
      <c r="R49" s="741"/>
      <c r="S49" s="741"/>
      <c r="T49" s="741"/>
      <c r="U49" s="741"/>
      <c r="V49" s="741"/>
      <c r="W49" s="741"/>
      <c r="X49" s="741"/>
      <c r="Y49" s="741"/>
      <c r="Z49" s="741"/>
      <c r="AA49" s="741"/>
      <c r="AB49" s="741"/>
      <c r="AC49" s="741"/>
      <c r="AD49" s="742"/>
    </row>
    <row r="50" spans="2:30" s="735" customFormat="1" ht="22.95" customHeight="1">
      <c r="B50" s="732"/>
      <c r="C50" s="939">
        <v>42361</v>
      </c>
      <c r="D50" s="940">
        <v>48016</v>
      </c>
      <c r="E50" s="940">
        <v>396277</v>
      </c>
      <c r="F50" s="940">
        <v>444292</v>
      </c>
      <c r="G50" s="940" t="s">
        <v>67</v>
      </c>
      <c r="H50" s="937">
        <v>60.1</v>
      </c>
      <c r="I50" s="937"/>
      <c r="J50" s="938">
        <f t="shared" si="0"/>
        <v>2885761.6</v>
      </c>
      <c r="K50" s="768"/>
      <c r="L50" s="769"/>
      <c r="M50" s="760"/>
      <c r="N50" s="761"/>
      <c r="O50" s="734"/>
      <c r="Q50" s="740"/>
      <c r="R50" s="741"/>
      <c r="S50" s="741"/>
      <c r="T50" s="741"/>
      <c r="U50" s="741"/>
      <c r="V50" s="741"/>
      <c r="W50" s="741"/>
      <c r="X50" s="741"/>
      <c r="Y50" s="741"/>
      <c r="Z50" s="741"/>
      <c r="AA50" s="741"/>
      <c r="AB50" s="741"/>
      <c r="AC50" s="741"/>
      <c r="AD50" s="742"/>
    </row>
    <row r="51" spans="2:30" s="735" customFormat="1" ht="22.95" customHeight="1">
      <c r="B51" s="732"/>
      <c r="C51" s="939">
        <v>42361</v>
      </c>
      <c r="D51" s="940">
        <v>1900</v>
      </c>
      <c r="E51" s="940">
        <v>444293</v>
      </c>
      <c r="F51" s="940">
        <v>446192</v>
      </c>
      <c r="G51" s="940" t="s">
        <v>68</v>
      </c>
      <c r="H51" s="937">
        <v>60.1</v>
      </c>
      <c r="I51" s="937"/>
      <c r="J51" s="938">
        <f t="shared" si="0"/>
        <v>114190</v>
      </c>
      <c r="K51" s="768"/>
      <c r="L51" s="769"/>
      <c r="M51" s="760"/>
      <c r="N51" s="761"/>
      <c r="O51" s="734"/>
      <c r="Q51" s="740"/>
      <c r="R51" s="741"/>
      <c r="S51" s="741"/>
      <c r="T51" s="741"/>
      <c r="U51" s="741"/>
      <c r="V51" s="741"/>
      <c r="W51" s="741"/>
      <c r="X51" s="741"/>
      <c r="Y51" s="741"/>
      <c r="Z51" s="741"/>
      <c r="AA51" s="741"/>
      <c r="AB51" s="741"/>
      <c r="AC51" s="741"/>
      <c r="AD51" s="742"/>
    </row>
    <row r="52" spans="2:30" s="735" customFormat="1" ht="22.95" customHeight="1">
      <c r="B52" s="732"/>
      <c r="C52" s="939">
        <v>42703</v>
      </c>
      <c r="D52" s="940">
        <v>16005</v>
      </c>
      <c r="E52" s="940">
        <v>446193</v>
      </c>
      <c r="F52" s="940">
        <v>462197</v>
      </c>
      <c r="G52" s="940" t="s">
        <v>67</v>
      </c>
      <c r="H52" s="937">
        <v>60.1</v>
      </c>
      <c r="I52" s="937"/>
      <c r="J52" s="938">
        <f t="shared" si="0"/>
        <v>961900.5</v>
      </c>
      <c r="K52" s="768"/>
      <c r="L52" s="769"/>
      <c r="M52" s="760"/>
      <c r="N52" s="761"/>
      <c r="O52" s="734"/>
      <c r="Q52" s="740"/>
      <c r="R52" s="741"/>
      <c r="S52" s="741"/>
      <c r="T52" s="741"/>
      <c r="U52" s="741"/>
      <c r="V52" s="741"/>
      <c r="W52" s="741"/>
      <c r="X52" s="741"/>
      <c r="Y52" s="741"/>
      <c r="Z52" s="741"/>
      <c r="AA52" s="741"/>
      <c r="AB52" s="741"/>
      <c r="AC52" s="741"/>
      <c r="AD52" s="742"/>
    </row>
    <row r="53" spans="2:30" s="735" customFormat="1" ht="22.95" customHeight="1">
      <c r="B53" s="732"/>
      <c r="C53" s="939">
        <v>42703</v>
      </c>
      <c r="D53" s="940">
        <v>633</v>
      </c>
      <c r="E53" s="940">
        <v>462198</v>
      </c>
      <c r="F53" s="940">
        <v>462830</v>
      </c>
      <c r="G53" s="940" t="s">
        <v>68</v>
      </c>
      <c r="H53" s="940">
        <v>60.1</v>
      </c>
      <c r="I53" s="940"/>
      <c r="J53" s="940">
        <f t="shared" si="0"/>
        <v>38043.300000000003</v>
      </c>
      <c r="K53" s="768"/>
      <c r="L53" s="769"/>
      <c r="M53" s="760"/>
      <c r="N53" s="761"/>
      <c r="O53" s="734"/>
      <c r="Q53" s="740"/>
      <c r="R53" s="741"/>
      <c r="S53" s="741"/>
      <c r="T53" s="741"/>
      <c r="U53" s="741"/>
      <c r="V53" s="741"/>
      <c r="W53" s="741"/>
      <c r="X53" s="741"/>
      <c r="Y53" s="741"/>
      <c r="Z53" s="741"/>
      <c r="AA53" s="741"/>
      <c r="AB53" s="741"/>
      <c r="AC53" s="741"/>
      <c r="AD53" s="742"/>
    </row>
    <row r="54" spans="2:30" s="735" customFormat="1" ht="22.95" customHeight="1" thickBot="1">
      <c r="B54" s="732"/>
      <c r="C54" s="752" t="s">
        <v>491</v>
      </c>
      <c r="D54" s="753">
        <f>SUM(D14:D53)</f>
        <v>462830</v>
      </c>
      <c r="E54" s="754"/>
      <c r="F54" s="755"/>
      <c r="G54" s="756"/>
      <c r="H54" s="759"/>
      <c r="I54" s="759"/>
      <c r="J54" s="757">
        <f>SUM(J14:J53)</f>
        <v>27816083.000000007</v>
      </c>
      <c r="K54" s="759"/>
      <c r="L54" s="758">
        <f>K54*D54</f>
        <v>0</v>
      </c>
      <c r="M54" s="733"/>
      <c r="N54" s="733"/>
      <c r="O54" s="734"/>
      <c r="Q54" s="748"/>
      <c r="R54" s="749"/>
      <c r="S54" s="749"/>
      <c r="T54" s="749"/>
      <c r="U54" s="749"/>
      <c r="V54" s="749"/>
      <c r="W54" s="749"/>
      <c r="X54" s="749"/>
      <c r="Y54" s="749"/>
      <c r="Z54" s="749"/>
      <c r="AA54" s="749"/>
      <c r="AB54" s="749"/>
      <c r="AC54" s="749"/>
      <c r="AD54" s="750"/>
    </row>
    <row r="55" spans="2:30" s="735" customFormat="1" ht="22.95" customHeight="1">
      <c r="B55" s="732"/>
      <c r="C55" s="739"/>
      <c r="D55" s="739"/>
      <c r="E55" s="739"/>
      <c r="F55" s="739"/>
      <c r="G55" s="739"/>
      <c r="H55" s="733"/>
      <c r="I55" s="733"/>
      <c r="J55" s="733"/>
      <c r="K55" s="733"/>
      <c r="L55" s="733"/>
      <c r="M55" s="733"/>
      <c r="N55" s="733"/>
      <c r="O55" s="734"/>
      <c r="Q55" s="748"/>
      <c r="R55" s="749"/>
      <c r="S55" s="749"/>
      <c r="T55" s="749"/>
      <c r="U55" s="749"/>
      <c r="V55" s="749"/>
      <c r="W55" s="749"/>
      <c r="X55" s="749"/>
      <c r="Y55" s="749"/>
      <c r="Z55" s="749"/>
      <c r="AA55" s="749"/>
      <c r="AB55" s="749"/>
      <c r="AC55" s="749"/>
      <c r="AD55" s="750"/>
    </row>
    <row r="56" spans="2:30" ht="22.95" customHeight="1">
      <c r="B56" s="693"/>
      <c r="C56" s="659" t="s">
        <v>514</v>
      </c>
      <c r="D56" s="589"/>
      <c r="E56" s="589"/>
      <c r="F56" s="589"/>
      <c r="G56" s="589"/>
      <c r="H56" s="688"/>
      <c r="I56" s="688"/>
      <c r="J56" s="688"/>
      <c r="K56" s="688"/>
      <c r="L56" s="688"/>
      <c r="M56" s="688"/>
      <c r="N56" s="688"/>
      <c r="O56" s="695"/>
      <c r="Q56" s="393"/>
      <c r="R56" s="394"/>
      <c r="S56" s="394"/>
      <c r="T56" s="394"/>
      <c r="U56" s="394"/>
      <c r="V56" s="394"/>
      <c r="W56" s="394"/>
      <c r="X56" s="394"/>
      <c r="Y56" s="394"/>
      <c r="Z56" s="394"/>
      <c r="AA56" s="394"/>
      <c r="AB56" s="394"/>
      <c r="AC56" s="394"/>
      <c r="AD56" s="395"/>
    </row>
    <row r="57" spans="2:30" ht="22.95" customHeight="1">
      <c r="B57" s="693"/>
      <c r="C57" s="722" t="s">
        <v>878</v>
      </c>
      <c r="D57" s="589"/>
      <c r="E57" s="589"/>
      <c r="F57" s="589"/>
      <c r="G57" s="589"/>
      <c r="H57" s="688"/>
      <c r="I57" s="688"/>
      <c r="J57" s="688"/>
      <c r="K57" s="688"/>
      <c r="L57" s="688"/>
      <c r="M57" s="688"/>
      <c r="N57" s="688"/>
      <c r="O57" s="695"/>
      <c r="Q57" s="393"/>
      <c r="R57" s="394"/>
      <c r="S57" s="394"/>
      <c r="T57" s="394"/>
      <c r="U57" s="394"/>
      <c r="V57" s="394"/>
      <c r="W57" s="394"/>
      <c r="X57" s="394"/>
      <c r="Y57" s="394"/>
      <c r="Z57" s="394"/>
      <c r="AA57" s="394"/>
      <c r="AB57" s="394"/>
      <c r="AC57" s="394"/>
      <c r="AD57" s="395"/>
    </row>
    <row r="58" spans="2:30" ht="22.95" customHeight="1">
      <c r="B58" s="693"/>
      <c r="C58" s="722" t="s">
        <v>881</v>
      </c>
      <c r="D58" s="589"/>
      <c r="E58" s="589"/>
      <c r="F58" s="589"/>
      <c r="G58" s="589"/>
      <c r="H58" s="688"/>
      <c r="I58" s="688"/>
      <c r="J58" s="589">
        <f>ejercicio-2</f>
        <v>2016</v>
      </c>
      <c r="K58" s="688" t="s">
        <v>880</v>
      </c>
      <c r="L58" s="688"/>
      <c r="M58" s="688"/>
      <c r="N58" s="688"/>
      <c r="O58" s="695"/>
      <c r="Q58" s="393"/>
      <c r="R58" s="394"/>
      <c r="S58" s="394"/>
      <c r="T58" s="394"/>
      <c r="U58" s="394"/>
      <c r="V58" s="394"/>
      <c r="W58" s="394"/>
      <c r="X58" s="394"/>
      <c r="Y58" s="394"/>
      <c r="Z58" s="394"/>
      <c r="AA58" s="394"/>
      <c r="AB58" s="394"/>
      <c r="AC58" s="394"/>
      <c r="AD58" s="395"/>
    </row>
    <row r="59" spans="2:30" ht="22.95" customHeight="1" thickBot="1">
      <c r="B59" s="723"/>
      <c r="C59" s="991"/>
      <c r="D59" s="991"/>
      <c r="E59" s="991"/>
      <c r="F59" s="991"/>
      <c r="G59" s="991"/>
      <c r="H59" s="724"/>
      <c r="I59" s="724"/>
      <c r="J59" s="724"/>
      <c r="K59" s="724"/>
      <c r="L59" s="724"/>
      <c r="M59" s="724"/>
      <c r="N59" s="724"/>
      <c r="O59" s="725"/>
      <c r="Q59" s="396"/>
      <c r="R59" s="397"/>
      <c r="S59" s="397"/>
      <c r="T59" s="397"/>
      <c r="U59" s="397"/>
      <c r="V59" s="397"/>
      <c r="W59" s="397"/>
      <c r="X59" s="397"/>
      <c r="Y59" s="397"/>
      <c r="Z59" s="397"/>
      <c r="AA59" s="397"/>
      <c r="AB59" s="397"/>
      <c r="AC59" s="397"/>
      <c r="AD59" s="398"/>
    </row>
    <row r="60" spans="2:30" ht="22.95" customHeight="1">
      <c r="C60" s="688"/>
      <c r="D60" s="688"/>
      <c r="E60" s="688"/>
      <c r="F60" s="688"/>
      <c r="G60" s="688"/>
      <c r="H60" s="688"/>
      <c r="I60" s="688"/>
      <c r="J60" s="688"/>
      <c r="K60" s="688"/>
      <c r="L60" s="688"/>
      <c r="M60" s="688"/>
      <c r="N60" s="688"/>
    </row>
    <row r="61" spans="2:30" ht="13.2">
      <c r="C61" s="726" t="s">
        <v>174</v>
      </c>
      <c r="D61" s="688"/>
      <c r="E61" s="688"/>
      <c r="F61" s="688"/>
      <c r="G61" s="688"/>
      <c r="H61" s="688"/>
      <c r="I61" s="688"/>
      <c r="J61" s="688"/>
      <c r="K61" s="688"/>
      <c r="L61" s="688"/>
      <c r="M61" s="688"/>
      <c r="N61" s="666" t="s">
        <v>889</v>
      </c>
    </row>
    <row r="62" spans="2:30" ht="13.2">
      <c r="C62" s="727" t="s">
        <v>175</v>
      </c>
      <c r="D62" s="688"/>
      <c r="E62" s="688"/>
      <c r="F62" s="688"/>
      <c r="G62" s="688"/>
      <c r="H62" s="688"/>
      <c r="I62" s="688"/>
      <c r="J62" s="688"/>
      <c r="K62" s="688"/>
      <c r="L62" s="688"/>
      <c r="M62" s="688"/>
      <c r="N62" s="688"/>
    </row>
    <row r="63" spans="2:30" ht="13.2">
      <c r="C63" s="727" t="s">
        <v>176</v>
      </c>
      <c r="D63" s="688"/>
      <c r="E63" s="688"/>
      <c r="F63" s="688"/>
      <c r="G63" s="688"/>
      <c r="H63" s="688"/>
      <c r="I63" s="688"/>
      <c r="J63" s="688"/>
      <c r="K63" s="688"/>
      <c r="L63" s="688"/>
      <c r="M63" s="688"/>
      <c r="N63" s="688"/>
    </row>
    <row r="64" spans="2:30" ht="13.2">
      <c r="C64" s="727" t="s">
        <v>177</v>
      </c>
      <c r="D64" s="688"/>
      <c r="E64" s="688"/>
      <c r="F64" s="688"/>
      <c r="G64" s="688"/>
      <c r="H64" s="688"/>
      <c r="I64" s="688"/>
      <c r="J64" s="688"/>
      <c r="K64" s="688"/>
      <c r="L64" s="688"/>
      <c r="M64" s="688"/>
      <c r="N64" s="688"/>
    </row>
    <row r="65" spans="3:14" ht="13.2">
      <c r="C65" s="727" t="s">
        <v>178</v>
      </c>
      <c r="D65" s="688"/>
      <c r="E65" s="688"/>
      <c r="F65" s="688"/>
      <c r="G65" s="688"/>
      <c r="H65" s="688"/>
      <c r="I65" s="688"/>
      <c r="J65" s="688"/>
      <c r="K65" s="688"/>
      <c r="L65" s="688"/>
      <c r="M65" s="688"/>
      <c r="N65" s="688"/>
    </row>
    <row r="66" spans="3:14" ht="22.95" customHeight="1">
      <c r="C66" s="688"/>
      <c r="D66" s="688"/>
      <c r="E66" s="688"/>
      <c r="F66" s="688"/>
      <c r="G66" s="688"/>
      <c r="H66" s="688"/>
      <c r="I66" s="688"/>
      <c r="J66" s="688"/>
      <c r="K66" s="688"/>
      <c r="L66" s="688"/>
      <c r="M66" s="688"/>
      <c r="N66" s="688"/>
    </row>
    <row r="67" spans="3:14" ht="22.95" customHeight="1">
      <c r="C67" s="688"/>
      <c r="D67" s="688"/>
      <c r="E67" s="688"/>
      <c r="F67" s="688"/>
      <c r="G67" s="688"/>
      <c r="H67" s="688"/>
      <c r="I67" s="688"/>
      <c r="J67" s="688"/>
      <c r="K67" s="688"/>
      <c r="L67" s="688"/>
      <c r="M67" s="688"/>
      <c r="N67" s="688"/>
    </row>
    <row r="68" spans="3:14" ht="22.95" customHeight="1">
      <c r="C68" s="688"/>
      <c r="D68" s="688"/>
      <c r="E68" s="688"/>
      <c r="F68" s="688"/>
      <c r="G68" s="688"/>
      <c r="H68" s="688"/>
      <c r="I68" s="688"/>
      <c r="J68" s="688"/>
      <c r="K68" s="688"/>
      <c r="L68" s="688"/>
      <c r="M68" s="688"/>
      <c r="N68" s="688"/>
    </row>
    <row r="69" spans="3:14" ht="22.95" customHeight="1">
      <c r="C69" s="688"/>
      <c r="D69" s="688"/>
      <c r="E69" s="688"/>
      <c r="F69" s="688"/>
      <c r="G69" s="688"/>
      <c r="H69" s="688"/>
      <c r="I69" s="688"/>
      <c r="J69" s="688"/>
      <c r="K69" s="688"/>
      <c r="L69" s="688"/>
      <c r="M69" s="688"/>
      <c r="N69" s="688"/>
    </row>
    <row r="70" spans="3:14" ht="22.95" customHeight="1">
      <c r="G70" s="688"/>
      <c r="H70" s="688"/>
      <c r="I70" s="688"/>
      <c r="J70" s="688"/>
      <c r="K70" s="688"/>
      <c r="L70" s="688"/>
      <c r="M70" s="688"/>
      <c r="N70" s="688"/>
    </row>
  </sheetData>
  <sheetProtection password="E059" sheet="1" objects="1" scenarios="1"/>
  <mergeCells count="24">
    <mergeCell ref="M34:N34"/>
    <mergeCell ref="M23:N23"/>
    <mergeCell ref="M21:N21"/>
    <mergeCell ref="M13:N13"/>
    <mergeCell ref="M14:N14"/>
    <mergeCell ref="M15:N15"/>
    <mergeCell ref="M16:N16"/>
    <mergeCell ref="M17:N17"/>
    <mergeCell ref="M18:N18"/>
    <mergeCell ref="M19:N19"/>
    <mergeCell ref="M20:N20"/>
    <mergeCell ref="N6:N7"/>
    <mergeCell ref="D9:M9"/>
    <mergeCell ref="E13:F13"/>
    <mergeCell ref="M22:N22"/>
    <mergeCell ref="M33:N33"/>
    <mergeCell ref="M38:N38"/>
    <mergeCell ref="M39:N39"/>
    <mergeCell ref="M36:N36"/>
    <mergeCell ref="M35:N35"/>
    <mergeCell ref="C59:G59"/>
    <mergeCell ref="M41:N41"/>
    <mergeCell ref="M37:N37"/>
    <mergeCell ref="M40:N40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7"/>
  <sheetViews>
    <sheetView zoomScale="85" zoomScaleNormal="85" zoomScalePageLayoutView="50" workbookViewId="0">
      <selection activeCell="B1" sqref="B1:H92"/>
    </sheetView>
  </sheetViews>
  <sheetFormatPr baseColWidth="10" defaultColWidth="10.54296875" defaultRowHeight="22.95" customHeight="1"/>
  <cols>
    <col min="1" max="2" width="3.1796875" style="42" customWidth="1"/>
    <col min="3" max="3" width="13.54296875" style="42" customWidth="1"/>
    <col min="4" max="4" width="76.54296875" style="42" customWidth="1"/>
    <col min="5" max="7" width="18.453125" style="42" customWidth="1"/>
    <col min="8" max="8" width="3.453125" style="42" customWidth="1"/>
    <col min="9" max="16384" width="10.54296875" style="42"/>
  </cols>
  <sheetData>
    <row r="1" spans="2:23" ht="22.95" customHeight="1">
      <c r="D1" s="44"/>
    </row>
    <row r="2" spans="2:23" ht="22.95" customHeight="1">
      <c r="D2" s="61" t="s">
        <v>128</v>
      </c>
    </row>
    <row r="3" spans="2:23" ht="22.95" customHeight="1">
      <c r="D3" s="61" t="s">
        <v>129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77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9"/>
    </row>
    <row r="6" spans="2:23" ht="30" customHeight="1">
      <c r="B6" s="48"/>
      <c r="C6" s="1" t="s">
        <v>97</v>
      </c>
      <c r="D6" s="44"/>
      <c r="E6" s="44"/>
      <c r="F6" s="44"/>
      <c r="G6" s="984">
        <f>ejercicio</f>
        <v>2018</v>
      </c>
      <c r="H6" s="50"/>
      <c r="J6" s="380"/>
      <c r="K6" s="381" t="s">
        <v>810</v>
      </c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3"/>
    </row>
    <row r="7" spans="2:23" ht="30" customHeight="1">
      <c r="B7" s="48"/>
      <c r="C7" s="1" t="s">
        <v>98</v>
      </c>
      <c r="D7" s="44"/>
      <c r="E7" s="44"/>
      <c r="F7" s="44"/>
      <c r="G7" s="984"/>
      <c r="H7" s="50"/>
      <c r="J7" s="380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3"/>
    </row>
    <row r="8" spans="2:23" ht="30" customHeight="1">
      <c r="B8" s="48"/>
      <c r="C8" s="49"/>
      <c r="D8" s="44"/>
      <c r="E8" s="44"/>
      <c r="F8" s="44"/>
      <c r="G8" s="51"/>
      <c r="H8" s="50"/>
      <c r="J8" s="380"/>
      <c r="K8" s="382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3"/>
    </row>
    <row r="9" spans="2:23" s="58" customFormat="1" ht="30" customHeight="1">
      <c r="B9" s="56"/>
      <c r="C9" s="39" t="s">
        <v>99</v>
      </c>
      <c r="D9" s="1004" t="str">
        <f>Entidad</f>
        <v>INSTITUTO TECNOLÓGICO Y DE ENERGÍAS RENOVALBES S.A. (ITER)</v>
      </c>
      <c r="E9" s="1004"/>
      <c r="F9" s="1004"/>
      <c r="G9" s="1004"/>
      <c r="H9" s="57"/>
      <c r="J9" s="384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6"/>
    </row>
    <row r="10" spans="2:23" ht="7.2" customHeight="1">
      <c r="B10" s="48"/>
      <c r="C10" s="44"/>
      <c r="D10" s="44"/>
      <c r="E10" s="44"/>
      <c r="F10" s="44"/>
      <c r="G10" s="44"/>
      <c r="H10" s="50"/>
      <c r="J10" s="380"/>
      <c r="K10" s="382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3"/>
    </row>
    <row r="11" spans="2:23" s="60" customFormat="1" ht="30" customHeight="1">
      <c r="B11" s="24"/>
      <c r="C11" s="11" t="s">
        <v>182</v>
      </c>
      <c r="D11" s="11"/>
      <c r="E11" s="11"/>
      <c r="F11" s="11"/>
      <c r="G11" s="11"/>
      <c r="H11" s="59"/>
      <c r="J11" s="387"/>
      <c r="K11" s="388"/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9"/>
    </row>
    <row r="12" spans="2:23" s="60" customFormat="1" ht="30" customHeight="1">
      <c r="B12" s="24"/>
      <c r="C12" s="66"/>
      <c r="D12" s="66"/>
      <c r="E12" s="66"/>
      <c r="F12" s="66"/>
      <c r="G12" s="66"/>
      <c r="H12" s="59"/>
      <c r="J12" s="387"/>
      <c r="K12" s="388"/>
      <c r="L12" s="388"/>
      <c r="M12" s="388"/>
      <c r="N12" s="388"/>
      <c r="O12" s="388"/>
      <c r="P12" s="388"/>
      <c r="Q12" s="388"/>
      <c r="R12" s="388"/>
      <c r="S12" s="388"/>
      <c r="T12" s="388"/>
      <c r="U12" s="388"/>
      <c r="V12" s="388"/>
      <c r="W12" s="389"/>
    </row>
    <row r="13" spans="2:23" ht="22.95" customHeight="1">
      <c r="B13" s="48"/>
      <c r="C13" s="203"/>
      <c r="D13" s="204"/>
      <c r="E13" s="205" t="s">
        <v>280</v>
      </c>
      <c r="F13" s="205" t="s">
        <v>281</v>
      </c>
      <c r="G13" s="319" t="s">
        <v>282</v>
      </c>
      <c r="H13" s="50"/>
      <c r="J13" s="380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3"/>
    </row>
    <row r="14" spans="2:23" ht="22.95" customHeight="1">
      <c r="B14" s="48"/>
      <c r="C14" s="206"/>
      <c r="D14" s="68"/>
      <c r="E14" s="207">
        <f>ejercicio-2</f>
        <v>2016</v>
      </c>
      <c r="F14" s="207">
        <f>ejercicio-1</f>
        <v>2017</v>
      </c>
      <c r="G14" s="318">
        <f>ejercicio</f>
        <v>2018</v>
      </c>
      <c r="H14" s="50"/>
      <c r="J14" s="380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3"/>
    </row>
    <row r="15" spans="2:23" ht="22.95" customHeight="1">
      <c r="B15" s="48"/>
      <c r="C15" s="137" t="s">
        <v>183</v>
      </c>
      <c r="D15" s="86" t="s">
        <v>184</v>
      </c>
      <c r="E15" s="130"/>
      <c r="F15" s="130"/>
      <c r="G15" s="130"/>
      <c r="H15" s="50"/>
      <c r="J15" s="380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3"/>
    </row>
    <row r="16" spans="2:23" ht="22.95" customHeight="1">
      <c r="B16" s="48"/>
      <c r="C16" s="139" t="s">
        <v>185</v>
      </c>
      <c r="D16" s="70" t="s">
        <v>849</v>
      </c>
      <c r="E16" s="132">
        <f>SUM(E17:E19)</f>
        <v>9065291.379999999</v>
      </c>
      <c r="F16" s="132">
        <f>SUM(F17:F19)</f>
        <v>8187502.0099999998</v>
      </c>
      <c r="G16" s="132">
        <f>SUM(G17:G19)</f>
        <v>8773891.0500000007</v>
      </c>
      <c r="H16" s="50"/>
      <c r="J16" s="380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3"/>
    </row>
    <row r="17" spans="2:23" ht="22.95" customHeight="1">
      <c r="B17" s="48"/>
      <c r="C17" s="140" t="s">
        <v>186</v>
      </c>
      <c r="D17" s="71" t="s">
        <v>187</v>
      </c>
      <c r="E17" s="420">
        <v>680803.75</v>
      </c>
      <c r="F17" s="420">
        <v>685009.83</v>
      </c>
      <c r="G17" s="420">
        <v>882988.77</v>
      </c>
      <c r="H17" s="50"/>
      <c r="J17" s="380"/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3"/>
    </row>
    <row r="18" spans="2:23" ht="22.95" customHeight="1">
      <c r="B18" s="48"/>
      <c r="C18" s="141" t="s">
        <v>188</v>
      </c>
      <c r="D18" s="72" t="s">
        <v>189</v>
      </c>
      <c r="E18" s="421">
        <v>8384487.6299999999</v>
      </c>
      <c r="F18" s="421">
        <v>7502492.1799999997</v>
      </c>
      <c r="G18" s="421">
        <v>7890902.2800000003</v>
      </c>
      <c r="H18" s="50"/>
      <c r="J18" s="380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3"/>
    </row>
    <row r="19" spans="2:23" ht="22.95" customHeight="1">
      <c r="B19" s="48"/>
      <c r="C19" s="141" t="s">
        <v>190</v>
      </c>
      <c r="D19" s="72" t="s">
        <v>191</v>
      </c>
      <c r="E19" s="421"/>
      <c r="F19" s="421"/>
      <c r="G19" s="421"/>
      <c r="H19" s="50"/>
      <c r="J19" s="380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3"/>
    </row>
    <row r="20" spans="2:23" ht="22.95" customHeight="1">
      <c r="B20" s="48"/>
      <c r="C20" s="139" t="s">
        <v>192</v>
      </c>
      <c r="D20" s="70" t="s">
        <v>193</v>
      </c>
      <c r="E20" s="422">
        <v>-7350</v>
      </c>
      <c r="F20" s="422">
        <v>-85365</v>
      </c>
      <c r="G20" s="422">
        <v>-900</v>
      </c>
      <c r="H20" s="50"/>
      <c r="J20" s="380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3"/>
    </row>
    <row r="21" spans="2:23" ht="22.95" customHeight="1">
      <c r="B21" s="48"/>
      <c r="C21" s="139" t="s">
        <v>194</v>
      </c>
      <c r="D21" s="70" t="s">
        <v>195</v>
      </c>
      <c r="E21" s="422">
        <v>508833.212</v>
      </c>
      <c r="F21" s="422">
        <v>511191.66</v>
      </c>
      <c r="G21" s="422">
        <v>1113107.8899999999</v>
      </c>
      <c r="H21" s="50"/>
      <c r="J21" s="380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3"/>
    </row>
    <row r="22" spans="2:23" ht="22.95" customHeight="1">
      <c r="B22" s="48"/>
      <c r="C22" s="139" t="s">
        <v>196</v>
      </c>
      <c r="D22" s="70" t="s">
        <v>197</v>
      </c>
      <c r="E22" s="132">
        <f>SUM(E23:E26)</f>
        <v>-554120.32999999996</v>
      </c>
      <c r="F22" s="132">
        <f>SUM(F23:F26)</f>
        <v>-607622.63</v>
      </c>
      <c r="G22" s="132">
        <f>SUM(G23:G26)</f>
        <v>-808322.28</v>
      </c>
      <c r="H22" s="50"/>
      <c r="J22" s="380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3"/>
    </row>
    <row r="23" spans="2:23" ht="22.95" customHeight="1">
      <c r="B23" s="48"/>
      <c r="C23" s="140" t="s">
        <v>186</v>
      </c>
      <c r="D23" s="71" t="s">
        <v>198</v>
      </c>
      <c r="E23" s="420"/>
      <c r="F23" s="420"/>
      <c r="G23" s="420"/>
      <c r="H23" s="50"/>
      <c r="J23" s="380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3"/>
    </row>
    <row r="24" spans="2:23" ht="22.95" customHeight="1">
      <c r="B24" s="48"/>
      <c r="C24" s="141" t="s">
        <v>188</v>
      </c>
      <c r="D24" s="72" t="s">
        <v>199</v>
      </c>
      <c r="E24" s="421">
        <v>-119031.97</v>
      </c>
      <c r="F24" s="421">
        <v>-258298.37</v>
      </c>
      <c r="G24" s="421">
        <v>-390000</v>
      </c>
      <c r="H24" s="50"/>
      <c r="J24" s="380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3"/>
    </row>
    <row r="25" spans="2:23" ht="22.95" customHeight="1">
      <c r="B25" s="48"/>
      <c r="C25" s="141" t="s">
        <v>190</v>
      </c>
      <c r="D25" s="72" t="s">
        <v>200</v>
      </c>
      <c r="E25" s="421">
        <v>-435088.36</v>
      </c>
      <c r="F25" s="421">
        <v>-349324.26</v>
      </c>
      <c r="G25" s="421">
        <v>-418322.28</v>
      </c>
      <c r="H25" s="50"/>
      <c r="J25" s="380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3"/>
    </row>
    <row r="26" spans="2:23" ht="22.95" customHeight="1">
      <c r="B26" s="48"/>
      <c r="C26" s="141" t="s">
        <v>201</v>
      </c>
      <c r="D26" s="72" t="s">
        <v>202</v>
      </c>
      <c r="E26" s="421"/>
      <c r="F26" s="421"/>
      <c r="G26" s="421"/>
      <c r="H26" s="50"/>
      <c r="J26" s="380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3"/>
    </row>
    <row r="27" spans="2:23" ht="22.95" customHeight="1">
      <c r="B27" s="48"/>
      <c r="C27" s="139" t="s">
        <v>203</v>
      </c>
      <c r="D27" s="70" t="s">
        <v>852</v>
      </c>
      <c r="E27" s="132">
        <f>SUM(E28:E29)</f>
        <v>1634059.2</v>
      </c>
      <c r="F27" s="132">
        <f>SUM(F28:F29)</f>
        <v>2429163.04</v>
      </c>
      <c r="G27" s="132">
        <f>SUM(G28:G29)</f>
        <v>3419189.83</v>
      </c>
      <c r="H27" s="50"/>
      <c r="J27" s="380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3"/>
    </row>
    <row r="28" spans="2:23" ht="22.95" customHeight="1">
      <c r="B28" s="48"/>
      <c r="C28" s="140" t="s">
        <v>186</v>
      </c>
      <c r="D28" s="71" t="s">
        <v>204</v>
      </c>
      <c r="E28" s="420">
        <v>123040.05</v>
      </c>
      <c r="F28" s="420">
        <v>59332.99</v>
      </c>
      <c r="G28" s="420"/>
      <c r="H28" s="50"/>
      <c r="J28" s="380"/>
      <c r="K28" s="382"/>
      <c r="L28" s="382"/>
      <c r="M28" s="382"/>
      <c r="N28" s="382"/>
      <c r="O28" s="382"/>
      <c r="P28" s="382"/>
      <c r="Q28" s="382"/>
      <c r="R28" s="382"/>
      <c r="S28" s="382"/>
      <c r="T28" s="382"/>
      <c r="U28" s="382"/>
      <c r="V28" s="382"/>
      <c r="W28" s="383"/>
    </row>
    <row r="29" spans="2:23" ht="22.95" customHeight="1">
      <c r="B29" s="48"/>
      <c r="C29" s="141" t="s">
        <v>188</v>
      </c>
      <c r="D29" s="72" t="s">
        <v>205</v>
      </c>
      <c r="E29" s="421">
        <v>1511019.15</v>
      </c>
      <c r="F29" s="421">
        <v>2369830.0499999998</v>
      </c>
      <c r="G29" s="421">
        <f>'FC-9_TRANS_SUBV'!G71</f>
        <v>3419189.83</v>
      </c>
      <c r="H29" s="50"/>
      <c r="J29" s="380"/>
      <c r="K29" s="382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3"/>
    </row>
    <row r="30" spans="2:23" ht="22.95" customHeight="1">
      <c r="B30" s="48"/>
      <c r="C30" s="139" t="s">
        <v>206</v>
      </c>
      <c r="D30" s="70" t="s">
        <v>207</v>
      </c>
      <c r="E30" s="132">
        <f>SUM(E31:E33)</f>
        <v>-5164271.1400000006</v>
      </c>
      <c r="F30" s="132">
        <f>SUM(F31:F33)</f>
        <v>-5096898.5</v>
      </c>
      <c r="G30" s="132">
        <f>SUM(G31:G33)</f>
        <v>-5586206.4199999999</v>
      </c>
      <c r="H30" s="50"/>
      <c r="J30" s="390"/>
      <c r="K30" s="391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2"/>
    </row>
    <row r="31" spans="2:23" ht="22.95" customHeight="1">
      <c r="B31" s="48"/>
      <c r="C31" s="140" t="s">
        <v>186</v>
      </c>
      <c r="D31" s="71" t="s">
        <v>208</v>
      </c>
      <c r="E31" s="420">
        <v>-3946932.52</v>
      </c>
      <c r="F31" s="420">
        <v>-3809462.57</v>
      </c>
      <c r="G31" s="420">
        <v>-4159075.27</v>
      </c>
      <c r="H31" s="50"/>
      <c r="J31" s="390"/>
      <c r="K31" s="391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2"/>
    </row>
    <row r="32" spans="2:23" ht="22.95" customHeight="1">
      <c r="B32" s="48"/>
      <c r="C32" s="141" t="s">
        <v>188</v>
      </c>
      <c r="D32" s="72" t="s">
        <v>209</v>
      </c>
      <c r="E32" s="421">
        <v>-1217338.6200000001</v>
      </c>
      <c r="F32" s="421">
        <f>-991710.86-295725.07</f>
        <v>-1287435.93</v>
      </c>
      <c r="G32" s="421">
        <f>-1131406.08-295725.07</f>
        <v>-1427131.1500000001</v>
      </c>
      <c r="H32" s="50"/>
      <c r="J32" s="380"/>
      <c r="K32" s="382"/>
      <c r="L32" s="382"/>
      <c r="M32" s="382"/>
      <c r="N32" s="382"/>
      <c r="O32" s="382"/>
      <c r="P32" s="382"/>
      <c r="Q32" s="382"/>
      <c r="R32" s="382"/>
      <c r="S32" s="382"/>
      <c r="T32" s="382"/>
      <c r="U32" s="382"/>
      <c r="V32" s="382"/>
      <c r="W32" s="383"/>
    </row>
    <row r="33" spans="2:23" ht="22.95" customHeight="1">
      <c r="B33" s="48"/>
      <c r="C33" s="141" t="s">
        <v>190</v>
      </c>
      <c r="D33" s="72" t="s">
        <v>210</v>
      </c>
      <c r="E33" s="421"/>
      <c r="F33" s="421"/>
      <c r="G33" s="421"/>
      <c r="H33" s="50"/>
      <c r="J33" s="380"/>
      <c r="K33" s="382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3"/>
    </row>
    <row r="34" spans="2:23" ht="22.95" customHeight="1">
      <c r="B34" s="48"/>
      <c r="C34" s="139" t="s">
        <v>211</v>
      </c>
      <c r="D34" s="70" t="s">
        <v>212</v>
      </c>
      <c r="E34" s="132">
        <f>SUM(E35:E39)</f>
        <v>-2572095.2999999998</v>
      </c>
      <c r="F34" s="132">
        <f>SUM(F35:F39)</f>
        <v>-3210146.4200000004</v>
      </c>
      <c r="G34" s="132">
        <f>SUM(G35:G39)</f>
        <v>-3685258.89</v>
      </c>
      <c r="H34" s="50"/>
      <c r="J34" s="380"/>
      <c r="K34" s="382"/>
      <c r="L34" s="382"/>
      <c r="M34" s="382"/>
      <c r="N34" s="382"/>
      <c r="O34" s="382"/>
      <c r="P34" s="382"/>
      <c r="Q34" s="382"/>
      <c r="R34" s="382"/>
      <c r="S34" s="382"/>
      <c r="T34" s="382"/>
      <c r="U34" s="382"/>
      <c r="V34" s="382"/>
      <c r="W34" s="383"/>
    </row>
    <row r="35" spans="2:23" ht="22.95" customHeight="1">
      <c r="B35" s="48"/>
      <c r="C35" s="140" t="s">
        <v>186</v>
      </c>
      <c r="D35" s="71" t="s">
        <v>213</v>
      </c>
      <c r="E35" s="420">
        <v>-2441531.34</v>
      </c>
      <c r="F35" s="420">
        <f>-3043844.87-38830.97</f>
        <v>-3082675.8400000003</v>
      </c>
      <c r="G35" s="420">
        <f>-3608000+89922.32-10750</f>
        <v>-3528827.68</v>
      </c>
      <c r="H35" s="50"/>
      <c r="J35" s="380"/>
      <c r="K35" s="382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3"/>
    </row>
    <row r="36" spans="2:23" ht="22.95" customHeight="1">
      <c r="B36" s="48"/>
      <c r="C36" s="141" t="s">
        <v>188</v>
      </c>
      <c r="D36" s="72" t="s">
        <v>214</v>
      </c>
      <c r="E36" s="421">
        <v>-130563.96</v>
      </c>
      <c r="F36" s="421">
        <v>-127470.58</v>
      </c>
      <c r="G36" s="421">
        <v>-156431.21</v>
      </c>
      <c r="H36" s="50"/>
      <c r="J36" s="393"/>
      <c r="K36" s="394"/>
      <c r="L36" s="394"/>
      <c r="M36" s="394"/>
      <c r="N36" s="394"/>
      <c r="O36" s="394"/>
      <c r="P36" s="394"/>
      <c r="Q36" s="394"/>
      <c r="R36" s="394"/>
      <c r="S36" s="394"/>
      <c r="T36" s="394"/>
      <c r="U36" s="394"/>
      <c r="V36" s="394"/>
      <c r="W36" s="395"/>
    </row>
    <row r="37" spans="2:23" ht="22.95" customHeight="1">
      <c r="B37" s="48"/>
      <c r="C37" s="141" t="s">
        <v>190</v>
      </c>
      <c r="D37" s="72" t="s">
        <v>215</v>
      </c>
      <c r="E37" s="421"/>
      <c r="F37" s="421"/>
      <c r="G37" s="421"/>
      <c r="H37" s="50"/>
      <c r="J37" s="393"/>
      <c r="K37" s="394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5"/>
    </row>
    <row r="38" spans="2:23" ht="22.95" customHeight="1">
      <c r="B38" s="48"/>
      <c r="C38" s="141" t="s">
        <v>201</v>
      </c>
      <c r="D38" s="72" t="s">
        <v>216</v>
      </c>
      <c r="E38" s="421"/>
      <c r="F38" s="421"/>
      <c r="G38" s="421"/>
      <c r="H38" s="50"/>
      <c r="J38" s="393"/>
      <c r="K38" s="394"/>
      <c r="L38" s="394"/>
      <c r="M38" s="394"/>
      <c r="N38" s="394"/>
      <c r="O38" s="394"/>
      <c r="P38" s="394"/>
      <c r="Q38" s="394"/>
      <c r="R38" s="394"/>
      <c r="S38" s="394"/>
      <c r="T38" s="394"/>
      <c r="U38" s="394"/>
      <c r="V38" s="394"/>
      <c r="W38" s="395"/>
    </row>
    <row r="39" spans="2:23" ht="22.95" customHeight="1">
      <c r="B39" s="48"/>
      <c r="C39" s="141" t="s">
        <v>217</v>
      </c>
      <c r="D39" s="72" t="s">
        <v>218</v>
      </c>
      <c r="E39" s="421"/>
      <c r="F39" s="421"/>
      <c r="G39" s="421"/>
      <c r="H39" s="50"/>
      <c r="J39" s="393"/>
      <c r="K39" s="394"/>
      <c r="L39" s="394"/>
      <c r="M39" s="394"/>
      <c r="N39" s="394"/>
      <c r="O39" s="394"/>
      <c r="P39" s="394"/>
      <c r="Q39" s="394"/>
      <c r="R39" s="394"/>
      <c r="S39" s="394"/>
      <c r="T39" s="394"/>
      <c r="U39" s="394"/>
      <c r="V39" s="394"/>
      <c r="W39" s="395"/>
    </row>
    <row r="40" spans="2:23" ht="22.95" customHeight="1">
      <c r="B40" s="48"/>
      <c r="C40" s="139" t="s">
        <v>219</v>
      </c>
      <c r="D40" s="70" t="s">
        <v>220</v>
      </c>
      <c r="E40" s="422">
        <v>-3833431.47</v>
      </c>
      <c r="F40" s="422">
        <v>-3910700.44</v>
      </c>
      <c r="G40" s="422">
        <v>-4016465.34</v>
      </c>
      <c r="H40" s="50"/>
      <c r="J40" s="393"/>
      <c r="K40" s="394"/>
      <c r="L40" s="394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5"/>
    </row>
    <row r="41" spans="2:23" ht="22.95" customHeight="1">
      <c r="B41" s="48"/>
      <c r="C41" s="139" t="s">
        <v>221</v>
      </c>
      <c r="D41" s="70" t="s">
        <v>222</v>
      </c>
      <c r="E41" s="422">
        <v>404670.9</v>
      </c>
      <c r="F41" s="422">
        <v>419505.1</v>
      </c>
      <c r="G41" s="422">
        <v>682979.74</v>
      </c>
      <c r="H41" s="50"/>
      <c r="J41" s="393"/>
      <c r="K41" s="394"/>
      <c r="L41" s="394"/>
      <c r="M41" s="394"/>
      <c r="N41" s="394"/>
      <c r="O41" s="394"/>
      <c r="P41" s="394"/>
      <c r="Q41" s="394"/>
      <c r="R41" s="394"/>
      <c r="S41" s="394"/>
      <c r="T41" s="394"/>
      <c r="U41" s="394"/>
      <c r="V41" s="394"/>
      <c r="W41" s="395"/>
    </row>
    <row r="42" spans="2:23" ht="22.95" customHeight="1">
      <c r="B42" s="48"/>
      <c r="C42" s="139" t="s">
        <v>223</v>
      </c>
      <c r="D42" s="70" t="s">
        <v>224</v>
      </c>
      <c r="E42" s="422"/>
      <c r="F42" s="422"/>
      <c r="G42" s="422"/>
      <c r="H42" s="50"/>
      <c r="J42" s="393"/>
      <c r="K42" s="394"/>
      <c r="L42" s="394"/>
      <c r="M42" s="394"/>
      <c r="N42" s="394"/>
      <c r="O42" s="394"/>
      <c r="P42" s="394"/>
      <c r="Q42" s="394"/>
      <c r="R42" s="394"/>
      <c r="S42" s="394"/>
      <c r="T42" s="394"/>
      <c r="U42" s="394"/>
      <c r="V42" s="394"/>
      <c r="W42" s="395"/>
    </row>
    <row r="43" spans="2:23" ht="22.95" customHeight="1">
      <c r="B43" s="48"/>
      <c r="C43" s="139" t="s">
        <v>225</v>
      </c>
      <c r="D43" s="70" t="s">
        <v>226</v>
      </c>
      <c r="E43" s="132">
        <f>SUM(E44:E46)</f>
        <v>0</v>
      </c>
      <c r="F43" s="132">
        <f>SUM(F44:F46)</f>
        <v>0</v>
      </c>
      <c r="G43" s="132">
        <f>SUM(G44:G46)</f>
        <v>0</v>
      </c>
      <c r="H43" s="50"/>
      <c r="J43" s="393"/>
      <c r="K43" s="394"/>
      <c r="L43" s="394"/>
      <c r="M43" s="394"/>
      <c r="N43" s="394"/>
      <c r="O43" s="394"/>
      <c r="P43" s="394"/>
      <c r="Q43" s="394"/>
      <c r="R43" s="394"/>
      <c r="S43" s="394"/>
      <c r="T43" s="394"/>
      <c r="U43" s="394"/>
      <c r="V43" s="394"/>
      <c r="W43" s="395"/>
    </row>
    <row r="44" spans="2:23" ht="22.95" customHeight="1">
      <c r="B44" s="48"/>
      <c r="C44" s="140" t="s">
        <v>186</v>
      </c>
      <c r="D44" s="71" t="s">
        <v>227</v>
      </c>
      <c r="E44" s="420"/>
      <c r="F44" s="420"/>
      <c r="G44" s="420"/>
      <c r="H44" s="50"/>
      <c r="J44" s="393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5"/>
    </row>
    <row r="45" spans="2:23" ht="22.95" customHeight="1">
      <c r="B45" s="48"/>
      <c r="C45" s="141" t="s">
        <v>188</v>
      </c>
      <c r="D45" s="72" t="s">
        <v>228</v>
      </c>
      <c r="E45" s="421"/>
      <c r="F45" s="421"/>
      <c r="G45" s="421"/>
      <c r="H45" s="50"/>
      <c r="J45" s="393"/>
      <c r="K45" s="394"/>
      <c r="L45" s="394"/>
      <c r="M45" s="394"/>
      <c r="N45" s="394"/>
      <c r="O45" s="394"/>
      <c r="P45" s="394"/>
      <c r="Q45" s="394"/>
      <c r="R45" s="394"/>
      <c r="S45" s="394"/>
      <c r="T45" s="394"/>
      <c r="U45" s="394"/>
      <c r="V45" s="394"/>
      <c r="W45" s="395"/>
    </row>
    <row r="46" spans="2:23" ht="22.95" customHeight="1">
      <c r="B46" s="48"/>
      <c r="C46" s="141" t="s">
        <v>190</v>
      </c>
      <c r="D46" s="72" t="s">
        <v>229</v>
      </c>
      <c r="E46" s="421"/>
      <c r="F46" s="421"/>
      <c r="G46" s="421"/>
      <c r="H46" s="50"/>
      <c r="J46" s="393"/>
      <c r="K46" s="394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5"/>
    </row>
    <row r="47" spans="2:23" ht="22.95" customHeight="1">
      <c r="B47" s="48"/>
      <c r="C47" s="139" t="s">
        <v>230</v>
      </c>
      <c r="D47" s="70" t="s">
        <v>231</v>
      </c>
      <c r="E47" s="422"/>
      <c r="F47" s="422"/>
      <c r="G47" s="422"/>
      <c r="H47" s="50"/>
      <c r="J47" s="393"/>
      <c r="K47" s="394"/>
      <c r="L47" s="394"/>
      <c r="M47" s="394"/>
      <c r="N47" s="394"/>
      <c r="O47" s="394"/>
      <c r="P47" s="394"/>
      <c r="Q47" s="394"/>
      <c r="R47" s="394"/>
      <c r="S47" s="394"/>
      <c r="T47" s="394"/>
      <c r="U47" s="394"/>
      <c r="V47" s="394"/>
      <c r="W47" s="395"/>
    </row>
    <row r="48" spans="2:23" ht="22.95" customHeight="1">
      <c r="B48" s="48"/>
      <c r="C48" s="139" t="s">
        <v>232</v>
      </c>
      <c r="D48" s="70" t="s">
        <v>853</v>
      </c>
      <c r="E48" s="422">
        <v>-5234.25</v>
      </c>
      <c r="F48" s="422"/>
      <c r="G48" s="422"/>
      <c r="H48" s="50"/>
      <c r="J48" s="393"/>
      <c r="K48" s="394"/>
      <c r="L48" s="394"/>
      <c r="M48" s="394"/>
      <c r="N48" s="394"/>
      <c r="O48" s="394"/>
      <c r="P48" s="394"/>
      <c r="Q48" s="394"/>
      <c r="R48" s="394"/>
      <c r="S48" s="394"/>
      <c r="T48" s="394"/>
      <c r="U48" s="394"/>
      <c r="V48" s="394"/>
      <c r="W48" s="395"/>
    </row>
    <row r="49" spans="2:23" s="75" customFormat="1" ht="22.95" customHeight="1" thickBot="1">
      <c r="B49" s="24"/>
      <c r="C49" s="145" t="s">
        <v>233</v>
      </c>
      <c r="D49" s="83" t="s">
        <v>234</v>
      </c>
      <c r="E49" s="332">
        <f>E16+E20+E21+E22+E27+E30+E34+E40+E41+E42+E43+E47+E48</f>
        <v>-523647.79800000309</v>
      </c>
      <c r="F49" s="332">
        <f>F16+F20+F21+F22+F27+F30+F34+F40+F41+F42+F43+F47+F48</f>
        <v>-1363371.1800000002</v>
      </c>
      <c r="G49" s="332">
        <f>G16+G20+G21+G22+G27+G30+G34+G40+G41+G42+G43+G47+G48</f>
        <v>-107984.41999999783</v>
      </c>
      <c r="H49" s="59"/>
      <c r="J49" s="393"/>
      <c r="K49" s="394"/>
      <c r="L49" s="394"/>
      <c r="M49" s="394"/>
      <c r="N49" s="394"/>
      <c r="O49" s="394"/>
      <c r="P49" s="394"/>
      <c r="Q49" s="394"/>
      <c r="R49" s="394"/>
      <c r="S49" s="394"/>
      <c r="T49" s="394"/>
      <c r="U49" s="394"/>
      <c r="V49" s="394"/>
      <c r="W49" s="395"/>
    </row>
    <row r="50" spans="2:23" ht="22.95" customHeight="1">
      <c r="B50" s="48"/>
      <c r="C50" s="143"/>
      <c r="D50" s="1"/>
      <c r="E50" s="130"/>
      <c r="F50" s="130"/>
      <c r="G50" s="130"/>
      <c r="H50" s="50"/>
      <c r="J50" s="393"/>
      <c r="K50" s="394"/>
      <c r="L50" s="394"/>
      <c r="M50" s="394"/>
      <c r="N50" s="394"/>
      <c r="O50" s="394"/>
      <c r="P50" s="394"/>
      <c r="Q50" s="394"/>
      <c r="R50" s="394"/>
      <c r="S50" s="394"/>
      <c r="T50" s="394"/>
      <c r="U50" s="394"/>
      <c r="V50" s="394"/>
      <c r="W50" s="395"/>
    </row>
    <row r="51" spans="2:23" ht="22.95" customHeight="1">
      <c r="B51" s="48"/>
      <c r="C51" s="139" t="s">
        <v>235</v>
      </c>
      <c r="D51" s="70" t="s">
        <v>236</v>
      </c>
      <c r="E51" s="132">
        <f>E52+E55+E58</f>
        <v>1980020.25</v>
      </c>
      <c r="F51" s="132">
        <f>F52+F55+F58</f>
        <v>1686392.47</v>
      </c>
      <c r="G51" s="132">
        <f>G52+G55+G58</f>
        <v>1144873.8999999999</v>
      </c>
      <c r="H51" s="50"/>
      <c r="J51" s="393"/>
      <c r="K51" s="394"/>
      <c r="L51" s="394"/>
      <c r="M51" s="394"/>
      <c r="N51" s="394"/>
      <c r="O51" s="394"/>
      <c r="P51" s="394"/>
      <c r="Q51" s="394"/>
      <c r="R51" s="394"/>
      <c r="S51" s="394"/>
      <c r="T51" s="394"/>
      <c r="U51" s="394"/>
      <c r="V51" s="394"/>
      <c r="W51" s="395"/>
    </row>
    <row r="52" spans="2:23" ht="22.95" customHeight="1">
      <c r="B52" s="48"/>
      <c r="C52" s="140" t="s">
        <v>186</v>
      </c>
      <c r="D52" s="71" t="s">
        <v>237</v>
      </c>
      <c r="E52" s="133">
        <f>SUM(E53:E54)</f>
        <v>1311627.32</v>
      </c>
      <c r="F52" s="133">
        <f>SUM(F53:F54)</f>
        <v>1078659.69</v>
      </c>
      <c r="G52" s="133">
        <f>SUM(G53:G54)</f>
        <v>566200</v>
      </c>
      <c r="H52" s="50"/>
      <c r="J52" s="393"/>
      <c r="K52" s="394"/>
      <c r="L52" s="394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5"/>
    </row>
    <row r="53" spans="2:23" ht="22.95" customHeight="1">
      <c r="B53" s="48"/>
      <c r="C53" s="326" t="s">
        <v>238</v>
      </c>
      <c r="D53" s="78" t="s">
        <v>239</v>
      </c>
      <c r="E53" s="680">
        <v>89415.96</v>
      </c>
      <c r="F53" s="680">
        <v>94952.07</v>
      </c>
      <c r="G53" s="680">
        <v>80000</v>
      </c>
      <c r="H53" s="50"/>
      <c r="J53" s="393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5"/>
    </row>
    <row r="54" spans="2:23" ht="22.95" customHeight="1">
      <c r="B54" s="48"/>
      <c r="C54" s="326" t="s">
        <v>240</v>
      </c>
      <c r="D54" s="78" t="s">
        <v>241</v>
      </c>
      <c r="E54" s="680">
        <v>1222211.3600000001</v>
      </c>
      <c r="F54" s="680">
        <v>983707.62</v>
      </c>
      <c r="G54" s="680">
        <v>486200</v>
      </c>
      <c r="H54" s="50"/>
      <c r="J54" s="393"/>
      <c r="K54" s="394"/>
      <c r="L54" s="394"/>
      <c r="M54" s="394"/>
      <c r="N54" s="394"/>
      <c r="O54" s="394"/>
      <c r="P54" s="394"/>
      <c r="Q54" s="394"/>
      <c r="R54" s="394"/>
      <c r="S54" s="394"/>
      <c r="T54" s="394"/>
      <c r="U54" s="394"/>
      <c r="V54" s="394"/>
      <c r="W54" s="395"/>
    </row>
    <row r="55" spans="2:23" ht="22.95" customHeight="1">
      <c r="B55" s="48"/>
      <c r="C55" s="327" t="s">
        <v>188</v>
      </c>
      <c r="D55" s="73" t="s">
        <v>242</v>
      </c>
      <c r="E55" s="333">
        <f>SUM(E56:E57)</f>
        <v>668392.92999999993</v>
      </c>
      <c r="F55" s="333">
        <f>SUM(F56:F57)</f>
        <v>607732.78</v>
      </c>
      <c r="G55" s="333">
        <f>SUM(G56:G57)</f>
        <v>578673.9</v>
      </c>
      <c r="H55" s="50"/>
      <c r="J55" s="393"/>
      <c r="K55" s="394"/>
      <c r="L55" s="394"/>
      <c r="M55" s="394"/>
      <c r="N55" s="394"/>
      <c r="O55" s="394"/>
      <c r="P55" s="394"/>
      <c r="Q55" s="394"/>
      <c r="R55" s="394"/>
      <c r="S55" s="394"/>
      <c r="T55" s="394"/>
      <c r="U55" s="394"/>
      <c r="V55" s="394"/>
      <c r="W55" s="395"/>
    </row>
    <row r="56" spans="2:23" ht="22.95" customHeight="1">
      <c r="B56" s="48"/>
      <c r="C56" s="326" t="s">
        <v>243</v>
      </c>
      <c r="D56" s="78" t="s">
        <v>244</v>
      </c>
      <c r="E56" s="680">
        <v>664218.21</v>
      </c>
      <c r="F56" s="680">
        <v>606157.18000000005</v>
      </c>
      <c r="G56" s="680">
        <v>576673.9</v>
      </c>
      <c r="H56" s="50"/>
      <c r="J56" s="393"/>
      <c r="K56" s="394"/>
      <c r="L56" s="394"/>
      <c r="M56" s="394"/>
      <c r="N56" s="394"/>
      <c r="O56" s="394"/>
      <c r="P56" s="394"/>
      <c r="Q56" s="394"/>
      <c r="R56" s="394"/>
      <c r="S56" s="394"/>
      <c r="T56" s="394"/>
      <c r="U56" s="394"/>
      <c r="V56" s="394"/>
      <c r="W56" s="395"/>
    </row>
    <row r="57" spans="2:23" ht="22.95" customHeight="1">
      <c r="B57" s="48"/>
      <c r="C57" s="326" t="s">
        <v>245</v>
      </c>
      <c r="D57" s="78" t="s">
        <v>246</v>
      </c>
      <c r="E57" s="680">
        <v>4174.72</v>
      </c>
      <c r="F57" s="680">
        <v>1575.6</v>
      </c>
      <c r="G57" s="680">
        <v>2000</v>
      </c>
      <c r="H57" s="50"/>
      <c r="J57" s="393"/>
      <c r="K57" s="394"/>
      <c r="L57" s="394"/>
      <c r="M57" s="394"/>
      <c r="N57" s="394"/>
      <c r="O57" s="394"/>
      <c r="P57" s="394"/>
      <c r="Q57" s="394"/>
      <c r="R57" s="394"/>
      <c r="S57" s="394"/>
      <c r="T57" s="394"/>
      <c r="U57" s="394"/>
      <c r="V57" s="394"/>
      <c r="W57" s="395"/>
    </row>
    <row r="58" spans="2:23" ht="22.95" customHeight="1">
      <c r="B58" s="48"/>
      <c r="C58" s="327" t="s">
        <v>190</v>
      </c>
      <c r="D58" s="73" t="s">
        <v>247</v>
      </c>
      <c r="E58" s="423"/>
      <c r="F58" s="423"/>
      <c r="G58" s="423"/>
      <c r="H58" s="50"/>
      <c r="J58" s="393"/>
      <c r="K58" s="394"/>
      <c r="L58" s="394"/>
      <c r="M58" s="394"/>
      <c r="N58" s="394"/>
      <c r="O58" s="394"/>
      <c r="P58" s="394"/>
      <c r="Q58" s="394"/>
      <c r="R58" s="394"/>
      <c r="S58" s="394"/>
      <c r="T58" s="394"/>
      <c r="U58" s="394"/>
      <c r="V58" s="394"/>
      <c r="W58" s="395"/>
    </row>
    <row r="59" spans="2:23" ht="22.95" customHeight="1">
      <c r="B59" s="48"/>
      <c r="C59" s="139" t="s">
        <v>248</v>
      </c>
      <c r="D59" s="70" t="s">
        <v>249</v>
      </c>
      <c r="E59" s="132">
        <f>SUM(E60:E62)</f>
        <v>-232309.85</v>
      </c>
      <c r="F59" s="132">
        <f>SUM(F60:F62)</f>
        <v>-185415.54</v>
      </c>
      <c r="G59" s="132">
        <f>SUM(G60:G62)</f>
        <v>-498022.48</v>
      </c>
      <c r="H59" s="50"/>
      <c r="J59" s="393"/>
      <c r="K59" s="394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5"/>
    </row>
    <row r="60" spans="2:23" ht="22.95" customHeight="1">
      <c r="B60" s="48"/>
      <c r="C60" s="327" t="s">
        <v>186</v>
      </c>
      <c r="D60" s="73" t="s">
        <v>250</v>
      </c>
      <c r="E60" s="423"/>
      <c r="F60" s="423"/>
      <c r="G60" s="423"/>
      <c r="H60" s="50"/>
      <c r="J60" s="393"/>
      <c r="K60" s="394"/>
      <c r="L60" s="394"/>
      <c r="M60" s="394"/>
      <c r="N60" s="394"/>
      <c r="O60" s="394"/>
      <c r="P60" s="394"/>
      <c r="Q60" s="394"/>
      <c r="R60" s="394"/>
      <c r="S60" s="394"/>
      <c r="T60" s="394"/>
      <c r="U60" s="394"/>
      <c r="V60" s="394"/>
      <c r="W60" s="395"/>
    </row>
    <row r="61" spans="2:23" ht="22.95" customHeight="1">
      <c r="B61" s="48"/>
      <c r="C61" s="327" t="s">
        <v>188</v>
      </c>
      <c r="D61" s="73" t="s">
        <v>251</v>
      </c>
      <c r="E61" s="423">
        <v>-231987.03</v>
      </c>
      <c r="F61" s="423">
        <v>-184215.54</v>
      </c>
      <c r="G61" s="423">
        <v>-496822.48</v>
      </c>
      <c r="H61" s="50"/>
      <c r="J61" s="393"/>
      <c r="K61" s="394"/>
      <c r="L61" s="394"/>
      <c r="M61" s="394"/>
      <c r="N61" s="394"/>
      <c r="O61" s="394"/>
      <c r="P61" s="394"/>
      <c r="Q61" s="394"/>
      <c r="R61" s="394"/>
      <c r="S61" s="394"/>
      <c r="T61" s="394"/>
      <c r="U61" s="394"/>
      <c r="V61" s="394"/>
      <c r="W61" s="395"/>
    </row>
    <row r="62" spans="2:23" ht="22.95" customHeight="1">
      <c r="B62" s="48"/>
      <c r="C62" s="327" t="s">
        <v>190</v>
      </c>
      <c r="D62" s="73" t="s">
        <v>252</v>
      </c>
      <c r="E62" s="423">
        <v>-322.82</v>
      </c>
      <c r="F62" s="423">
        <v>-1200</v>
      </c>
      <c r="G62" s="423">
        <v>-1200</v>
      </c>
      <c r="H62" s="50"/>
      <c r="J62" s="393"/>
      <c r="K62" s="394"/>
      <c r="L62" s="394"/>
      <c r="M62" s="394"/>
      <c r="N62" s="394"/>
      <c r="O62" s="394"/>
      <c r="P62" s="394"/>
      <c r="Q62" s="394"/>
      <c r="R62" s="394"/>
      <c r="S62" s="394"/>
      <c r="T62" s="394"/>
      <c r="U62" s="394"/>
      <c r="V62" s="394"/>
      <c r="W62" s="395"/>
    </row>
    <row r="63" spans="2:23" ht="22.95" customHeight="1">
      <c r="B63" s="48"/>
      <c r="C63" s="139" t="s">
        <v>253</v>
      </c>
      <c r="D63" s="70" t="s">
        <v>254</v>
      </c>
      <c r="E63" s="132">
        <f>SUM(E64:E65)</f>
        <v>0</v>
      </c>
      <c r="F63" s="132">
        <f>SUM(F64:F65)</f>
        <v>0</v>
      </c>
      <c r="G63" s="132">
        <f>SUM(G64:G65)</f>
        <v>0</v>
      </c>
      <c r="H63" s="50"/>
      <c r="J63" s="393"/>
      <c r="K63" s="394"/>
      <c r="L63" s="394"/>
      <c r="M63" s="394"/>
      <c r="N63" s="394"/>
      <c r="O63" s="394"/>
      <c r="P63" s="394"/>
      <c r="Q63" s="394"/>
      <c r="R63" s="394"/>
      <c r="S63" s="394"/>
      <c r="T63" s="394"/>
      <c r="U63" s="394"/>
      <c r="V63" s="394"/>
      <c r="W63" s="395"/>
    </row>
    <row r="64" spans="2:23" ht="22.95" customHeight="1">
      <c r="B64" s="48"/>
      <c r="C64" s="327" t="s">
        <v>186</v>
      </c>
      <c r="D64" s="73" t="s">
        <v>255</v>
      </c>
      <c r="E64" s="423"/>
      <c r="F64" s="423"/>
      <c r="G64" s="423"/>
      <c r="H64" s="50"/>
      <c r="J64" s="393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5"/>
    </row>
    <row r="65" spans="2:23" ht="22.95" customHeight="1">
      <c r="B65" s="48"/>
      <c r="C65" s="327" t="s">
        <v>188</v>
      </c>
      <c r="D65" s="73" t="s">
        <v>256</v>
      </c>
      <c r="E65" s="423"/>
      <c r="F65" s="423"/>
      <c r="G65" s="423"/>
      <c r="H65" s="50"/>
      <c r="J65" s="393"/>
      <c r="K65" s="394"/>
      <c r="L65" s="394"/>
      <c r="M65" s="394"/>
      <c r="N65" s="394"/>
      <c r="O65" s="394"/>
      <c r="P65" s="394"/>
      <c r="Q65" s="394"/>
      <c r="R65" s="394"/>
      <c r="S65" s="394"/>
      <c r="T65" s="394"/>
      <c r="U65" s="394"/>
      <c r="V65" s="394"/>
      <c r="W65" s="395"/>
    </row>
    <row r="66" spans="2:23" ht="22.95" customHeight="1">
      <c r="B66" s="48"/>
      <c r="C66" s="139" t="s">
        <v>257</v>
      </c>
      <c r="D66" s="70" t="s">
        <v>258</v>
      </c>
      <c r="E66" s="132">
        <v>0</v>
      </c>
      <c r="F66" s="132">
        <v>0</v>
      </c>
      <c r="G66" s="132">
        <v>0</v>
      </c>
      <c r="H66" s="50"/>
      <c r="J66" s="393"/>
      <c r="K66" s="394"/>
      <c r="L66" s="394"/>
      <c r="M66" s="394"/>
      <c r="N66" s="394"/>
      <c r="O66" s="394"/>
      <c r="P66" s="394"/>
      <c r="Q66" s="394"/>
      <c r="R66" s="394"/>
      <c r="S66" s="394"/>
      <c r="T66" s="394"/>
      <c r="U66" s="394"/>
      <c r="V66" s="394"/>
      <c r="W66" s="395"/>
    </row>
    <row r="67" spans="2:23" ht="22.95" customHeight="1">
      <c r="B67" s="48"/>
      <c r="C67" s="139" t="s">
        <v>259</v>
      </c>
      <c r="D67" s="70" t="s">
        <v>260</v>
      </c>
      <c r="E67" s="132">
        <f>SUM(E68:E69)</f>
        <v>0</v>
      </c>
      <c r="F67" s="132">
        <f>SUM(F68:F69)</f>
        <v>0</v>
      </c>
      <c r="G67" s="132">
        <f>SUM(G68:G69)</f>
        <v>0</v>
      </c>
      <c r="H67" s="50"/>
      <c r="J67" s="393"/>
      <c r="K67" s="394"/>
      <c r="L67" s="394"/>
      <c r="M67" s="394"/>
      <c r="N67" s="394"/>
      <c r="O67" s="394"/>
      <c r="P67" s="394"/>
      <c r="Q67" s="394"/>
      <c r="R67" s="394"/>
      <c r="S67" s="394"/>
      <c r="T67" s="394"/>
      <c r="U67" s="394"/>
      <c r="V67" s="394"/>
      <c r="W67" s="395"/>
    </row>
    <row r="68" spans="2:23" ht="22.95" customHeight="1">
      <c r="B68" s="48"/>
      <c r="C68" s="327" t="s">
        <v>186</v>
      </c>
      <c r="D68" s="73" t="s">
        <v>261</v>
      </c>
      <c r="E68" s="423"/>
      <c r="F68" s="423"/>
      <c r="G68" s="423"/>
      <c r="H68" s="50"/>
      <c r="J68" s="393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5"/>
    </row>
    <row r="69" spans="2:23" ht="22.95" customHeight="1">
      <c r="B69" s="48"/>
      <c r="C69" s="327" t="s">
        <v>188</v>
      </c>
      <c r="D69" s="73" t="s">
        <v>228</v>
      </c>
      <c r="E69" s="423"/>
      <c r="F69" s="423"/>
      <c r="G69" s="423"/>
      <c r="H69" s="50"/>
      <c r="J69" s="393"/>
      <c r="K69" s="394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394"/>
      <c r="W69" s="395"/>
    </row>
    <row r="70" spans="2:23" ht="22.95" customHeight="1">
      <c r="B70" s="48"/>
      <c r="C70" s="139" t="s">
        <v>262</v>
      </c>
      <c r="D70" s="70" t="s">
        <v>263</v>
      </c>
      <c r="E70" s="132">
        <f>SUM(E71:E73)</f>
        <v>-97.93</v>
      </c>
      <c r="F70" s="132">
        <f>SUM(F71:F73)</f>
        <v>0</v>
      </c>
      <c r="G70" s="132">
        <f>SUM(G71:G73)</f>
        <v>0</v>
      </c>
      <c r="H70" s="50"/>
      <c r="J70" s="393"/>
      <c r="K70" s="394"/>
      <c r="L70" s="394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5"/>
    </row>
    <row r="71" spans="2:23" ht="22.95" customHeight="1">
      <c r="B71" s="48"/>
      <c r="C71" s="327" t="s">
        <v>186</v>
      </c>
      <c r="D71" s="73" t="s">
        <v>264</v>
      </c>
      <c r="E71" s="423"/>
      <c r="F71" s="423"/>
      <c r="G71" s="423"/>
      <c r="H71" s="50"/>
      <c r="J71" s="393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  <c r="W71" s="395"/>
    </row>
    <row r="72" spans="2:23" ht="22.95" customHeight="1">
      <c r="B72" s="48"/>
      <c r="C72" s="327" t="s">
        <v>188</v>
      </c>
      <c r="D72" s="73" t="s">
        <v>265</v>
      </c>
      <c r="E72" s="423"/>
      <c r="F72" s="423"/>
      <c r="G72" s="423"/>
      <c r="H72" s="50"/>
      <c r="J72" s="393"/>
      <c r="K72" s="394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  <c r="W72" s="395"/>
    </row>
    <row r="73" spans="2:23" ht="22.95" customHeight="1">
      <c r="B73" s="48"/>
      <c r="C73" s="327" t="s">
        <v>190</v>
      </c>
      <c r="D73" s="73" t="s">
        <v>266</v>
      </c>
      <c r="E73" s="423">
        <v>-97.93</v>
      </c>
      <c r="F73" s="423"/>
      <c r="G73" s="423"/>
      <c r="H73" s="50"/>
      <c r="J73" s="393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5"/>
    </row>
    <row r="74" spans="2:23" s="75" customFormat="1" ht="22.95" customHeight="1" thickBot="1">
      <c r="B74" s="24"/>
      <c r="C74" s="328" t="s">
        <v>267</v>
      </c>
      <c r="D74" s="74" t="s">
        <v>268</v>
      </c>
      <c r="E74" s="332">
        <f>E51+E59+E63+E67+E70</f>
        <v>1747612.47</v>
      </c>
      <c r="F74" s="332">
        <f>F51+F59+F63+F67+F70</f>
        <v>1500976.93</v>
      </c>
      <c r="G74" s="332">
        <f>G51+G59+G63+G67+G70</f>
        <v>646851.41999999993</v>
      </c>
      <c r="H74" s="59"/>
      <c r="J74" s="393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5"/>
    </row>
    <row r="75" spans="2:23" ht="22.95" customHeight="1">
      <c r="B75" s="48"/>
      <c r="C75" s="329"/>
      <c r="D75" s="77"/>
      <c r="E75" s="334"/>
      <c r="F75" s="334"/>
      <c r="G75" s="334"/>
      <c r="H75" s="50"/>
      <c r="J75" s="393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5"/>
    </row>
    <row r="76" spans="2:23" s="75" customFormat="1" ht="22.95" customHeight="1" thickBot="1">
      <c r="B76" s="24"/>
      <c r="C76" s="330" t="s">
        <v>269</v>
      </c>
      <c r="D76" s="76" t="s">
        <v>270</v>
      </c>
      <c r="E76" s="335">
        <f>E74+E49</f>
        <v>1223964.671999997</v>
      </c>
      <c r="F76" s="335">
        <f>F74+F49</f>
        <v>137605.74999999977</v>
      </c>
      <c r="G76" s="335">
        <f>G74+G49</f>
        <v>538867.0000000021</v>
      </c>
      <c r="H76" s="59"/>
      <c r="J76" s="393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5"/>
    </row>
    <row r="77" spans="2:23" ht="22.95" customHeight="1">
      <c r="B77" s="48"/>
      <c r="C77" s="139" t="s">
        <v>271</v>
      </c>
      <c r="D77" s="70" t="s">
        <v>272</v>
      </c>
      <c r="E77" s="422">
        <v>744372.37</v>
      </c>
      <c r="F77" s="422">
        <v>1219178.69</v>
      </c>
      <c r="G77" s="422">
        <v>9545381.9199999999</v>
      </c>
      <c r="H77" s="50"/>
      <c r="J77" s="393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5"/>
    </row>
    <row r="78" spans="2:23" ht="22.95" customHeight="1">
      <c r="B78" s="48"/>
      <c r="C78" s="142"/>
      <c r="D78" s="62"/>
      <c r="E78" s="130"/>
      <c r="F78" s="130"/>
      <c r="G78" s="130"/>
      <c r="H78" s="50"/>
      <c r="J78" s="393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5"/>
    </row>
    <row r="79" spans="2:23" s="75" customFormat="1" ht="22.95" customHeight="1" thickBot="1">
      <c r="B79" s="24"/>
      <c r="C79" s="330" t="s">
        <v>273</v>
      </c>
      <c r="D79" s="76" t="s">
        <v>283</v>
      </c>
      <c r="E79" s="335">
        <f>E76+E77</f>
        <v>1968337.0419999971</v>
      </c>
      <c r="F79" s="335">
        <f>F76+F77</f>
        <v>1356784.4399999997</v>
      </c>
      <c r="G79" s="335">
        <f>G76+G77</f>
        <v>10084248.920000002</v>
      </c>
      <c r="H79" s="59"/>
      <c r="J79" s="393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5"/>
    </row>
    <row r="80" spans="2:23" ht="22.95" customHeight="1">
      <c r="B80" s="48"/>
      <c r="C80" s="142"/>
      <c r="D80" s="62"/>
      <c r="E80" s="130"/>
      <c r="F80" s="130"/>
      <c r="G80" s="130"/>
      <c r="H80" s="50"/>
      <c r="J80" s="393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5"/>
    </row>
    <row r="81" spans="2:23" ht="22.95" customHeight="1">
      <c r="B81" s="48"/>
      <c r="C81" s="137" t="s">
        <v>274</v>
      </c>
      <c r="D81" s="86" t="s">
        <v>275</v>
      </c>
      <c r="E81" s="130"/>
      <c r="F81" s="130"/>
      <c r="G81" s="130"/>
      <c r="H81" s="50"/>
      <c r="J81" s="393"/>
      <c r="K81" s="394"/>
      <c r="L81" s="394"/>
      <c r="M81" s="394"/>
      <c r="N81" s="394"/>
      <c r="O81" s="394"/>
      <c r="P81" s="394"/>
      <c r="Q81" s="394"/>
      <c r="R81" s="394"/>
      <c r="S81" s="394"/>
      <c r="T81" s="394"/>
      <c r="U81" s="394"/>
      <c r="V81" s="394"/>
      <c r="W81" s="395"/>
    </row>
    <row r="82" spans="2:23" ht="22.95" customHeight="1">
      <c r="B82" s="48"/>
      <c r="C82" s="139" t="s">
        <v>276</v>
      </c>
      <c r="D82" s="70" t="s">
        <v>277</v>
      </c>
      <c r="E82" s="422"/>
      <c r="F82" s="422"/>
      <c r="G82" s="422"/>
      <c r="H82" s="50"/>
      <c r="J82" s="393"/>
      <c r="K82" s="394"/>
      <c r="L82" s="394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5"/>
    </row>
    <row r="83" spans="2:23" ht="22.95" customHeight="1">
      <c r="B83" s="48"/>
      <c r="C83" s="142"/>
      <c r="D83" s="62"/>
      <c r="E83" s="130"/>
      <c r="F83" s="130"/>
      <c r="G83" s="130"/>
      <c r="H83" s="50"/>
      <c r="J83" s="393"/>
      <c r="K83" s="394"/>
      <c r="L83" s="394"/>
      <c r="M83" s="394"/>
      <c r="N83" s="394"/>
      <c r="O83" s="394"/>
      <c r="P83" s="394"/>
      <c r="Q83" s="394"/>
      <c r="R83" s="394"/>
      <c r="S83" s="394"/>
      <c r="T83" s="394"/>
      <c r="U83" s="394"/>
      <c r="V83" s="394"/>
      <c r="W83" s="395"/>
    </row>
    <row r="84" spans="2:23" s="75" customFormat="1" ht="22.95" customHeight="1" thickBot="1">
      <c r="B84" s="24"/>
      <c r="C84" s="331" t="s">
        <v>278</v>
      </c>
      <c r="D84" s="79" t="s">
        <v>279</v>
      </c>
      <c r="E84" s="136">
        <f>E79+E82</f>
        <v>1968337.0419999971</v>
      </c>
      <c r="F84" s="136">
        <f>F79+F82</f>
        <v>1356784.4399999997</v>
      </c>
      <c r="G84" s="136">
        <f>G79+G82</f>
        <v>10084248.920000002</v>
      </c>
      <c r="H84" s="59"/>
      <c r="J84" s="393"/>
      <c r="K84" s="394"/>
      <c r="L84" s="394"/>
      <c r="M84" s="394"/>
      <c r="N84" s="394"/>
      <c r="O84" s="394"/>
      <c r="P84" s="394"/>
      <c r="Q84" s="394"/>
      <c r="R84" s="394"/>
      <c r="S84" s="394"/>
      <c r="T84" s="394"/>
      <c r="U84" s="394"/>
      <c r="V84" s="394"/>
      <c r="W84" s="395"/>
    </row>
    <row r="85" spans="2:23" ht="22.95" customHeight="1">
      <c r="B85" s="48"/>
      <c r="C85" s="44"/>
      <c r="D85" s="44"/>
      <c r="E85" s="44"/>
      <c r="F85" s="44"/>
      <c r="G85" s="44"/>
      <c r="H85" s="50"/>
      <c r="J85" s="393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5"/>
    </row>
    <row r="86" spans="2:23" ht="22.95" customHeight="1" thickBot="1">
      <c r="B86" s="52"/>
      <c r="C86" s="1003"/>
      <c r="D86" s="1003"/>
      <c r="E86" s="1003"/>
      <c r="F86" s="1003"/>
      <c r="G86" s="54"/>
      <c r="H86" s="55"/>
      <c r="J86" s="396"/>
      <c r="K86" s="397"/>
      <c r="L86" s="397"/>
      <c r="M86" s="397"/>
      <c r="N86" s="397"/>
      <c r="O86" s="397"/>
      <c r="P86" s="397"/>
      <c r="Q86" s="397"/>
      <c r="R86" s="397"/>
      <c r="S86" s="397"/>
      <c r="T86" s="397"/>
      <c r="U86" s="397"/>
      <c r="V86" s="397"/>
      <c r="W86" s="398"/>
    </row>
    <row r="87" spans="2:23" ht="22.95" customHeight="1">
      <c r="C87" s="44"/>
      <c r="D87" s="44"/>
      <c r="E87" s="44"/>
      <c r="F87" s="44"/>
      <c r="G87" s="44"/>
    </row>
    <row r="88" spans="2:23" ht="13.2">
      <c r="C88" s="37" t="s">
        <v>174</v>
      </c>
      <c r="D88" s="44"/>
      <c r="E88" s="44"/>
      <c r="F88" s="44"/>
      <c r="G88" s="41" t="s">
        <v>138</v>
      </c>
    </row>
    <row r="89" spans="2:23" ht="13.2">
      <c r="C89" s="38" t="s">
        <v>175</v>
      </c>
      <c r="D89" s="44"/>
      <c r="E89" s="44"/>
      <c r="F89" s="44"/>
      <c r="G89" s="44"/>
    </row>
    <row r="90" spans="2:23" ht="13.2">
      <c r="C90" s="38" t="s">
        <v>176</v>
      </c>
      <c r="D90" s="44"/>
      <c r="E90" s="44"/>
      <c r="F90" s="44"/>
      <c r="G90" s="44"/>
    </row>
    <row r="91" spans="2:23" ht="13.2">
      <c r="C91" s="38" t="s">
        <v>177</v>
      </c>
      <c r="D91" s="44"/>
      <c r="E91" s="44"/>
      <c r="F91" s="44"/>
      <c r="G91" s="44"/>
    </row>
    <row r="92" spans="2:23" ht="13.2">
      <c r="C92" s="38" t="s">
        <v>178</v>
      </c>
      <c r="D92" s="44"/>
      <c r="E92" s="44"/>
      <c r="F92" s="44"/>
      <c r="G92" s="44"/>
    </row>
    <row r="93" spans="2:23" ht="22.95" customHeight="1">
      <c r="C93" s="44"/>
      <c r="D93" s="44"/>
      <c r="E93" s="44"/>
      <c r="F93" s="44"/>
      <c r="G93" s="44"/>
    </row>
    <row r="94" spans="2:23" ht="22.95" customHeight="1">
      <c r="C94" s="44"/>
      <c r="D94" s="44"/>
      <c r="E94" s="44"/>
      <c r="F94" s="44"/>
      <c r="G94" s="44"/>
    </row>
    <row r="95" spans="2:23" ht="22.95" customHeight="1">
      <c r="C95" s="44"/>
      <c r="D95" s="44"/>
      <c r="E95" s="44"/>
      <c r="F95" s="44"/>
      <c r="G95" s="44"/>
    </row>
    <row r="96" spans="2:23" ht="22.95" customHeight="1">
      <c r="C96" s="44"/>
      <c r="D96" s="44"/>
      <c r="E96" s="44"/>
      <c r="F96" s="44"/>
      <c r="G96" s="44"/>
    </row>
    <row r="97" spans="6:7" ht="22.95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9"/>
  <sheetViews>
    <sheetView zoomScale="40" zoomScaleNormal="40" zoomScalePageLayoutView="125" workbookViewId="0">
      <selection activeCell="B1" sqref="B1:N104"/>
    </sheetView>
  </sheetViews>
  <sheetFormatPr baseColWidth="10" defaultColWidth="10.54296875" defaultRowHeight="22.95" customHeight="1"/>
  <cols>
    <col min="1" max="2" width="3.1796875" style="580" customWidth="1"/>
    <col min="3" max="3" width="13.54296875" style="580" customWidth="1"/>
    <col min="4" max="4" width="42.453125" style="580" customWidth="1"/>
    <col min="5" max="6" width="15.54296875" style="582" customWidth="1"/>
    <col min="7" max="7" width="31" style="582" customWidth="1"/>
    <col min="8" max="8" width="15.54296875" style="582" customWidth="1"/>
    <col min="9" max="9" width="16.54296875" style="582" customWidth="1"/>
    <col min="10" max="10" width="30.54296875" style="582" customWidth="1"/>
    <col min="11" max="12" width="15.54296875" style="582" customWidth="1"/>
    <col min="13" max="13" width="27.1796875" style="582" customWidth="1"/>
    <col min="14" max="14" width="3.453125" style="580" customWidth="1"/>
    <col min="15" max="16384" width="10.54296875" style="580"/>
  </cols>
  <sheetData>
    <row r="2" spans="2:29" ht="22.95" customHeight="1">
      <c r="D2" s="581" t="s">
        <v>477</v>
      </c>
    </row>
    <row r="3" spans="2:29" ht="22.95" customHeight="1">
      <c r="D3" s="581" t="s">
        <v>478</v>
      </c>
    </row>
    <row r="4" spans="2:29" ht="22.95" customHeight="1" thickBot="1"/>
    <row r="5" spans="2:29" ht="9" customHeight="1">
      <c r="B5" s="583"/>
      <c r="C5" s="584"/>
      <c r="D5" s="584"/>
      <c r="E5" s="585"/>
      <c r="F5" s="585"/>
      <c r="G5" s="585"/>
      <c r="H5" s="585"/>
      <c r="I5" s="585"/>
      <c r="J5" s="585"/>
      <c r="K5" s="585"/>
      <c r="L5" s="585"/>
      <c r="M5" s="585"/>
      <c r="N5" s="586"/>
      <c r="P5" s="377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9"/>
    </row>
    <row r="6" spans="2:29" ht="30" customHeight="1">
      <c r="B6" s="587"/>
      <c r="C6" s="588" t="s">
        <v>97</v>
      </c>
      <c r="D6" s="589"/>
      <c r="E6" s="590"/>
      <c r="F6" s="590"/>
      <c r="G6" s="590"/>
      <c r="H6" s="590"/>
      <c r="I6" s="590"/>
      <c r="J6" s="590"/>
      <c r="K6" s="590"/>
      <c r="L6" s="590"/>
      <c r="M6" s="990">
        <f>ejercicio</f>
        <v>2018</v>
      </c>
      <c r="N6" s="591"/>
      <c r="P6" s="380"/>
      <c r="Q6" s="381" t="s">
        <v>810</v>
      </c>
      <c r="R6" s="382"/>
      <c r="S6" s="382"/>
      <c r="T6" s="382"/>
      <c r="U6" s="382"/>
      <c r="V6" s="382"/>
      <c r="W6" s="382"/>
      <c r="X6" s="382"/>
      <c r="Y6" s="382"/>
      <c r="Z6" s="382"/>
      <c r="AA6" s="382"/>
      <c r="AB6" s="382"/>
      <c r="AC6" s="383"/>
    </row>
    <row r="7" spans="2:29" ht="30" customHeight="1">
      <c r="B7" s="587"/>
      <c r="C7" s="588" t="s">
        <v>98</v>
      </c>
      <c r="D7" s="589"/>
      <c r="E7" s="590"/>
      <c r="F7" s="590"/>
      <c r="G7" s="590"/>
      <c r="H7" s="590"/>
      <c r="I7" s="590"/>
      <c r="J7" s="590"/>
      <c r="K7" s="590"/>
      <c r="L7" s="590"/>
      <c r="M7" s="990"/>
      <c r="N7" s="592"/>
      <c r="P7" s="380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3"/>
    </row>
    <row r="8" spans="2:29" ht="30" customHeight="1">
      <c r="B8" s="587"/>
      <c r="C8" s="593"/>
      <c r="D8" s="589"/>
      <c r="E8" s="590"/>
      <c r="F8" s="590"/>
      <c r="G8" s="590"/>
      <c r="H8" s="590"/>
      <c r="I8" s="590"/>
      <c r="J8" s="590"/>
      <c r="K8" s="590"/>
      <c r="L8" s="590"/>
      <c r="M8" s="590"/>
      <c r="N8" s="592"/>
      <c r="P8" s="380"/>
      <c r="Q8" s="382"/>
      <c r="R8" s="382"/>
      <c r="S8" s="382"/>
      <c r="T8" s="382"/>
      <c r="U8" s="382"/>
      <c r="V8" s="382"/>
      <c r="W8" s="382"/>
      <c r="X8" s="382"/>
      <c r="Y8" s="382"/>
      <c r="Z8" s="382"/>
      <c r="AA8" s="382"/>
      <c r="AB8" s="382"/>
      <c r="AC8" s="383"/>
    </row>
    <row r="9" spans="2:29" s="596" customFormat="1" ht="30" customHeight="1">
      <c r="B9" s="594"/>
      <c r="C9" s="595" t="s">
        <v>99</v>
      </c>
      <c r="D9" s="992" t="str">
        <f>Entidad</f>
        <v>INSTITUTO TECNOLÓGICO Y DE ENERGÍAS RENOVALBES S.A. (ITER)</v>
      </c>
      <c r="E9" s="992"/>
      <c r="F9" s="992"/>
      <c r="G9" s="992"/>
      <c r="H9" s="992"/>
      <c r="I9" s="992"/>
      <c r="J9" s="992"/>
      <c r="K9" s="992"/>
      <c r="L9" s="992"/>
      <c r="M9" s="992"/>
      <c r="N9" s="592"/>
      <c r="P9" s="384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6"/>
    </row>
    <row r="10" spans="2:29" ht="7.2" customHeight="1">
      <c r="B10" s="587"/>
      <c r="C10" s="589"/>
      <c r="D10" s="589"/>
      <c r="E10" s="590"/>
      <c r="F10" s="590"/>
      <c r="G10" s="590"/>
      <c r="H10" s="590"/>
      <c r="I10" s="590"/>
      <c r="J10" s="590"/>
      <c r="K10" s="590"/>
      <c r="L10" s="590"/>
      <c r="M10" s="590"/>
      <c r="N10" s="592"/>
      <c r="P10" s="380"/>
      <c r="Q10" s="382"/>
      <c r="R10" s="382"/>
      <c r="S10" s="382"/>
      <c r="T10" s="382"/>
      <c r="U10" s="382"/>
      <c r="V10" s="382"/>
      <c r="W10" s="382"/>
      <c r="X10" s="382"/>
      <c r="Y10" s="382"/>
      <c r="Z10" s="382"/>
      <c r="AA10" s="382"/>
      <c r="AB10" s="382"/>
      <c r="AC10" s="383"/>
    </row>
    <row r="11" spans="2:29" s="600" customFormat="1" ht="30" customHeight="1">
      <c r="B11" s="597"/>
      <c r="C11" s="598" t="s">
        <v>759</v>
      </c>
      <c r="D11" s="598"/>
      <c r="E11" s="599"/>
      <c r="F11" s="599"/>
      <c r="G11" s="599"/>
      <c r="H11" s="599"/>
      <c r="I11" s="599"/>
      <c r="J11" s="599"/>
      <c r="K11" s="599"/>
      <c r="L11" s="599"/>
      <c r="M11" s="599"/>
      <c r="N11" s="592"/>
      <c r="P11" s="387"/>
      <c r="Q11" s="388"/>
      <c r="R11" s="388"/>
      <c r="S11" s="388"/>
      <c r="T11" s="388"/>
      <c r="U11" s="388"/>
      <c r="V11" s="388"/>
      <c r="W11" s="388"/>
      <c r="X11" s="388"/>
      <c r="Y11" s="388"/>
      <c r="Z11" s="388"/>
      <c r="AA11" s="388"/>
      <c r="AB11" s="388"/>
      <c r="AC11" s="389"/>
    </row>
    <row r="12" spans="2:29" s="600" customFormat="1" ht="30" customHeight="1">
      <c r="B12" s="597"/>
      <c r="C12" s="1005"/>
      <c r="D12" s="1005"/>
      <c r="E12" s="601"/>
      <c r="F12" s="601"/>
      <c r="G12" s="601"/>
      <c r="H12" s="601"/>
      <c r="I12" s="601"/>
      <c r="J12" s="601"/>
      <c r="K12" s="601"/>
      <c r="L12" s="601"/>
      <c r="M12" s="601"/>
      <c r="N12" s="592"/>
      <c r="P12" s="387"/>
      <c r="Q12" s="388"/>
      <c r="R12" s="388"/>
      <c r="S12" s="388"/>
      <c r="T12" s="388"/>
      <c r="U12" s="388"/>
      <c r="V12" s="388"/>
      <c r="W12" s="388"/>
      <c r="X12" s="388"/>
      <c r="Y12" s="388"/>
      <c r="Z12" s="388"/>
      <c r="AA12" s="388"/>
      <c r="AB12" s="388"/>
      <c r="AC12" s="389"/>
    </row>
    <row r="13" spans="2:29" s="600" customFormat="1" ht="30" customHeight="1">
      <c r="B13" s="597"/>
      <c r="D13" s="602"/>
      <c r="E13" s="601"/>
      <c r="F13" s="601"/>
      <c r="G13" s="601"/>
      <c r="H13" s="601"/>
      <c r="I13" s="601"/>
      <c r="J13" s="601"/>
      <c r="K13" s="601"/>
      <c r="L13" s="601"/>
      <c r="M13" s="601"/>
      <c r="N13" s="592"/>
      <c r="P13" s="380"/>
      <c r="Q13" s="382"/>
      <c r="R13" s="382"/>
      <c r="S13" s="382"/>
      <c r="T13" s="382"/>
      <c r="U13" s="382"/>
      <c r="V13" s="382"/>
      <c r="W13" s="382"/>
      <c r="X13" s="382"/>
      <c r="Y13" s="382"/>
      <c r="Z13" s="382"/>
      <c r="AA13" s="382"/>
      <c r="AB13" s="382"/>
      <c r="AC13" s="383"/>
    </row>
    <row r="14" spans="2:29" s="610" customFormat="1" ht="22.95" customHeight="1">
      <c r="B14" s="603"/>
      <c r="C14" s="604"/>
      <c r="D14" s="605"/>
      <c r="E14" s="606"/>
      <c r="F14" s="607" t="s">
        <v>280</v>
      </c>
      <c r="G14" s="608">
        <f>ejercicio-2</f>
        <v>2016</v>
      </c>
      <c r="H14" s="606"/>
      <c r="I14" s="609" t="s">
        <v>281</v>
      </c>
      <c r="J14" s="608">
        <f>ejercicio-1</f>
        <v>2017</v>
      </c>
      <c r="K14" s="606"/>
      <c r="L14" s="607" t="s">
        <v>282</v>
      </c>
      <c r="M14" s="608">
        <f>ejercicio</f>
        <v>2018</v>
      </c>
      <c r="N14" s="592"/>
      <c r="P14" s="380"/>
      <c r="Q14" s="382"/>
      <c r="R14" s="382"/>
      <c r="S14" s="382"/>
      <c r="T14" s="382"/>
      <c r="U14" s="382"/>
      <c r="V14" s="382"/>
      <c r="W14" s="382"/>
      <c r="X14" s="382"/>
      <c r="Y14" s="382"/>
      <c r="Z14" s="382"/>
      <c r="AA14" s="382"/>
      <c r="AB14" s="382"/>
      <c r="AC14" s="383"/>
    </row>
    <row r="15" spans="2:29" s="615" customFormat="1" ht="22.95" customHeight="1">
      <c r="B15" s="611"/>
      <c r="C15" s="612" t="s">
        <v>776</v>
      </c>
      <c r="D15" s="613"/>
      <c r="E15" s="614" t="s">
        <v>760</v>
      </c>
      <c r="F15" s="614" t="s">
        <v>761</v>
      </c>
      <c r="G15" s="614" t="s">
        <v>688</v>
      </c>
      <c r="H15" s="614" t="s">
        <v>760</v>
      </c>
      <c r="I15" s="614" t="s">
        <v>761</v>
      </c>
      <c r="J15" s="614" t="s">
        <v>688</v>
      </c>
      <c r="K15" s="614" t="s">
        <v>760</v>
      </c>
      <c r="L15" s="614" t="s">
        <v>761</v>
      </c>
      <c r="M15" s="614" t="s">
        <v>688</v>
      </c>
      <c r="N15" s="592"/>
      <c r="P15" s="380"/>
      <c r="Q15" s="382"/>
      <c r="R15" s="382"/>
      <c r="S15" s="382"/>
      <c r="T15" s="382"/>
      <c r="U15" s="382"/>
      <c r="V15" s="382"/>
      <c r="W15" s="382"/>
      <c r="X15" s="382"/>
      <c r="Y15" s="382"/>
      <c r="Z15" s="382"/>
      <c r="AA15" s="382"/>
      <c r="AB15" s="382"/>
      <c r="AC15" s="383"/>
    </row>
    <row r="16" spans="2:29" s="622" customFormat="1" ht="22.95" customHeight="1">
      <c r="B16" s="616"/>
      <c r="C16" s="617" t="s">
        <v>762</v>
      </c>
      <c r="D16" s="618"/>
      <c r="E16" s="619">
        <f>SUM(E17:E18)</f>
        <v>879609.96</v>
      </c>
      <c r="F16" s="619">
        <f>SUM(F17:F18)</f>
        <v>61572.697200000002</v>
      </c>
      <c r="G16" s="620"/>
      <c r="H16" s="619">
        <f>SUM(H17:H18)</f>
        <v>881591.3</v>
      </c>
      <c r="I16" s="619">
        <f>SUM(I17:I18)</f>
        <v>61711.391000000011</v>
      </c>
      <c r="J16" s="620"/>
      <c r="K16" s="619">
        <f>SUM(K17:K18)</f>
        <v>879609.96</v>
      </c>
      <c r="L16" s="619">
        <f>SUM(L17:L18)</f>
        <v>61572.697200000002</v>
      </c>
      <c r="M16" s="621"/>
      <c r="N16" s="592"/>
      <c r="P16" s="380"/>
      <c r="Q16" s="382"/>
      <c r="R16" s="382"/>
      <c r="S16" s="382"/>
      <c r="T16" s="382"/>
      <c r="U16" s="382"/>
      <c r="V16" s="382"/>
      <c r="W16" s="382"/>
      <c r="X16" s="382"/>
      <c r="Y16" s="382"/>
      <c r="Z16" s="382"/>
      <c r="AA16" s="382"/>
      <c r="AB16" s="382"/>
      <c r="AC16" s="383"/>
    </row>
    <row r="17" spans="2:29" s="622" customFormat="1" ht="19.95" customHeight="1">
      <c r="B17" s="616"/>
      <c r="C17" s="807"/>
      <c r="D17" s="808" t="s">
        <v>763</v>
      </c>
      <c r="E17" s="437"/>
      <c r="F17" s="437"/>
      <c r="G17" s="809"/>
      <c r="H17" s="437"/>
      <c r="I17" s="437"/>
      <c r="J17" s="809"/>
      <c r="K17" s="437"/>
      <c r="L17" s="437"/>
      <c r="M17" s="810"/>
      <c r="N17" s="657"/>
      <c r="P17" s="390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2"/>
    </row>
    <row r="18" spans="2:29" s="622" customFormat="1" ht="19.95" customHeight="1">
      <c r="B18" s="616"/>
      <c r="C18" s="811"/>
      <c r="D18" s="812" t="s">
        <v>764</v>
      </c>
      <c r="E18" s="445">
        <v>879609.96</v>
      </c>
      <c r="F18" s="445">
        <f>+E18*7%</f>
        <v>61572.697200000002</v>
      </c>
      <c r="G18" s="813"/>
      <c r="H18" s="445">
        <v>881591.3</v>
      </c>
      <c r="I18" s="445">
        <f>+H18*7%</f>
        <v>61711.391000000011</v>
      </c>
      <c r="J18" s="813"/>
      <c r="K18" s="445">
        <v>879609.96</v>
      </c>
      <c r="L18" s="445">
        <f>+K18*7%</f>
        <v>61572.697200000002</v>
      </c>
      <c r="M18" s="814"/>
      <c r="N18" s="657"/>
      <c r="P18" s="390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  <c r="AC18" s="392"/>
    </row>
    <row r="19" spans="2:29" s="622" customFormat="1" ht="22.95" customHeight="1">
      <c r="B19" s="616"/>
      <c r="C19" s="617" t="s">
        <v>765</v>
      </c>
      <c r="D19" s="618"/>
      <c r="E19" s="619">
        <f>+E20+E25</f>
        <v>1731066.513</v>
      </c>
      <c r="F19" s="619">
        <f>+F20+F25</f>
        <v>120800.01660999999</v>
      </c>
      <c r="G19" s="620"/>
      <c r="H19" s="619">
        <f>+H20+H25</f>
        <v>1505269.56</v>
      </c>
      <c r="I19" s="619">
        <f>+I20+I25</f>
        <v>104990.8496</v>
      </c>
      <c r="J19" s="620"/>
      <c r="K19" s="619">
        <f>+K20+K25</f>
        <v>1553639.62</v>
      </c>
      <c r="L19" s="619">
        <f>+L20+L25</f>
        <v>108376.77340000001</v>
      </c>
      <c r="M19" s="621"/>
      <c r="N19" s="592"/>
      <c r="P19" s="380"/>
      <c r="Q19" s="382"/>
      <c r="R19" s="382"/>
      <c r="S19" s="382"/>
      <c r="T19" s="382"/>
      <c r="U19" s="382"/>
      <c r="V19" s="382"/>
      <c r="W19" s="382"/>
      <c r="X19" s="382"/>
      <c r="Y19" s="382"/>
      <c r="Z19" s="382"/>
      <c r="AA19" s="382"/>
      <c r="AB19" s="382"/>
      <c r="AC19" s="383"/>
    </row>
    <row r="20" spans="2:29" s="622" customFormat="1" ht="19.95" customHeight="1">
      <c r="B20" s="616"/>
      <c r="C20" s="807"/>
      <c r="D20" s="808" t="s">
        <v>3</v>
      </c>
      <c r="E20" s="815">
        <f>SUM(E21:E24)</f>
        <v>5351.99</v>
      </c>
      <c r="F20" s="815">
        <f>SUM(F21:F24)</f>
        <v>0</v>
      </c>
      <c r="G20" s="816"/>
      <c r="H20" s="815">
        <f>SUM(H21:H24)</f>
        <v>5400.28</v>
      </c>
      <c r="I20" s="815">
        <f>SUM(I21:I24)</f>
        <v>0</v>
      </c>
      <c r="J20" s="816"/>
      <c r="K20" s="815">
        <f>SUM(K21:K24)</f>
        <v>5400</v>
      </c>
      <c r="L20" s="815">
        <f>SUM(L21:L24)</f>
        <v>0</v>
      </c>
      <c r="M20" s="817"/>
      <c r="N20" s="657"/>
      <c r="P20" s="390"/>
      <c r="Q20" s="391"/>
      <c r="R20" s="391"/>
      <c r="S20" s="391"/>
      <c r="T20" s="391"/>
      <c r="U20" s="391"/>
      <c r="V20" s="391"/>
      <c r="W20" s="391"/>
      <c r="X20" s="391"/>
      <c r="Y20" s="391"/>
      <c r="Z20" s="391"/>
      <c r="AA20" s="391"/>
      <c r="AB20" s="391"/>
      <c r="AC20" s="392"/>
    </row>
    <row r="21" spans="2:29" s="625" customFormat="1" ht="19.95" customHeight="1">
      <c r="B21" s="594"/>
      <c r="C21" s="945"/>
      <c r="D21" s="946" t="s">
        <v>946</v>
      </c>
      <c r="E21" s="472">
        <v>5351.99</v>
      </c>
      <c r="F21" s="472">
        <v>0</v>
      </c>
      <c r="G21" s="509"/>
      <c r="H21" s="472">
        <v>5400.28</v>
      </c>
      <c r="I21" s="472">
        <v>0</v>
      </c>
      <c r="J21" s="509"/>
      <c r="K21" s="472">
        <v>5400</v>
      </c>
      <c r="L21" s="472"/>
      <c r="M21" s="481"/>
      <c r="N21" s="592"/>
      <c r="P21" s="380"/>
      <c r="Q21" s="382"/>
      <c r="R21" s="382"/>
      <c r="S21" s="382"/>
      <c r="T21" s="382"/>
      <c r="U21" s="382"/>
      <c r="V21" s="382"/>
      <c r="W21" s="382"/>
      <c r="X21" s="382"/>
      <c r="Y21" s="382"/>
      <c r="Z21" s="382"/>
      <c r="AA21" s="382"/>
      <c r="AB21" s="382"/>
      <c r="AC21" s="383"/>
    </row>
    <row r="22" spans="2:29" s="625" customFormat="1" ht="19.95" customHeight="1">
      <c r="B22" s="594"/>
      <c r="C22" s="522"/>
      <c r="D22" s="523"/>
      <c r="E22" s="472"/>
      <c r="F22" s="472"/>
      <c r="G22" s="509"/>
      <c r="H22" s="472"/>
      <c r="I22" s="472"/>
      <c r="J22" s="509"/>
      <c r="K22" s="472"/>
      <c r="L22" s="472"/>
      <c r="M22" s="481"/>
      <c r="N22" s="592"/>
      <c r="P22" s="380"/>
      <c r="Q22" s="382"/>
      <c r="R22" s="382"/>
      <c r="S22" s="382"/>
      <c r="T22" s="382"/>
      <c r="U22" s="382"/>
      <c r="V22" s="382"/>
      <c r="W22" s="382"/>
      <c r="X22" s="382"/>
      <c r="Y22" s="382"/>
      <c r="Z22" s="382"/>
      <c r="AA22" s="382"/>
      <c r="AB22" s="382"/>
      <c r="AC22" s="383"/>
    </row>
    <row r="23" spans="2:29" s="625" customFormat="1" ht="19.95" customHeight="1">
      <c r="B23" s="594"/>
      <c r="C23" s="522"/>
      <c r="D23" s="523"/>
      <c r="E23" s="472"/>
      <c r="F23" s="472"/>
      <c r="G23" s="509"/>
      <c r="H23" s="472"/>
      <c r="I23" s="472"/>
      <c r="J23" s="509"/>
      <c r="K23" s="472"/>
      <c r="L23" s="472"/>
      <c r="M23" s="481"/>
      <c r="N23" s="592"/>
      <c r="P23" s="380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383"/>
    </row>
    <row r="24" spans="2:29" s="625" customFormat="1" ht="19.95" customHeight="1">
      <c r="B24" s="594"/>
      <c r="C24" s="522"/>
      <c r="D24" s="523"/>
      <c r="E24" s="472"/>
      <c r="F24" s="472"/>
      <c r="G24" s="509"/>
      <c r="H24" s="472"/>
      <c r="I24" s="472"/>
      <c r="J24" s="509"/>
      <c r="K24" s="472"/>
      <c r="L24" s="472"/>
      <c r="M24" s="481"/>
      <c r="N24" s="592"/>
      <c r="P24" s="380"/>
      <c r="Q24" s="382"/>
      <c r="R24" s="382"/>
      <c r="S24" s="382"/>
      <c r="T24" s="382"/>
      <c r="U24" s="382"/>
      <c r="V24" s="382"/>
      <c r="W24" s="382"/>
      <c r="X24" s="382"/>
      <c r="Y24" s="382"/>
      <c r="Z24" s="382"/>
      <c r="AA24" s="382"/>
      <c r="AB24" s="382"/>
      <c r="AC24" s="383"/>
    </row>
    <row r="25" spans="2:29" s="622" customFormat="1" ht="19.95" customHeight="1">
      <c r="B25" s="616"/>
      <c r="C25" s="818"/>
      <c r="D25" s="819" t="s">
        <v>4</v>
      </c>
      <c r="E25" s="820">
        <f>SUM(E26:E33)</f>
        <v>1725714.523</v>
      </c>
      <c r="F25" s="820">
        <f>SUM(F26:F33)</f>
        <v>120800.01660999999</v>
      </c>
      <c r="G25" s="821"/>
      <c r="H25" s="820">
        <f>SUM(H26:H33)</f>
        <v>1499869.28</v>
      </c>
      <c r="I25" s="820">
        <f>SUM(I26:I33)</f>
        <v>104990.8496</v>
      </c>
      <c r="J25" s="821"/>
      <c r="K25" s="820">
        <f>SUM(K26:K33)</f>
        <v>1548239.62</v>
      </c>
      <c r="L25" s="820">
        <f>SUM(L26:L33)</f>
        <v>108376.77340000001</v>
      </c>
      <c r="M25" s="822"/>
      <c r="N25" s="657"/>
      <c r="P25" s="390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2"/>
    </row>
    <row r="26" spans="2:29" s="625" customFormat="1" ht="19.95" customHeight="1">
      <c r="B26" s="594"/>
      <c r="C26" s="522"/>
      <c r="D26" s="946" t="s">
        <v>947</v>
      </c>
      <c r="E26" s="472">
        <v>1412401.03</v>
      </c>
      <c r="F26" s="472">
        <v>98868.072100000005</v>
      </c>
      <c r="G26" s="509"/>
      <c r="H26" s="472">
        <v>1322353.26</v>
      </c>
      <c r="I26" s="472">
        <v>92564.728200000012</v>
      </c>
      <c r="J26" s="509"/>
      <c r="K26" s="472">
        <v>1316521.26</v>
      </c>
      <c r="L26" s="472">
        <f>+K26*7%</f>
        <v>92156.488200000007</v>
      </c>
      <c r="M26" s="481"/>
      <c r="N26" s="592"/>
      <c r="P26" s="380"/>
      <c r="Q26" s="382"/>
      <c r="R26" s="382"/>
      <c r="S26" s="382"/>
      <c r="T26" s="382"/>
      <c r="U26" s="382"/>
      <c r="V26" s="382"/>
      <c r="W26" s="382"/>
      <c r="X26" s="382"/>
      <c r="Y26" s="382"/>
      <c r="Z26" s="382"/>
      <c r="AA26" s="382"/>
      <c r="AB26" s="382"/>
      <c r="AC26" s="383"/>
    </row>
    <row r="27" spans="2:29" s="625" customFormat="1" ht="19.95" customHeight="1">
      <c r="B27" s="594"/>
      <c r="C27" s="522"/>
      <c r="D27" s="946" t="s">
        <v>948</v>
      </c>
      <c r="E27" s="472">
        <v>14869.88</v>
      </c>
      <c r="F27" s="472">
        <v>1040.8916000000002</v>
      </c>
      <c r="G27" s="509"/>
      <c r="H27" s="472">
        <v>15640.2</v>
      </c>
      <c r="I27" s="472">
        <v>1094.8140000000001</v>
      </c>
      <c r="J27" s="509"/>
      <c r="K27" s="472">
        <v>15000</v>
      </c>
      <c r="L27" s="472">
        <f t="shared" ref="L27:L32" si="0">+K27*7%</f>
        <v>1050</v>
      </c>
      <c r="M27" s="481"/>
      <c r="N27" s="592"/>
      <c r="P27" s="380"/>
      <c r="Q27" s="382"/>
      <c r="R27" s="382"/>
      <c r="S27" s="382"/>
      <c r="T27" s="382"/>
      <c r="U27" s="382"/>
      <c r="V27" s="382"/>
      <c r="W27" s="382"/>
      <c r="X27" s="382"/>
      <c r="Y27" s="382"/>
      <c r="Z27" s="382"/>
      <c r="AA27" s="382"/>
      <c r="AB27" s="382"/>
      <c r="AC27" s="383"/>
    </row>
    <row r="28" spans="2:29" s="625" customFormat="1" ht="19.95" customHeight="1">
      <c r="B28" s="594"/>
      <c r="C28" s="522"/>
      <c r="D28" s="946" t="s">
        <v>949</v>
      </c>
      <c r="E28" s="472">
        <v>12147</v>
      </c>
      <c r="F28" s="472">
        <v>850.29000000000008</v>
      </c>
      <c r="G28" s="509"/>
      <c r="H28" s="472">
        <v>13000</v>
      </c>
      <c r="I28" s="472">
        <v>910.00000000000011</v>
      </c>
      <c r="J28" s="509"/>
      <c r="K28" s="472">
        <v>13000</v>
      </c>
      <c r="L28" s="472">
        <f t="shared" si="0"/>
        <v>910.00000000000011</v>
      </c>
      <c r="M28" s="481"/>
      <c r="N28" s="592"/>
      <c r="P28" s="380"/>
      <c r="Q28" s="382"/>
      <c r="R28" s="382"/>
      <c r="S28" s="382"/>
      <c r="T28" s="382"/>
      <c r="U28" s="382"/>
      <c r="V28" s="382"/>
      <c r="W28" s="382"/>
      <c r="X28" s="382"/>
      <c r="Y28" s="382"/>
      <c r="Z28" s="382"/>
      <c r="AA28" s="382"/>
      <c r="AB28" s="382"/>
      <c r="AC28" s="383"/>
    </row>
    <row r="29" spans="2:29" s="625" customFormat="1" ht="19.95" customHeight="1">
      <c r="B29" s="594"/>
      <c r="C29" s="522"/>
      <c r="D29" s="946" t="s">
        <v>950</v>
      </c>
      <c r="E29" s="472">
        <v>119162.79000000001</v>
      </c>
      <c r="F29" s="472">
        <v>8341.395300000002</v>
      </c>
      <c r="G29" s="509"/>
      <c r="H29" s="472">
        <v>9281</v>
      </c>
      <c r="I29" s="472">
        <v>649.67000000000007</v>
      </c>
      <c r="J29" s="509"/>
      <c r="K29" s="472">
        <f>15721+40000</f>
        <v>55721</v>
      </c>
      <c r="L29" s="472">
        <f t="shared" si="0"/>
        <v>3900.4700000000003</v>
      </c>
      <c r="M29" s="481"/>
      <c r="N29" s="592"/>
      <c r="P29" s="380"/>
      <c r="Q29" s="382"/>
      <c r="R29" s="382"/>
      <c r="S29" s="382"/>
      <c r="T29" s="382"/>
      <c r="U29" s="382"/>
      <c r="V29" s="382"/>
      <c r="W29" s="382"/>
      <c r="X29" s="382"/>
      <c r="Y29" s="382"/>
      <c r="Z29" s="382"/>
      <c r="AA29" s="382"/>
      <c r="AB29" s="382"/>
      <c r="AC29" s="383"/>
    </row>
    <row r="30" spans="2:29" s="625" customFormat="1" ht="19.95" customHeight="1">
      <c r="B30" s="594"/>
      <c r="C30" s="522"/>
      <c r="D30" s="946" t="s">
        <v>951</v>
      </c>
      <c r="E30" s="472">
        <v>24911.75</v>
      </c>
      <c r="F30" s="472">
        <v>1743.8225000000002</v>
      </c>
      <c r="G30" s="509"/>
      <c r="H30" s="472">
        <v>25593.33</v>
      </c>
      <c r="I30" s="472">
        <v>1791.5331000000003</v>
      </c>
      <c r="J30" s="509"/>
      <c r="K30" s="947">
        <v>26549.5</v>
      </c>
      <c r="L30" s="472">
        <f t="shared" si="0"/>
        <v>1858.4650000000001</v>
      </c>
      <c r="M30" s="481"/>
      <c r="N30" s="592"/>
      <c r="P30" s="380"/>
      <c r="Q30" s="382"/>
      <c r="R30" s="382"/>
      <c r="S30" s="382"/>
      <c r="T30" s="382"/>
      <c r="U30" s="382"/>
      <c r="V30" s="382"/>
      <c r="W30" s="382"/>
      <c r="X30" s="382"/>
      <c r="Y30" s="382"/>
      <c r="Z30" s="382"/>
      <c r="AA30" s="382"/>
      <c r="AB30" s="382"/>
      <c r="AC30" s="383"/>
    </row>
    <row r="31" spans="2:29" s="625" customFormat="1" ht="19.95" customHeight="1">
      <c r="B31" s="594"/>
      <c r="C31" s="522"/>
      <c r="D31" s="946" t="s">
        <v>952</v>
      </c>
      <c r="E31" s="472">
        <v>10460.243</v>
      </c>
      <c r="F31" s="472">
        <v>732.21701000000007</v>
      </c>
      <c r="G31" s="509"/>
      <c r="H31" s="472">
        <v>11028.25</v>
      </c>
      <c r="I31" s="472">
        <v>771.97750000000008</v>
      </c>
      <c r="J31" s="509"/>
      <c r="K31" s="472">
        <v>10000</v>
      </c>
      <c r="L31" s="472">
        <f t="shared" si="0"/>
        <v>700.00000000000011</v>
      </c>
      <c r="M31" s="481"/>
      <c r="N31" s="592"/>
      <c r="P31" s="380"/>
      <c r="Q31" s="382"/>
      <c r="R31" s="382"/>
      <c r="S31" s="382"/>
      <c r="T31" s="382"/>
      <c r="U31" s="382"/>
      <c r="V31" s="382"/>
      <c r="W31" s="382"/>
      <c r="X31" s="382"/>
      <c r="Y31" s="382"/>
      <c r="Z31" s="382"/>
      <c r="AA31" s="382"/>
      <c r="AB31" s="382"/>
      <c r="AC31" s="383"/>
    </row>
    <row r="32" spans="2:29" s="625" customFormat="1" ht="19.95" customHeight="1">
      <c r="B32" s="594"/>
      <c r="C32" s="522"/>
      <c r="D32" s="946" t="s">
        <v>953</v>
      </c>
      <c r="E32" s="472">
        <v>131761.82999999999</v>
      </c>
      <c r="F32" s="472">
        <v>9223.3281000000006</v>
      </c>
      <c r="G32" s="509"/>
      <c r="H32" s="472">
        <v>102973.24</v>
      </c>
      <c r="I32" s="472">
        <v>7208.1268000000009</v>
      </c>
      <c r="J32" s="509"/>
      <c r="K32" s="472">
        <v>111447.86</v>
      </c>
      <c r="L32" s="472">
        <f t="shared" si="0"/>
        <v>7801.3502000000008</v>
      </c>
      <c r="M32" s="481"/>
      <c r="N32" s="592"/>
      <c r="P32" s="380"/>
      <c r="Q32" s="382"/>
      <c r="R32" s="382"/>
      <c r="S32" s="382"/>
      <c r="T32" s="382"/>
      <c r="U32" s="382"/>
      <c r="V32" s="382"/>
      <c r="W32" s="382"/>
      <c r="X32" s="382"/>
      <c r="Y32" s="382"/>
      <c r="Z32" s="382"/>
      <c r="AA32" s="382"/>
      <c r="AB32" s="382"/>
      <c r="AC32" s="383"/>
    </row>
    <row r="33" spans="2:29" s="625" customFormat="1" ht="19.95" customHeight="1">
      <c r="B33" s="594"/>
      <c r="C33" s="524"/>
      <c r="D33" s="525"/>
      <c r="E33" s="474"/>
      <c r="F33" s="474"/>
      <c r="G33" s="490"/>
      <c r="H33" s="474"/>
      <c r="I33" s="474"/>
      <c r="J33" s="490"/>
      <c r="K33" s="474"/>
      <c r="L33" s="472"/>
      <c r="M33" s="482"/>
      <c r="N33" s="592"/>
      <c r="P33" s="380"/>
      <c r="Q33" s="382"/>
      <c r="R33" s="382"/>
      <c r="S33" s="382"/>
      <c r="T33" s="382"/>
      <c r="U33" s="382"/>
      <c r="V33" s="382"/>
      <c r="W33" s="382"/>
      <c r="X33" s="382"/>
      <c r="Y33" s="382"/>
      <c r="Z33" s="382"/>
      <c r="AA33" s="382"/>
      <c r="AB33" s="382"/>
      <c r="AC33" s="383"/>
    </row>
    <row r="34" spans="2:29" s="622" customFormat="1" ht="22.95" customHeight="1">
      <c r="B34" s="616"/>
      <c r="C34" s="617" t="s">
        <v>766</v>
      </c>
      <c r="D34" s="618"/>
      <c r="E34" s="619">
        <f>+E35+E44</f>
        <v>6454614.9070000006</v>
      </c>
      <c r="F34" s="619">
        <f>+F35+F44</f>
        <v>424804.9730900001</v>
      </c>
      <c r="G34" s="620"/>
      <c r="H34" s="619">
        <f>+H35+H44</f>
        <v>5800641.1499999994</v>
      </c>
      <c r="I34" s="619">
        <f>+I35+I44</f>
        <v>378860.49849999999</v>
      </c>
      <c r="J34" s="620"/>
      <c r="K34" s="619">
        <f>+K35+K44</f>
        <v>6340641.4700000007</v>
      </c>
      <c r="L34" s="619">
        <f>+L35+L44</f>
        <v>408741.35210000008</v>
      </c>
      <c r="M34" s="621"/>
      <c r="N34" s="592"/>
      <c r="P34" s="390"/>
      <c r="Q34" s="391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  <c r="AC34" s="392"/>
    </row>
    <row r="35" spans="2:29" s="636" customFormat="1" ht="19.2" customHeight="1">
      <c r="B35" s="629"/>
      <c r="C35" s="630" t="s">
        <v>767</v>
      </c>
      <c r="D35" s="631"/>
      <c r="E35" s="632">
        <f>E36+E40</f>
        <v>17114.149530000002</v>
      </c>
      <c r="F35" s="632">
        <f>F36+F40</f>
        <v>1197.9904671000002</v>
      </c>
      <c r="G35" s="633"/>
      <c r="H35" s="632">
        <f>H36+H40</f>
        <v>42759.849990000002</v>
      </c>
      <c r="I35" s="632">
        <f>I36+I40</f>
        <v>2993.1894993000005</v>
      </c>
      <c r="J35" s="633"/>
      <c r="K35" s="632">
        <f>K36+K40</f>
        <v>17500</v>
      </c>
      <c r="L35" s="632">
        <f>L36+L40</f>
        <v>1225</v>
      </c>
      <c r="M35" s="634"/>
      <c r="N35" s="635"/>
      <c r="P35" s="574"/>
      <c r="Q35" s="575"/>
      <c r="R35" s="575"/>
      <c r="S35" s="575"/>
      <c r="T35" s="575"/>
      <c r="U35" s="575"/>
      <c r="V35" s="575"/>
      <c r="W35" s="575"/>
      <c r="X35" s="575"/>
      <c r="Y35" s="575"/>
      <c r="Z35" s="575"/>
      <c r="AA35" s="575"/>
      <c r="AB35" s="575"/>
      <c r="AC35" s="576"/>
    </row>
    <row r="36" spans="2:29" s="622" customFormat="1" ht="19.2" customHeight="1">
      <c r="B36" s="616"/>
      <c r="C36" s="807"/>
      <c r="D36" s="808" t="s">
        <v>5</v>
      </c>
      <c r="E36" s="815">
        <f>SUM(E37:E39)</f>
        <v>0</v>
      </c>
      <c r="F36" s="815">
        <f>SUM(F37:F39)</f>
        <v>0</v>
      </c>
      <c r="G36" s="816"/>
      <c r="H36" s="815">
        <f>SUM(H37:H39)</f>
        <v>0</v>
      </c>
      <c r="I36" s="815">
        <f>SUM(I37:I39)</f>
        <v>0</v>
      </c>
      <c r="J36" s="816"/>
      <c r="K36" s="815">
        <f>SUM(K37:K39)</f>
        <v>0</v>
      </c>
      <c r="L36" s="815">
        <f>SUM(L37:L39)</f>
        <v>0</v>
      </c>
      <c r="M36" s="817"/>
      <c r="N36" s="657"/>
      <c r="P36" s="390"/>
      <c r="Q36" s="391"/>
      <c r="R36" s="391"/>
      <c r="S36" s="391"/>
      <c r="T36" s="391"/>
      <c r="U36" s="391"/>
      <c r="V36" s="391"/>
      <c r="W36" s="391"/>
      <c r="X36" s="391"/>
      <c r="Y36" s="391"/>
      <c r="Z36" s="391"/>
      <c r="AA36" s="391"/>
      <c r="AB36" s="391"/>
      <c r="AC36" s="392"/>
    </row>
    <row r="37" spans="2:29" s="625" customFormat="1" ht="19.2" customHeight="1">
      <c r="B37" s="594"/>
      <c r="C37" s="520"/>
      <c r="D37" s="521"/>
      <c r="E37" s="469"/>
      <c r="F37" s="469"/>
      <c r="G37" s="507"/>
      <c r="H37" s="469"/>
      <c r="I37" s="469"/>
      <c r="J37" s="507"/>
      <c r="K37" s="469"/>
      <c r="L37" s="469"/>
      <c r="M37" s="508"/>
      <c r="N37" s="592"/>
      <c r="P37" s="380"/>
      <c r="Q37" s="382"/>
      <c r="R37" s="382"/>
      <c r="S37" s="382"/>
      <c r="T37" s="382"/>
      <c r="U37" s="382"/>
      <c r="V37" s="382"/>
      <c r="W37" s="382"/>
      <c r="X37" s="382"/>
      <c r="Y37" s="382"/>
      <c r="Z37" s="382"/>
      <c r="AA37" s="382"/>
      <c r="AB37" s="382"/>
      <c r="AC37" s="383"/>
    </row>
    <row r="38" spans="2:29" s="625" customFormat="1" ht="19.2" customHeight="1">
      <c r="B38" s="594"/>
      <c r="C38" s="520"/>
      <c r="D38" s="521"/>
      <c r="E38" s="469"/>
      <c r="F38" s="469"/>
      <c r="G38" s="507"/>
      <c r="H38" s="469"/>
      <c r="I38" s="469"/>
      <c r="J38" s="507"/>
      <c r="K38" s="469"/>
      <c r="L38" s="469"/>
      <c r="M38" s="508"/>
      <c r="N38" s="592"/>
      <c r="P38" s="380"/>
      <c r="Q38" s="382"/>
      <c r="R38" s="382"/>
      <c r="S38" s="382"/>
      <c r="T38" s="382"/>
      <c r="U38" s="382"/>
      <c r="V38" s="382"/>
      <c r="W38" s="382"/>
      <c r="X38" s="382"/>
      <c r="Y38" s="382"/>
      <c r="Z38" s="382"/>
      <c r="AA38" s="382"/>
      <c r="AB38" s="382"/>
      <c r="AC38" s="383"/>
    </row>
    <row r="39" spans="2:29" s="625" customFormat="1" ht="19.2" customHeight="1">
      <c r="B39" s="594"/>
      <c r="C39" s="520"/>
      <c r="D39" s="521"/>
      <c r="E39" s="469"/>
      <c r="F39" s="469"/>
      <c r="G39" s="507"/>
      <c r="H39" s="469"/>
      <c r="I39" s="469"/>
      <c r="J39" s="507"/>
      <c r="K39" s="469"/>
      <c r="L39" s="469"/>
      <c r="M39" s="508"/>
      <c r="N39" s="592"/>
      <c r="P39" s="380"/>
      <c r="Q39" s="382"/>
      <c r="R39" s="382"/>
      <c r="S39" s="382"/>
      <c r="T39" s="382"/>
      <c r="U39" s="382"/>
      <c r="V39" s="382"/>
      <c r="W39" s="382"/>
      <c r="X39" s="382"/>
      <c r="Y39" s="382"/>
      <c r="Z39" s="382"/>
      <c r="AA39" s="382"/>
      <c r="AB39" s="382"/>
      <c r="AC39" s="383"/>
    </row>
    <row r="40" spans="2:29" s="622" customFormat="1" ht="19.2" customHeight="1">
      <c r="B40" s="616"/>
      <c r="C40" s="807"/>
      <c r="D40" s="808" t="s">
        <v>6</v>
      </c>
      <c r="E40" s="815">
        <f>SUM(E41:E43)</f>
        <v>17114.149530000002</v>
      </c>
      <c r="F40" s="815">
        <f>SUM(F41:F43)</f>
        <v>1197.9904671000002</v>
      </c>
      <c r="G40" s="816"/>
      <c r="H40" s="815">
        <f>SUM(H41:H43)</f>
        <v>42759.849990000002</v>
      </c>
      <c r="I40" s="815">
        <f>SUM(I41:I43)</f>
        <v>2993.1894993000005</v>
      </c>
      <c r="J40" s="816"/>
      <c r="K40" s="815">
        <f>SUM(K41:K43)</f>
        <v>17500</v>
      </c>
      <c r="L40" s="815">
        <f>SUM(L41:L43)</f>
        <v>1225</v>
      </c>
      <c r="M40" s="817"/>
      <c r="N40" s="657"/>
      <c r="P40" s="823"/>
      <c r="Q40" s="824"/>
      <c r="R40" s="824"/>
      <c r="S40" s="824"/>
      <c r="T40" s="824"/>
      <c r="U40" s="824"/>
      <c r="V40" s="824"/>
      <c r="W40" s="824"/>
      <c r="X40" s="824"/>
      <c r="Y40" s="824"/>
      <c r="Z40" s="824"/>
      <c r="AA40" s="824"/>
      <c r="AB40" s="824"/>
      <c r="AC40" s="825"/>
    </row>
    <row r="41" spans="2:29" s="625" customFormat="1" ht="19.2" customHeight="1">
      <c r="B41" s="594"/>
      <c r="C41" s="520"/>
      <c r="D41" s="521" t="s">
        <v>954</v>
      </c>
      <c r="E41" s="469">
        <v>7781.7383200000004</v>
      </c>
      <c r="F41" s="469">
        <v>544.72168240000008</v>
      </c>
      <c r="G41" s="507"/>
      <c r="H41" s="469">
        <v>29765.37</v>
      </c>
      <c r="I41" s="469">
        <v>2083.5759000000003</v>
      </c>
      <c r="J41" s="507"/>
      <c r="K41" s="469">
        <v>8000</v>
      </c>
      <c r="L41" s="469">
        <f>+K41*7%</f>
        <v>560</v>
      </c>
      <c r="M41" s="508"/>
      <c r="N41" s="592"/>
      <c r="P41" s="393"/>
      <c r="Q41" s="394"/>
      <c r="R41" s="394"/>
      <c r="S41" s="394"/>
      <c r="T41" s="394"/>
      <c r="U41" s="394"/>
      <c r="V41" s="394"/>
      <c r="W41" s="394"/>
      <c r="X41" s="394"/>
      <c r="Y41" s="394"/>
      <c r="Z41" s="394"/>
      <c r="AA41" s="394"/>
      <c r="AB41" s="394"/>
      <c r="AC41" s="395"/>
    </row>
    <row r="42" spans="2:29" s="625" customFormat="1" ht="19.2" customHeight="1">
      <c r="B42" s="594"/>
      <c r="C42" s="520"/>
      <c r="D42" s="521" t="s">
        <v>955</v>
      </c>
      <c r="E42" s="469">
        <v>9332.4112100000002</v>
      </c>
      <c r="F42" s="469">
        <v>653.26878470000008</v>
      </c>
      <c r="G42" s="507"/>
      <c r="H42" s="469">
        <v>12994.47999</v>
      </c>
      <c r="I42" s="469">
        <v>909.61359930000003</v>
      </c>
      <c r="J42" s="507"/>
      <c r="K42" s="469">
        <v>9500</v>
      </c>
      <c r="L42" s="469">
        <f>+K42*7%</f>
        <v>665.00000000000011</v>
      </c>
      <c r="M42" s="508"/>
      <c r="N42" s="592"/>
      <c r="P42" s="393"/>
      <c r="Q42" s="394"/>
      <c r="R42" s="394"/>
      <c r="S42" s="394"/>
      <c r="T42" s="394"/>
      <c r="U42" s="394"/>
      <c r="V42" s="394"/>
      <c r="W42" s="394"/>
      <c r="X42" s="394"/>
      <c r="Y42" s="394"/>
      <c r="Z42" s="394"/>
      <c r="AA42" s="394"/>
      <c r="AB42" s="394"/>
      <c r="AC42" s="395"/>
    </row>
    <row r="43" spans="2:29" s="625" customFormat="1" ht="19.2" customHeight="1">
      <c r="B43" s="594"/>
      <c r="C43" s="520"/>
      <c r="D43" s="521"/>
      <c r="E43" s="469"/>
      <c r="F43" s="469"/>
      <c r="G43" s="507"/>
      <c r="H43" s="469"/>
      <c r="I43" s="469"/>
      <c r="J43" s="507"/>
      <c r="K43" s="469"/>
      <c r="L43" s="469"/>
      <c r="M43" s="508"/>
      <c r="N43" s="592"/>
      <c r="P43" s="393"/>
      <c r="Q43" s="394"/>
      <c r="R43" s="394"/>
      <c r="S43" s="394"/>
      <c r="T43" s="394"/>
      <c r="U43" s="394"/>
      <c r="V43" s="394"/>
      <c r="W43" s="394"/>
      <c r="X43" s="394"/>
      <c r="Y43" s="394"/>
      <c r="Z43" s="394"/>
      <c r="AA43" s="394"/>
      <c r="AB43" s="394"/>
      <c r="AC43" s="395"/>
    </row>
    <row r="44" spans="2:29" s="636" customFormat="1" ht="19.2" customHeight="1">
      <c r="B44" s="629"/>
      <c r="C44" s="630" t="s">
        <v>768</v>
      </c>
      <c r="D44" s="631"/>
      <c r="E44" s="632">
        <f>+E45+E46</f>
        <v>6437500.7574700005</v>
      </c>
      <c r="F44" s="632">
        <f>+F45+F46</f>
        <v>423606.9826229001</v>
      </c>
      <c r="G44" s="633"/>
      <c r="H44" s="632">
        <f>+H45+H46</f>
        <v>5757881.3000099994</v>
      </c>
      <c r="I44" s="632">
        <f>+I45+I46</f>
        <v>375867.30900070001</v>
      </c>
      <c r="J44" s="633"/>
      <c r="K44" s="632">
        <f>+K45+K46</f>
        <v>6323141.4700000007</v>
      </c>
      <c r="L44" s="632">
        <f>+L45+L46</f>
        <v>407516.35210000008</v>
      </c>
      <c r="M44" s="634"/>
      <c r="N44" s="635"/>
      <c r="P44" s="577"/>
      <c r="Q44" s="578"/>
      <c r="R44" s="578"/>
      <c r="S44" s="578"/>
      <c r="T44" s="578"/>
      <c r="U44" s="578"/>
      <c r="V44" s="578"/>
      <c r="W44" s="578"/>
      <c r="X44" s="578"/>
      <c r="Y44" s="578"/>
      <c r="Z44" s="578"/>
      <c r="AA44" s="578"/>
      <c r="AB44" s="578"/>
      <c r="AC44" s="579"/>
    </row>
    <row r="45" spans="2:29" s="622" customFormat="1" ht="19.2" customHeight="1">
      <c r="B45" s="616"/>
      <c r="C45" s="807"/>
      <c r="D45" s="808" t="s">
        <v>769</v>
      </c>
      <c r="E45" s="828">
        <v>675451.76</v>
      </c>
      <c r="F45" s="828">
        <f>E45*0.03</f>
        <v>20263.552800000001</v>
      </c>
      <c r="G45" s="809"/>
      <c r="H45" s="437">
        <v>679609.54999999993</v>
      </c>
      <c r="I45" s="437">
        <v>20388.286499999998</v>
      </c>
      <c r="J45" s="809"/>
      <c r="K45" s="437">
        <v>877588.77</v>
      </c>
      <c r="L45" s="437">
        <f>+K45*3%</f>
        <v>26327.663099999998</v>
      </c>
      <c r="M45" s="810"/>
      <c r="N45" s="657"/>
      <c r="P45" s="823"/>
      <c r="Q45" s="824"/>
      <c r="R45" s="824"/>
      <c r="S45" s="824"/>
      <c r="T45" s="824"/>
      <c r="U45" s="824"/>
      <c r="V45" s="824"/>
      <c r="W45" s="824"/>
      <c r="X45" s="824"/>
      <c r="Y45" s="824"/>
      <c r="Z45" s="824"/>
      <c r="AA45" s="824"/>
      <c r="AB45" s="824"/>
      <c r="AC45" s="825"/>
    </row>
    <row r="46" spans="2:29" s="622" customFormat="1" ht="19.2" customHeight="1">
      <c r="B46" s="616"/>
      <c r="C46" s="826"/>
      <c r="D46" s="827" t="s">
        <v>770</v>
      </c>
      <c r="E46" s="828">
        <v>5762048.9974700008</v>
      </c>
      <c r="F46" s="828">
        <f>E46*0.07</f>
        <v>403343.4298229001</v>
      </c>
      <c r="G46" s="829"/>
      <c r="H46" s="828">
        <v>5078271.7500099996</v>
      </c>
      <c r="I46" s="828">
        <v>355479.02250070003</v>
      </c>
      <c r="J46" s="829"/>
      <c r="K46" s="828">
        <f>5485552.7-40000</f>
        <v>5445552.7000000002</v>
      </c>
      <c r="L46" s="828">
        <f>+K46*7%</f>
        <v>381188.68900000007</v>
      </c>
      <c r="M46" s="830"/>
      <c r="N46" s="657"/>
      <c r="P46" s="823"/>
      <c r="Q46" s="824"/>
      <c r="R46" s="824"/>
      <c r="S46" s="824"/>
      <c r="T46" s="824"/>
      <c r="U46" s="824"/>
      <c r="V46" s="824"/>
      <c r="W46" s="824"/>
      <c r="X46" s="824"/>
      <c r="Y46" s="824"/>
      <c r="Z46" s="824"/>
      <c r="AA46" s="824"/>
      <c r="AB46" s="824"/>
      <c r="AC46" s="825"/>
    </row>
    <row r="47" spans="2:29" s="622" customFormat="1" ht="22.95" customHeight="1" thickBot="1">
      <c r="B47" s="616"/>
      <c r="C47" s="637" t="s">
        <v>771</v>
      </c>
      <c r="D47" s="638"/>
      <c r="E47" s="639">
        <f>E16+E19+E34</f>
        <v>9065291.3800000008</v>
      </c>
      <c r="F47" s="639">
        <f>F16+F19+F34</f>
        <v>607177.68690000009</v>
      </c>
      <c r="G47" s="640"/>
      <c r="H47" s="639">
        <f>H16+H19+H34</f>
        <v>8187502.0099999998</v>
      </c>
      <c r="I47" s="639">
        <f>I16+I19+I34</f>
        <v>545562.73910000001</v>
      </c>
      <c r="J47" s="640"/>
      <c r="K47" s="639">
        <f>K16+K19+K34</f>
        <v>8773891.0500000007</v>
      </c>
      <c r="L47" s="639">
        <f>L16+L19+L34</f>
        <v>578690.82270000014</v>
      </c>
      <c r="M47" s="641"/>
      <c r="N47" s="592"/>
      <c r="P47" s="393"/>
      <c r="Q47" s="394"/>
      <c r="R47" s="394"/>
      <c r="S47" s="394"/>
      <c r="T47" s="394"/>
      <c r="U47" s="394"/>
      <c r="V47" s="394"/>
      <c r="W47" s="394"/>
      <c r="X47" s="394"/>
      <c r="Y47" s="394"/>
      <c r="Z47" s="394"/>
      <c r="AA47" s="394"/>
      <c r="AB47" s="394"/>
      <c r="AC47" s="395"/>
    </row>
    <row r="48" spans="2:29" s="625" customFormat="1" ht="22.95" customHeight="1">
      <c r="B48" s="594"/>
      <c r="C48" s="642"/>
      <c r="D48" s="642"/>
      <c r="E48" s="643"/>
      <c r="F48" s="643"/>
      <c r="G48" s="643"/>
      <c r="H48" s="643"/>
      <c r="I48" s="643"/>
      <c r="J48" s="643"/>
      <c r="K48" s="643"/>
      <c r="L48" s="643"/>
      <c r="M48" s="643"/>
      <c r="N48" s="592"/>
      <c r="P48" s="393"/>
      <c r="Q48" s="394"/>
      <c r="R48" s="394"/>
      <c r="S48" s="394"/>
      <c r="T48" s="394"/>
      <c r="U48" s="394"/>
      <c r="V48" s="394"/>
      <c r="W48" s="394"/>
      <c r="X48" s="394"/>
      <c r="Y48" s="394"/>
      <c r="Z48" s="394"/>
      <c r="AA48" s="394"/>
      <c r="AB48" s="394"/>
      <c r="AC48" s="395"/>
    </row>
    <row r="49" spans="2:29" s="610" customFormat="1" ht="22.95" customHeight="1">
      <c r="B49" s="603"/>
      <c r="C49" s="604"/>
      <c r="D49" s="605"/>
      <c r="E49" s="644" t="s">
        <v>280</v>
      </c>
      <c r="F49" s="644" t="s">
        <v>281</v>
      </c>
      <c r="G49" s="644" t="s">
        <v>282</v>
      </c>
      <c r="H49" s="1006" t="s">
        <v>688</v>
      </c>
      <c r="I49" s="1007"/>
      <c r="J49" s="1007"/>
      <c r="K49" s="1007"/>
      <c r="L49" s="1007"/>
      <c r="M49" s="1008"/>
      <c r="N49" s="592"/>
      <c r="P49" s="393"/>
      <c r="Q49" s="394"/>
      <c r="R49" s="394"/>
      <c r="S49" s="394"/>
      <c r="T49" s="394"/>
      <c r="U49" s="394"/>
      <c r="V49" s="394"/>
      <c r="W49" s="394"/>
      <c r="X49" s="394"/>
      <c r="Y49" s="394"/>
      <c r="Z49" s="394"/>
      <c r="AA49" s="394"/>
      <c r="AB49" s="394"/>
      <c r="AC49" s="395"/>
    </row>
    <row r="50" spans="2:29" s="615" customFormat="1" ht="22.95" customHeight="1">
      <c r="B50" s="611"/>
      <c r="C50" s="612" t="s">
        <v>772</v>
      </c>
      <c r="D50" s="613"/>
      <c r="E50" s="645">
        <f>ejercicio-2</f>
        <v>2016</v>
      </c>
      <c r="F50" s="645">
        <f>ejercicio-1</f>
        <v>2017</v>
      </c>
      <c r="G50" s="645">
        <f>ejercicio</f>
        <v>2018</v>
      </c>
      <c r="H50" s="1009"/>
      <c r="I50" s="1010"/>
      <c r="J50" s="1010"/>
      <c r="K50" s="1010"/>
      <c r="L50" s="1010"/>
      <c r="M50" s="1011"/>
      <c r="N50" s="592"/>
      <c r="P50" s="393"/>
      <c r="Q50" s="394"/>
      <c r="R50" s="394"/>
      <c r="S50" s="394"/>
      <c r="T50" s="394"/>
      <c r="U50" s="394"/>
      <c r="V50" s="394"/>
      <c r="W50" s="394"/>
      <c r="X50" s="394"/>
      <c r="Y50" s="394"/>
      <c r="Z50" s="394"/>
      <c r="AA50" s="394"/>
      <c r="AB50" s="394"/>
      <c r="AC50" s="395"/>
    </row>
    <row r="51" spans="2:29" s="625" customFormat="1" ht="22.95" customHeight="1" thickBot="1">
      <c r="B51" s="594"/>
      <c r="C51" s="637" t="s">
        <v>49</v>
      </c>
      <c r="D51" s="638"/>
      <c r="E51" s="639">
        <f>SUM(E52:E58)</f>
        <v>0</v>
      </c>
      <c r="F51" s="639">
        <f>SUM(F52:F58)</f>
        <v>0</v>
      </c>
      <c r="G51" s="639">
        <f>SUM(G52:G58)</f>
        <v>0</v>
      </c>
      <c r="H51" s="646"/>
      <c r="I51" s="647"/>
      <c r="J51" s="647"/>
      <c r="K51" s="647"/>
      <c r="L51" s="647"/>
      <c r="M51" s="648"/>
      <c r="N51" s="592"/>
      <c r="P51" s="393"/>
      <c r="Q51" s="394"/>
      <c r="R51" s="394"/>
      <c r="S51" s="394"/>
      <c r="T51" s="394"/>
      <c r="U51" s="394"/>
      <c r="V51" s="394"/>
      <c r="W51" s="394"/>
      <c r="X51" s="394"/>
      <c r="Y51" s="394"/>
      <c r="Z51" s="394"/>
      <c r="AA51" s="394"/>
      <c r="AB51" s="394"/>
      <c r="AC51" s="395"/>
    </row>
    <row r="52" spans="2:29" s="625" customFormat="1" ht="19.95" customHeight="1">
      <c r="B52" s="594"/>
      <c r="C52" s="668"/>
      <c r="D52" s="669"/>
      <c r="E52" s="670"/>
      <c r="F52" s="670"/>
      <c r="G52" s="670"/>
      <c r="H52" s="671"/>
      <c r="I52" s="672"/>
      <c r="J52" s="672"/>
      <c r="K52" s="672"/>
      <c r="L52" s="672"/>
      <c r="M52" s="673"/>
      <c r="N52" s="592"/>
      <c r="P52" s="393"/>
      <c r="Q52" s="394"/>
      <c r="R52" s="394"/>
      <c r="S52" s="394"/>
      <c r="T52" s="394"/>
      <c r="U52" s="394"/>
      <c r="V52" s="394"/>
      <c r="W52" s="394"/>
      <c r="X52" s="394"/>
      <c r="Y52" s="394"/>
      <c r="Z52" s="394"/>
      <c r="AA52" s="394"/>
      <c r="AB52" s="394"/>
      <c r="AC52" s="395"/>
    </row>
    <row r="53" spans="2:29" s="625" customFormat="1" ht="19.95" customHeight="1">
      <c r="B53" s="594"/>
      <c r="C53" s="522"/>
      <c r="D53" s="523"/>
      <c r="E53" s="543"/>
      <c r="F53" s="543"/>
      <c r="G53" s="543"/>
      <c r="H53" s="497"/>
      <c r="I53" s="674"/>
      <c r="J53" s="674"/>
      <c r="K53" s="674"/>
      <c r="L53" s="674"/>
      <c r="M53" s="455"/>
      <c r="N53" s="592"/>
      <c r="P53" s="393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5"/>
    </row>
    <row r="54" spans="2:29" s="625" customFormat="1" ht="19.95" customHeight="1">
      <c r="B54" s="594"/>
      <c r="C54" s="522"/>
      <c r="D54" s="523"/>
      <c r="E54" s="543"/>
      <c r="F54" s="543"/>
      <c r="G54" s="543"/>
      <c r="H54" s="497"/>
      <c r="I54" s="674"/>
      <c r="J54" s="674"/>
      <c r="K54" s="674"/>
      <c r="L54" s="674"/>
      <c r="M54" s="455"/>
      <c r="N54" s="592"/>
      <c r="P54" s="393"/>
      <c r="Q54" s="394"/>
      <c r="R54" s="394"/>
      <c r="S54" s="394"/>
      <c r="T54" s="394"/>
      <c r="U54" s="394"/>
      <c r="V54" s="394"/>
      <c r="W54" s="394"/>
      <c r="X54" s="394"/>
      <c r="Y54" s="394"/>
      <c r="Z54" s="394"/>
      <c r="AA54" s="394"/>
      <c r="AB54" s="394"/>
      <c r="AC54" s="395"/>
    </row>
    <row r="55" spans="2:29" s="625" customFormat="1" ht="19.95" customHeight="1">
      <c r="B55" s="594"/>
      <c r="C55" s="522"/>
      <c r="D55" s="523"/>
      <c r="E55" s="543"/>
      <c r="F55" s="543"/>
      <c r="G55" s="543"/>
      <c r="H55" s="497"/>
      <c r="I55" s="674"/>
      <c r="J55" s="674"/>
      <c r="K55" s="674"/>
      <c r="L55" s="674"/>
      <c r="M55" s="455"/>
      <c r="N55" s="592"/>
      <c r="P55" s="393"/>
      <c r="Q55" s="394"/>
      <c r="R55" s="394"/>
      <c r="S55" s="394"/>
      <c r="T55" s="394"/>
      <c r="U55" s="394"/>
      <c r="V55" s="394"/>
      <c r="W55" s="394"/>
      <c r="X55" s="394"/>
      <c r="Y55" s="394"/>
      <c r="Z55" s="394"/>
      <c r="AA55" s="394"/>
      <c r="AB55" s="394"/>
      <c r="AC55" s="395"/>
    </row>
    <row r="56" spans="2:29" s="625" customFormat="1" ht="19.95" customHeight="1">
      <c r="B56" s="594"/>
      <c r="C56" s="522"/>
      <c r="D56" s="523"/>
      <c r="E56" s="543"/>
      <c r="F56" s="543"/>
      <c r="G56" s="543"/>
      <c r="H56" s="497"/>
      <c r="I56" s="674"/>
      <c r="J56" s="674"/>
      <c r="K56" s="674"/>
      <c r="L56" s="674"/>
      <c r="M56" s="455"/>
      <c r="N56" s="592"/>
      <c r="P56" s="393"/>
      <c r="Q56" s="394"/>
      <c r="R56" s="394"/>
      <c r="S56" s="394"/>
      <c r="T56" s="394"/>
      <c r="U56" s="394"/>
      <c r="V56" s="394"/>
      <c r="W56" s="394"/>
      <c r="X56" s="394"/>
      <c r="Y56" s="394"/>
      <c r="Z56" s="394"/>
      <c r="AA56" s="394"/>
      <c r="AB56" s="394"/>
      <c r="AC56" s="395"/>
    </row>
    <row r="57" spans="2:29" s="625" customFormat="1" ht="19.95" customHeight="1">
      <c r="B57" s="594"/>
      <c r="C57" s="522"/>
      <c r="D57" s="523"/>
      <c r="E57" s="543"/>
      <c r="F57" s="543"/>
      <c r="G57" s="543"/>
      <c r="H57" s="497"/>
      <c r="I57" s="674"/>
      <c r="J57" s="674"/>
      <c r="K57" s="674"/>
      <c r="L57" s="674"/>
      <c r="M57" s="455"/>
      <c r="N57" s="592"/>
      <c r="P57" s="393"/>
      <c r="Q57" s="394"/>
      <c r="R57" s="394"/>
      <c r="S57" s="394"/>
      <c r="T57" s="394"/>
      <c r="U57" s="394"/>
      <c r="V57" s="394"/>
      <c r="W57" s="394"/>
      <c r="X57" s="394"/>
      <c r="Y57" s="394"/>
      <c r="Z57" s="394"/>
      <c r="AA57" s="394"/>
      <c r="AB57" s="394"/>
      <c r="AC57" s="395"/>
    </row>
    <row r="58" spans="2:29" s="625" customFormat="1" ht="19.95" customHeight="1">
      <c r="B58" s="594"/>
      <c r="C58" s="524"/>
      <c r="D58" s="525"/>
      <c r="E58" s="544"/>
      <c r="F58" s="544"/>
      <c r="G58" s="544"/>
      <c r="H58" s="495"/>
      <c r="I58" s="489"/>
      <c r="J58" s="489"/>
      <c r="K58" s="489"/>
      <c r="L58" s="489"/>
      <c r="M58" s="496"/>
      <c r="N58" s="592"/>
      <c r="P58" s="393"/>
      <c r="Q58" s="394"/>
      <c r="R58" s="394"/>
      <c r="S58" s="394"/>
      <c r="T58" s="394"/>
      <c r="U58" s="394"/>
      <c r="V58" s="394"/>
      <c r="W58" s="394"/>
      <c r="X58" s="394"/>
      <c r="Y58" s="394"/>
      <c r="Z58" s="394"/>
      <c r="AA58" s="394"/>
      <c r="AB58" s="394"/>
      <c r="AC58" s="395"/>
    </row>
    <row r="59" spans="2:29" s="625" customFormat="1" ht="22.95" customHeight="1" thickBot="1">
      <c r="B59" s="594"/>
      <c r="C59" s="637" t="s">
        <v>53</v>
      </c>
      <c r="D59" s="638"/>
      <c r="E59" s="639">
        <f>SUM(E60:E66)</f>
        <v>-5234.25</v>
      </c>
      <c r="F59" s="639">
        <f>SUM(F60:F66)</f>
        <v>0</v>
      </c>
      <c r="G59" s="639">
        <f>SUM(G60:G66)</f>
        <v>0</v>
      </c>
      <c r="H59" s="646"/>
      <c r="I59" s="647"/>
      <c r="J59" s="647"/>
      <c r="K59" s="647"/>
      <c r="L59" s="647"/>
      <c r="M59" s="648"/>
      <c r="N59" s="592"/>
      <c r="P59" s="393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5"/>
    </row>
    <row r="60" spans="2:29" s="625" customFormat="1" ht="19.95" customHeight="1">
      <c r="B60" s="594"/>
      <c r="C60" s="668" t="s">
        <v>900</v>
      </c>
      <c r="D60" s="669"/>
      <c r="E60" s="670">
        <v>-6.5</v>
      </c>
      <c r="F60" s="670"/>
      <c r="G60" s="670"/>
      <c r="H60" s="671"/>
      <c r="I60" s="672"/>
      <c r="J60" s="672"/>
      <c r="K60" s="672"/>
      <c r="L60" s="672"/>
      <c r="M60" s="673"/>
      <c r="N60" s="592"/>
      <c r="P60" s="393"/>
      <c r="Q60" s="394"/>
      <c r="R60" s="394"/>
      <c r="S60" s="394"/>
      <c r="T60" s="394"/>
      <c r="U60" s="394"/>
      <c r="V60" s="394"/>
      <c r="W60" s="394"/>
      <c r="X60" s="394"/>
      <c r="Y60" s="394"/>
      <c r="Z60" s="394"/>
      <c r="AA60" s="394"/>
      <c r="AB60" s="394"/>
      <c r="AC60" s="395"/>
    </row>
    <row r="61" spans="2:29" s="625" customFormat="1" ht="19.95" customHeight="1">
      <c r="B61" s="594"/>
      <c r="C61" s="945" t="s">
        <v>901</v>
      </c>
      <c r="D61" s="523"/>
      <c r="E61" s="543">
        <v>-2000</v>
      </c>
      <c r="F61" s="543"/>
      <c r="G61" s="543"/>
      <c r="H61" s="497"/>
      <c r="I61" s="674"/>
      <c r="J61" s="674"/>
      <c r="K61" s="674"/>
      <c r="L61" s="674"/>
      <c r="M61" s="455"/>
      <c r="N61" s="592"/>
      <c r="P61" s="393"/>
      <c r="Q61" s="394"/>
      <c r="R61" s="394"/>
      <c r="S61" s="394"/>
      <c r="T61" s="394"/>
      <c r="U61" s="394"/>
      <c r="V61" s="394"/>
      <c r="W61" s="394"/>
      <c r="X61" s="394"/>
      <c r="Y61" s="394"/>
      <c r="Z61" s="394"/>
      <c r="AA61" s="394"/>
      <c r="AB61" s="394"/>
      <c r="AC61" s="395"/>
    </row>
    <row r="62" spans="2:29" s="625" customFormat="1" ht="19.95" customHeight="1">
      <c r="B62" s="594"/>
      <c r="C62" s="945" t="s">
        <v>903</v>
      </c>
      <c r="D62" s="523"/>
      <c r="E62" s="543">
        <v>-82.5</v>
      </c>
      <c r="F62" s="543"/>
      <c r="G62" s="543"/>
      <c r="H62" s="497"/>
      <c r="I62" s="674"/>
      <c r="J62" s="674"/>
      <c r="K62" s="674"/>
      <c r="L62" s="674"/>
      <c r="M62" s="455"/>
      <c r="N62" s="592"/>
      <c r="P62" s="393"/>
      <c r="Q62" s="394"/>
      <c r="R62" s="394"/>
      <c r="S62" s="394"/>
      <c r="T62" s="394"/>
      <c r="U62" s="394"/>
      <c r="V62" s="394"/>
      <c r="W62" s="394"/>
      <c r="X62" s="394"/>
      <c r="Y62" s="394"/>
      <c r="Z62" s="394"/>
      <c r="AA62" s="394"/>
      <c r="AB62" s="394"/>
      <c r="AC62" s="395"/>
    </row>
    <row r="63" spans="2:29" s="625" customFormat="1" ht="19.95" customHeight="1">
      <c r="B63" s="594"/>
      <c r="C63" s="945" t="s">
        <v>902</v>
      </c>
      <c r="D63" s="523"/>
      <c r="E63" s="543">
        <v>-3000</v>
      </c>
      <c r="F63" s="543"/>
      <c r="G63" s="543"/>
      <c r="H63" s="497"/>
      <c r="I63" s="674"/>
      <c r="J63" s="674"/>
      <c r="K63" s="674"/>
      <c r="L63" s="674"/>
      <c r="M63" s="455"/>
      <c r="N63" s="592"/>
      <c r="P63" s="393"/>
      <c r="Q63" s="394"/>
      <c r="R63" s="394"/>
      <c r="S63" s="394"/>
      <c r="T63" s="394"/>
      <c r="U63" s="394"/>
      <c r="V63" s="394"/>
      <c r="W63" s="394"/>
      <c r="X63" s="394"/>
      <c r="Y63" s="394"/>
      <c r="Z63" s="394"/>
      <c r="AA63" s="394"/>
      <c r="AB63" s="394"/>
      <c r="AC63" s="395"/>
    </row>
    <row r="64" spans="2:29" s="625" customFormat="1" ht="19.95" customHeight="1">
      <c r="B64" s="594"/>
      <c r="C64" s="945" t="s">
        <v>904</v>
      </c>
      <c r="D64" s="523"/>
      <c r="E64" s="543">
        <v>-145.25</v>
      </c>
      <c r="F64" s="543"/>
      <c r="G64" s="543"/>
      <c r="H64" s="497"/>
      <c r="I64" s="674"/>
      <c r="J64" s="674"/>
      <c r="K64" s="674"/>
      <c r="L64" s="674"/>
      <c r="M64" s="455"/>
      <c r="N64" s="592"/>
      <c r="P64" s="393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5"/>
    </row>
    <row r="65" spans="2:29" s="625" customFormat="1" ht="19.95" customHeight="1">
      <c r="B65" s="594"/>
      <c r="C65" s="522"/>
      <c r="D65" s="523"/>
      <c r="E65" s="543"/>
      <c r="F65" s="543"/>
      <c r="G65" s="543"/>
      <c r="H65" s="497"/>
      <c r="I65" s="674"/>
      <c r="J65" s="674"/>
      <c r="K65" s="674"/>
      <c r="L65" s="674"/>
      <c r="M65" s="455"/>
      <c r="N65" s="592"/>
      <c r="P65" s="393"/>
      <c r="Q65" s="394"/>
      <c r="R65" s="394"/>
      <c r="S65" s="394"/>
      <c r="T65" s="394"/>
      <c r="U65" s="394"/>
      <c r="V65" s="394"/>
      <c r="W65" s="394"/>
      <c r="X65" s="394"/>
      <c r="Y65" s="394"/>
      <c r="Z65" s="394"/>
      <c r="AA65" s="394"/>
      <c r="AB65" s="394"/>
      <c r="AC65" s="395"/>
    </row>
    <row r="66" spans="2:29" s="625" customFormat="1" ht="19.95" customHeight="1">
      <c r="B66" s="594"/>
      <c r="C66" s="524"/>
      <c r="D66" s="525"/>
      <c r="E66" s="544"/>
      <c r="F66" s="544"/>
      <c r="G66" s="544"/>
      <c r="H66" s="495"/>
      <c r="I66" s="489"/>
      <c r="J66" s="489"/>
      <c r="K66" s="489"/>
      <c r="L66" s="489"/>
      <c r="M66" s="496"/>
      <c r="N66" s="592"/>
      <c r="P66" s="393"/>
      <c r="Q66" s="394"/>
      <c r="R66" s="394"/>
      <c r="S66" s="394"/>
      <c r="T66" s="394"/>
      <c r="U66" s="394"/>
      <c r="V66" s="394"/>
      <c r="W66" s="394"/>
      <c r="X66" s="394"/>
      <c r="Y66" s="394"/>
      <c r="Z66" s="394"/>
      <c r="AA66" s="394"/>
      <c r="AB66" s="394"/>
      <c r="AC66" s="395"/>
    </row>
    <row r="67" spans="2:29" s="625" customFormat="1" ht="22.95" customHeight="1">
      <c r="B67" s="594"/>
      <c r="C67" s="642"/>
      <c r="D67" s="642"/>
      <c r="E67" s="643"/>
      <c r="F67" s="643"/>
      <c r="G67" s="643"/>
      <c r="H67" s="643"/>
      <c r="I67" s="643"/>
      <c r="J67" s="643"/>
      <c r="K67" s="643"/>
      <c r="L67" s="643"/>
      <c r="M67" s="643"/>
      <c r="N67" s="592"/>
      <c r="P67" s="393"/>
      <c r="Q67" s="394"/>
      <c r="R67" s="394"/>
      <c r="S67" s="394"/>
      <c r="T67" s="394"/>
      <c r="U67" s="394"/>
      <c r="V67" s="394"/>
      <c r="W67" s="394"/>
      <c r="X67" s="394"/>
      <c r="Y67" s="394"/>
      <c r="Z67" s="394"/>
      <c r="AA67" s="394"/>
      <c r="AB67" s="394"/>
      <c r="AC67" s="395"/>
    </row>
    <row r="68" spans="2:29" s="625" customFormat="1" ht="22.95" customHeight="1">
      <c r="B68" s="594"/>
      <c r="C68" s="604"/>
      <c r="D68" s="605"/>
      <c r="E68" s="644" t="s">
        <v>280</v>
      </c>
      <c r="F68" s="644" t="s">
        <v>281</v>
      </c>
      <c r="G68" s="644" t="s">
        <v>282</v>
      </c>
      <c r="H68" s="1006" t="s">
        <v>688</v>
      </c>
      <c r="I68" s="1007"/>
      <c r="J68" s="1007"/>
      <c r="K68" s="1007"/>
      <c r="L68" s="1007"/>
      <c r="M68" s="1008"/>
      <c r="N68" s="592"/>
      <c r="P68" s="393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5"/>
    </row>
    <row r="69" spans="2:29" s="625" customFormat="1" ht="22.95" customHeight="1">
      <c r="B69" s="594"/>
      <c r="C69" s="612" t="s">
        <v>773</v>
      </c>
      <c r="D69" s="613"/>
      <c r="E69" s="645">
        <f>ejercicio-2</f>
        <v>2016</v>
      </c>
      <c r="F69" s="645">
        <f>ejercicio-1</f>
        <v>2017</v>
      </c>
      <c r="G69" s="645">
        <f>ejercicio</f>
        <v>2018</v>
      </c>
      <c r="H69" s="1009"/>
      <c r="I69" s="1010"/>
      <c r="J69" s="1010"/>
      <c r="K69" s="1010"/>
      <c r="L69" s="1010"/>
      <c r="M69" s="1011"/>
      <c r="N69" s="592"/>
      <c r="P69" s="393"/>
      <c r="Q69" s="394"/>
      <c r="R69" s="394"/>
      <c r="S69" s="394"/>
      <c r="T69" s="394"/>
      <c r="U69" s="394"/>
      <c r="V69" s="394"/>
      <c r="W69" s="394"/>
      <c r="X69" s="394"/>
      <c r="Y69" s="394"/>
      <c r="Z69" s="394"/>
      <c r="AA69" s="394"/>
      <c r="AB69" s="394"/>
      <c r="AC69" s="395"/>
    </row>
    <row r="70" spans="2:29" s="625" customFormat="1" ht="22.95" customHeight="1">
      <c r="B70" s="594"/>
      <c r="C70" s="623" t="s">
        <v>774</v>
      </c>
      <c r="D70" s="624"/>
      <c r="E70" s="469"/>
      <c r="F70" s="469"/>
      <c r="G70" s="831"/>
      <c r="H70" s="675"/>
      <c r="I70" s="676"/>
      <c r="J70" s="676"/>
      <c r="K70" s="676"/>
      <c r="L70" s="676"/>
      <c r="M70" s="470"/>
      <c r="N70" s="592"/>
      <c r="P70" s="393"/>
      <c r="Q70" s="394"/>
      <c r="R70" s="394"/>
      <c r="S70" s="394"/>
      <c r="T70" s="394"/>
      <c r="U70" s="394"/>
      <c r="V70" s="394"/>
      <c r="W70" s="394"/>
      <c r="X70" s="394"/>
      <c r="Y70" s="394"/>
      <c r="Z70" s="394"/>
      <c r="AA70" s="394"/>
      <c r="AB70" s="394"/>
      <c r="AC70" s="395"/>
    </row>
    <row r="71" spans="2:29" s="625" customFormat="1" ht="22.95" customHeight="1">
      <c r="B71" s="594"/>
      <c r="C71" s="626" t="s">
        <v>775</v>
      </c>
      <c r="D71" s="627"/>
      <c r="E71" s="474"/>
      <c r="F71" s="474"/>
      <c r="G71" s="544"/>
      <c r="H71" s="495"/>
      <c r="I71" s="489"/>
      <c r="J71" s="489"/>
      <c r="K71" s="489"/>
      <c r="L71" s="489"/>
      <c r="M71" s="496"/>
      <c r="N71" s="592"/>
      <c r="P71" s="393"/>
      <c r="Q71" s="394"/>
      <c r="R71" s="394"/>
      <c r="S71" s="394"/>
      <c r="T71" s="394"/>
      <c r="U71" s="394"/>
      <c r="V71" s="394"/>
      <c r="W71" s="394"/>
      <c r="X71" s="394"/>
      <c r="Y71" s="394"/>
      <c r="Z71" s="394"/>
      <c r="AA71" s="394"/>
      <c r="AB71" s="394"/>
      <c r="AC71" s="395"/>
    </row>
    <row r="72" spans="2:29" s="625" customFormat="1" ht="22.95" customHeight="1">
      <c r="B72" s="594"/>
      <c r="C72" s="642"/>
      <c r="D72" s="642"/>
      <c r="E72" s="643"/>
      <c r="F72" s="643"/>
      <c r="G72" s="643"/>
      <c r="H72" s="643"/>
      <c r="I72" s="643"/>
      <c r="J72" s="643"/>
      <c r="K72" s="643"/>
      <c r="L72" s="643"/>
      <c r="M72" s="643"/>
      <c r="N72" s="592"/>
      <c r="P72" s="393"/>
      <c r="Q72" s="394"/>
      <c r="R72" s="394"/>
      <c r="S72" s="394"/>
      <c r="T72" s="394"/>
      <c r="U72" s="394"/>
      <c r="V72" s="394"/>
      <c r="W72" s="394"/>
      <c r="X72" s="394"/>
      <c r="Y72" s="394"/>
      <c r="Z72" s="394"/>
      <c r="AA72" s="394"/>
      <c r="AB72" s="394"/>
      <c r="AC72" s="395"/>
    </row>
    <row r="73" spans="2:29" s="625" customFormat="1" ht="22.95" customHeight="1">
      <c r="B73" s="594"/>
      <c r="C73" s="604"/>
      <c r="D73" s="605"/>
      <c r="E73" s="644" t="s">
        <v>280</v>
      </c>
      <c r="F73" s="644" t="s">
        <v>281</v>
      </c>
      <c r="G73" s="644" t="s">
        <v>282</v>
      </c>
      <c r="H73" s="1006" t="s">
        <v>688</v>
      </c>
      <c r="I73" s="1007"/>
      <c r="J73" s="1007"/>
      <c r="K73" s="1007"/>
      <c r="L73" s="1007"/>
      <c r="M73" s="1008"/>
      <c r="N73" s="592"/>
      <c r="P73" s="393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5"/>
    </row>
    <row r="74" spans="2:29" s="625" customFormat="1" ht="22.95" customHeight="1">
      <c r="B74" s="594"/>
      <c r="C74" s="612" t="s">
        <v>812</v>
      </c>
      <c r="D74" s="613"/>
      <c r="E74" s="645">
        <f>ejercicio-2</f>
        <v>2016</v>
      </c>
      <c r="F74" s="645">
        <f>ejercicio-1</f>
        <v>2017</v>
      </c>
      <c r="G74" s="645">
        <f>ejercicio</f>
        <v>2018</v>
      </c>
      <c r="H74" s="1009"/>
      <c r="I74" s="1010"/>
      <c r="J74" s="1010"/>
      <c r="K74" s="1010"/>
      <c r="L74" s="1010"/>
      <c r="M74" s="1011"/>
      <c r="N74" s="592"/>
      <c r="P74" s="393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5"/>
    </row>
    <row r="75" spans="2:29" s="625" customFormat="1" ht="22.95" customHeight="1">
      <c r="B75" s="594"/>
      <c r="C75" s="617" t="s">
        <v>813</v>
      </c>
      <c r="D75" s="618"/>
      <c r="E75" s="619">
        <f>SUM(E76:E78)</f>
        <v>123040.05</v>
      </c>
      <c r="F75" s="619">
        <f>SUM(F76:F78)</f>
        <v>59332.99</v>
      </c>
      <c r="G75" s="619">
        <f>SUM(G76:G78)</f>
        <v>0</v>
      </c>
      <c r="H75" s="649"/>
      <c r="I75" s="650"/>
      <c r="J75" s="650"/>
      <c r="K75" s="650"/>
      <c r="L75" s="650"/>
      <c r="M75" s="651"/>
      <c r="N75" s="592"/>
      <c r="P75" s="393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5"/>
    </row>
    <row r="76" spans="2:29" s="625" customFormat="1" ht="22.95" customHeight="1">
      <c r="B76" s="594"/>
      <c r="C76" s="652" t="s">
        <v>814</v>
      </c>
      <c r="D76" s="653"/>
      <c r="E76" s="471"/>
      <c r="F76" s="471"/>
      <c r="G76" s="471"/>
      <c r="H76" s="493"/>
      <c r="I76" s="488"/>
      <c r="J76" s="488"/>
      <c r="K76" s="488"/>
      <c r="L76" s="488"/>
      <c r="M76" s="494"/>
      <c r="N76" s="592"/>
      <c r="P76" s="393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5"/>
    </row>
    <row r="77" spans="2:29" s="625" customFormat="1" ht="22.95" customHeight="1">
      <c r="B77" s="594"/>
      <c r="C77" s="654" t="s">
        <v>815</v>
      </c>
      <c r="D77" s="628"/>
      <c r="E77" s="472"/>
      <c r="F77" s="472"/>
      <c r="G77" s="472"/>
      <c r="H77" s="497"/>
      <c r="I77" s="674"/>
      <c r="J77" s="674"/>
      <c r="K77" s="674"/>
      <c r="L77" s="674"/>
      <c r="M77" s="455"/>
      <c r="N77" s="592"/>
      <c r="P77" s="393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5"/>
    </row>
    <row r="78" spans="2:29" s="625" customFormat="1" ht="22.95" customHeight="1">
      <c r="B78" s="594"/>
      <c r="C78" s="655" t="s">
        <v>816</v>
      </c>
      <c r="D78" s="656"/>
      <c r="E78" s="473">
        <v>123040.05</v>
      </c>
      <c r="F78" s="473">
        <v>59332.99</v>
      </c>
      <c r="G78" s="473"/>
      <c r="H78" s="677"/>
      <c r="I78" s="678"/>
      <c r="J78" s="678"/>
      <c r="K78" s="678"/>
      <c r="L78" s="678"/>
      <c r="M78" s="456"/>
      <c r="N78" s="592"/>
      <c r="P78" s="393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5"/>
    </row>
    <row r="79" spans="2:29" s="622" customFormat="1" ht="22.95" customHeight="1">
      <c r="B79" s="616"/>
      <c r="C79" s="617" t="s">
        <v>822</v>
      </c>
      <c r="D79" s="618"/>
      <c r="E79" s="619">
        <f>SUM(E80:E85)</f>
        <v>1511019.15</v>
      </c>
      <c r="F79" s="619">
        <f>SUM(F80:F85)</f>
        <v>2369830.0500000003</v>
      </c>
      <c r="G79" s="619">
        <f>SUM(G80:G85)</f>
        <v>3419189.83</v>
      </c>
      <c r="H79" s="649"/>
      <c r="I79" s="650"/>
      <c r="J79" s="650"/>
      <c r="K79" s="650"/>
      <c r="L79" s="650"/>
      <c r="M79" s="651"/>
      <c r="N79" s="657"/>
      <c r="P79" s="393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5"/>
    </row>
    <row r="80" spans="2:29" s="625" customFormat="1" ht="22.95" customHeight="1">
      <c r="B80" s="594"/>
      <c r="C80" s="652" t="s">
        <v>817</v>
      </c>
      <c r="D80" s="653"/>
      <c r="E80" s="541">
        <v>87078.8</v>
      </c>
      <c r="F80" s="541">
        <f>+'FC-9_TRANS_SUBV'!F40+'FC-9_TRANS_SUBV'!F41+'FC-9_TRANS_SUBV'!F42+'FC-9_TRANS_SUBV'!F44+'FC-9_TRANS_SUBV'!F45+'FC-9_TRANS_SUBV'!F46+'FC-9_TRANS_SUBV'!F47+'FC-9_TRANS_SUBV'!F48+'FC-9_TRANS_SUBV'!F49+'FC-9_TRANS_SUBV'!F50+'FC-9_TRANS_SUBV'!F51</f>
        <v>520983.22000000003</v>
      </c>
      <c r="G80" s="541">
        <f>+'FC-9_TRANS_SUBV'!G40+'FC-9_TRANS_SUBV'!G41+'FC-9_TRANS_SUBV'!G42+'FC-9_TRANS_SUBV'!G43+'FC-9_TRANS_SUBV'!G44+'FC-9_TRANS_SUBV'!G45+'FC-9_TRANS_SUBV'!G46+'FC-9_TRANS_SUBV'!G47+'FC-9_TRANS_SUBV'!G49+'FC-9_TRANS_SUBV'!G50</f>
        <v>514371</v>
      </c>
      <c r="H80" s="493"/>
      <c r="I80" s="488"/>
      <c r="J80" s="488"/>
      <c r="K80" s="488"/>
      <c r="L80" s="488"/>
      <c r="M80" s="494"/>
      <c r="N80" s="592"/>
      <c r="P80" s="393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5"/>
    </row>
    <row r="81" spans="2:29" s="625" customFormat="1" ht="22.95" customHeight="1">
      <c r="B81" s="594"/>
      <c r="C81" s="654" t="s">
        <v>818</v>
      </c>
      <c r="D81" s="628"/>
      <c r="E81" s="543"/>
      <c r="F81" s="543"/>
      <c r="G81" s="543"/>
      <c r="H81" s="497"/>
      <c r="I81" s="674"/>
      <c r="J81" s="674"/>
      <c r="K81" s="674"/>
      <c r="L81" s="674"/>
      <c r="M81" s="455"/>
      <c r="N81" s="592"/>
      <c r="P81" s="393"/>
      <c r="Q81" s="394"/>
      <c r="R81" s="394"/>
      <c r="S81" s="394"/>
      <c r="T81" s="394"/>
      <c r="U81" s="394"/>
      <c r="V81" s="394"/>
      <c r="W81" s="394"/>
      <c r="X81" s="394"/>
      <c r="Y81" s="394"/>
      <c r="Z81" s="394"/>
      <c r="AA81" s="394"/>
      <c r="AB81" s="394"/>
      <c r="AC81" s="395"/>
    </row>
    <row r="82" spans="2:29" s="625" customFormat="1" ht="22.95" customHeight="1">
      <c r="B82" s="594"/>
      <c r="C82" s="654" t="s">
        <v>819</v>
      </c>
      <c r="D82" s="628"/>
      <c r="E82" s="543"/>
      <c r="F82" s="543"/>
      <c r="G82" s="543"/>
      <c r="H82" s="497"/>
      <c r="I82" s="674"/>
      <c r="J82" s="674"/>
      <c r="K82" s="674"/>
      <c r="L82" s="674"/>
      <c r="M82" s="455"/>
      <c r="N82" s="592"/>
      <c r="P82" s="393"/>
      <c r="Q82" s="394"/>
      <c r="R82" s="394"/>
      <c r="S82" s="394"/>
      <c r="T82" s="394"/>
      <c r="U82" s="394"/>
      <c r="V82" s="394"/>
      <c r="W82" s="394"/>
      <c r="X82" s="394"/>
      <c r="Y82" s="394"/>
      <c r="Z82" s="394"/>
      <c r="AA82" s="394"/>
      <c r="AB82" s="394"/>
      <c r="AC82" s="395"/>
    </row>
    <row r="83" spans="2:29" s="625" customFormat="1" ht="22.95" customHeight="1">
      <c r="B83" s="594"/>
      <c r="C83" s="654" t="s">
        <v>820</v>
      </c>
      <c r="D83" s="628"/>
      <c r="E83" s="543">
        <v>1417594.94</v>
      </c>
      <c r="F83" s="543">
        <f>+'FC-9_TRANS_SUBV'!F57+'FC-9_TRANS_SUBV'!F58+'FC-9_TRANS_SUBV'!F59+'FC-9_TRANS_SUBV'!F60+'FC-9_TRANS_SUBV'!F61+'FC-9_TRANS_SUBV'!F62+'FC-9_TRANS_SUBV'!F63+'FC-9_TRANS_SUBV'!F64+'FC-9_TRANS_SUBV'!F65</f>
        <v>1625428.06</v>
      </c>
      <c r="G83" s="543">
        <f>+'FC-9_TRANS_SUBV'!G57+'FC-9_TRANS_SUBV'!G58+'FC-9_TRANS_SUBV'!G59+'FC-9_TRANS_SUBV'!G60+'FC-9_TRANS_SUBV'!G61+'FC-9_TRANS_SUBV'!G62+'FC-9_TRANS_SUBV'!G63+'FC-9_TRANS_SUBV'!G64+'FC-9_TRANS_SUBV'!G65+'FC-9_TRANS_SUBV'!G66+'FC-9_TRANS_SUBV'!G67+'FC-9_TRANS_SUBV'!G68+'FC-9_TRANS_SUBV'!G69</f>
        <v>2423750</v>
      </c>
      <c r="H83" s="497"/>
      <c r="I83" s="674"/>
      <c r="J83" s="674"/>
      <c r="K83" s="674"/>
      <c r="L83" s="674"/>
      <c r="M83" s="455"/>
      <c r="N83" s="592"/>
      <c r="P83" s="393"/>
      <c r="Q83" s="394"/>
      <c r="R83" s="394"/>
      <c r="S83" s="394"/>
      <c r="T83" s="394"/>
      <c r="U83" s="394"/>
      <c r="V83" s="394"/>
      <c r="W83" s="394"/>
      <c r="X83" s="394"/>
      <c r="Y83" s="394"/>
      <c r="Z83" s="394"/>
      <c r="AA83" s="394"/>
      <c r="AB83" s="394"/>
      <c r="AC83" s="395"/>
    </row>
    <row r="84" spans="2:29" s="625" customFormat="1" ht="22.95" customHeight="1">
      <c r="B84" s="594"/>
      <c r="C84" s="658" t="s">
        <v>847</v>
      </c>
      <c r="D84" s="628"/>
      <c r="E84" s="543">
        <f>4595.40999999999+1750</f>
        <v>6345.4099999999899</v>
      </c>
      <c r="F84" s="543">
        <f>+'FC-9_TRANS_SUBV'!F52+'FC-9_TRANS_SUBV'!F53+'FC-9_TRANS_SUBV'!F54+'FC-9_TRANS_SUBV'!F55</f>
        <v>223418.76999999996</v>
      </c>
      <c r="G84" s="543">
        <f>+'FC-9_TRANS_SUBV'!G52+'FC-9_TRANS_SUBV'!G53+'FC-9_TRANS_SUBV'!G54+'FC-9_TRANS_SUBV'!G55+'FC-9_TRANS_SUBV'!G56</f>
        <v>481068.82999999996</v>
      </c>
      <c r="H84" s="497"/>
      <c r="I84" s="674"/>
      <c r="J84" s="674"/>
      <c r="K84" s="674"/>
      <c r="L84" s="674"/>
      <c r="M84" s="455"/>
      <c r="N84" s="592"/>
      <c r="P84" s="393"/>
      <c r="Q84" s="394"/>
      <c r="R84" s="394"/>
      <c r="S84" s="394"/>
      <c r="T84" s="394"/>
      <c r="U84" s="394"/>
      <c r="V84" s="394"/>
      <c r="W84" s="394"/>
      <c r="X84" s="394"/>
      <c r="Y84" s="394"/>
      <c r="Z84" s="394"/>
      <c r="AA84" s="394"/>
      <c r="AB84" s="394"/>
      <c r="AC84" s="395"/>
    </row>
    <row r="85" spans="2:29" s="625" customFormat="1" ht="22.95" customHeight="1">
      <c r="B85" s="594"/>
      <c r="C85" s="626" t="s">
        <v>821</v>
      </c>
      <c r="D85" s="627"/>
      <c r="E85" s="544"/>
      <c r="F85" s="544"/>
      <c r="G85" s="544"/>
      <c r="H85" s="495"/>
      <c r="I85" s="489"/>
      <c r="J85" s="489"/>
      <c r="K85" s="489"/>
      <c r="L85" s="489"/>
      <c r="M85" s="496"/>
      <c r="N85" s="592"/>
      <c r="P85" s="393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5"/>
    </row>
    <row r="86" spans="2:29" s="625" customFormat="1" ht="22.95" customHeight="1">
      <c r="B86" s="594"/>
      <c r="C86" s="642"/>
      <c r="D86" s="642"/>
      <c r="E86" s="643"/>
      <c r="F86" s="643"/>
      <c r="G86" s="643"/>
      <c r="H86" s="643"/>
      <c r="I86" s="643"/>
      <c r="J86" s="643"/>
      <c r="K86" s="643"/>
      <c r="L86" s="643"/>
      <c r="M86" s="643"/>
      <c r="N86" s="592"/>
      <c r="P86" s="393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5"/>
    </row>
    <row r="87" spans="2:29" s="625" customFormat="1" ht="22.95" customHeight="1">
      <c r="B87" s="594"/>
      <c r="C87" s="1014" t="s">
        <v>883</v>
      </c>
      <c r="D87" s="1015"/>
      <c r="E87" s="1016"/>
      <c r="F87" s="776" t="s">
        <v>521</v>
      </c>
      <c r="G87" s="644" t="s">
        <v>282</v>
      </c>
      <c r="H87" s="1012" t="s">
        <v>688</v>
      </c>
      <c r="I87" s="1012"/>
      <c r="J87" s="1012"/>
      <c r="K87" s="1012"/>
      <c r="L87" s="1012"/>
      <c r="M87" s="1012"/>
      <c r="N87" s="592"/>
      <c r="P87" s="393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5"/>
    </row>
    <row r="88" spans="2:29" s="625" customFormat="1" ht="43.2" customHeight="1">
      <c r="B88" s="594"/>
      <c r="C88" s="1017"/>
      <c r="D88" s="1018"/>
      <c r="E88" s="1019"/>
      <c r="F88" s="777" t="s">
        <v>884</v>
      </c>
      <c r="G88" s="645">
        <f>ejercicio</f>
        <v>2018</v>
      </c>
      <c r="H88" s="1013"/>
      <c r="I88" s="1013"/>
      <c r="J88" s="1013"/>
      <c r="K88" s="1013"/>
      <c r="L88" s="1013"/>
      <c r="M88" s="1013"/>
      <c r="N88" s="592"/>
      <c r="P88" s="393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5"/>
    </row>
    <row r="89" spans="2:29" s="625" customFormat="1" ht="22.95" customHeight="1" thickBot="1">
      <c r="B89" s="594"/>
      <c r="C89" s="637" t="s">
        <v>888</v>
      </c>
      <c r="D89" s="781"/>
      <c r="E89" s="782"/>
      <c r="F89" s="639"/>
      <c r="G89" s="639">
        <f>SUM(G90:G92)</f>
        <v>0</v>
      </c>
      <c r="H89" s="646"/>
      <c r="I89" s="647"/>
      <c r="J89" s="647"/>
      <c r="K89" s="647"/>
      <c r="L89" s="647"/>
      <c r="M89" s="648"/>
      <c r="N89" s="592"/>
      <c r="P89" s="393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5"/>
    </row>
    <row r="90" spans="2:29" s="625" customFormat="1" ht="22.95" customHeight="1">
      <c r="B90" s="594"/>
      <c r="C90" s="1023" t="s">
        <v>885</v>
      </c>
      <c r="D90" s="1024"/>
      <c r="E90" s="1025"/>
      <c r="F90" s="832"/>
      <c r="G90" s="471"/>
      <c r="H90" s="783"/>
      <c r="I90" s="488"/>
      <c r="J90" s="488"/>
      <c r="K90" s="488"/>
      <c r="L90" s="488"/>
      <c r="M90" s="494"/>
      <c r="N90" s="592"/>
      <c r="P90" s="393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5"/>
    </row>
    <row r="91" spans="2:29" s="625" customFormat="1" ht="22.95" customHeight="1">
      <c r="B91" s="594"/>
      <c r="C91" s="778" t="s">
        <v>886</v>
      </c>
      <c r="D91" s="779"/>
      <c r="E91" s="780"/>
      <c r="F91" s="832"/>
      <c r="G91" s="471"/>
      <c r="H91" s="493"/>
      <c r="I91" s="488"/>
      <c r="J91" s="488"/>
      <c r="K91" s="488"/>
      <c r="L91" s="488"/>
      <c r="M91" s="494"/>
      <c r="N91" s="592"/>
      <c r="P91" s="393"/>
      <c r="Q91" s="394"/>
      <c r="R91" s="394"/>
      <c r="S91" s="394"/>
      <c r="T91" s="394"/>
      <c r="U91" s="394"/>
      <c r="V91" s="394"/>
      <c r="W91" s="394"/>
      <c r="X91" s="394"/>
      <c r="Y91" s="394"/>
      <c r="Z91" s="394"/>
      <c r="AA91" s="394"/>
      <c r="AB91" s="394"/>
      <c r="AC91" s="395"/>
    </row>
    <row r="92" spans="2:29" s="625" customFormat="1" ht="22.95" customHeight="1">
      <c r="B92" s="594"/>
      <c r="C92" s="1020" t="s">
        <v>887</v>
      </c>
      <c r="D92" s="1021"/>
      <c r="E92" s="1022"/>
      <c r="F92" s="833"/>
      <c r="G92" s="472"/>
      <c r="H92" s="497"/>
      <c r="I92" s="674"/>
      <c r="J92" s="674"/>
      <c r="K92" s="674"/>
      <c r="L92" s="674"/>
      <c r="M92" s="455"/>
      <c r="N92" s="592"/>
      <c r="P92" s="393"/>
      <c r="Q92" s="394"/>
      <c r="R92" s="394"/>
      <c r="S92" s="394"/>
      <c r="T92" s="394"/>
      <c r="U92" s="394"/>
      <c r="V92" s="394"/>
      <c r="W92" s="394"/>
      <c r="X92" s="394"/>
      <c r="Y92" s="394"/>
      <c r="Z92" s="394"/>
      <c r="AA92" s="394"/>
      <c r="AB92" s="394"/>
      <c r="AC92" s="395"/>
    </row>
    <row r="93" spans="2:29" s="625" customFormat="1" ht="22.95" customHeight="1">
      <c r="B93" s="594"/>
      <c r="C93" s="770"/>
      <c r="D93" s="642"/>
      <c r="E93" s="771"/>
      <c r="F93" s="771"/>
      <c r="G93" s="771"/>
      <c r="H93" s="772"/>
      <c r="I93" s="772"/>
      <c r="J93" s="772"/>
      <c r="K93" s="772"/>
      <c r="L93" s="772"/>
      <c r="M93" s="772"/>
      <c r="N93" s="592"/>
      <c r="P93" s="393"/>
      <c r="Q93" s="394"/>
      <c r="R93" s="394"/>
      <c r="S93" s="394"/>
      <c r="T93" s="394"/>
      <c r="U93" s="394"/>
      <c r="V93" s="394"/>
      <c r="W93" s="394"/>
      <c r="X93" s="394"/>
      <c r="Y93" s="394"/>
      <c r="Z93" s="394"/>
      <c r="AA93" s="394"/>
      <c r="AB93" s="394"/>
      <c r="AC93" s="395"/>
    </row>
    <row r="94" spans="2:29" s="625" customFormat="1" ht="22.95" customHeight="1">
      <c r="B94" s="594"/>
      <c r="C94" s="773" t="s">
        <v>514</v>
      </c>
      <c r="D94" s="774"/>
      <c r="E94" s="643"/>
      <c r="F94" s="643"/>
      <c r="G94" s="643"/>
      <c r="H94" s="643"/>
      <c r="I94" s="643"/>
      <c r="J94" s="643"/>
      <c r="K94" s="643"/>
      <c r="L94" s="643"/>
      <c r="M94" s="643"/>
      <c r="N94" s="592"/>
      <c r="P94" s="393"/>
      <c r="Q94" s="394"/>
      <c r="R94" s="394"/>
      <c r="S94" s="394"/>
      <c r="T94" s="394"/>
      <c r="U94" s="394"/>
      <c r="V94" s="394"/>
      <c r="W94" s="394"/>
      <c r="X94" s="394"/>
      <c r="Y94" s="394"/>
      <c r="Z94" s="394"/>
      <c r="AA94" s="394"/>
      <c r="AB94" s="394"/>
      <c r="AC94" s="395"/>
    </row>
    <row r="95" spans="2:29" s="625" customFormat="1" ht="22.95" customHeight="1">
      <c r="B95" s="594"/>
      <c r="C95" s="774" t="s">
        <v>7</v>
      </c>
      <c r="D95" s="774"/>
      <c r="E95" s="661"/>
      <c r="F95" s="661"/>
      <c r="G95" s="661"/>
      <c r="H95" s="661"/>
      <c r="I95" s="661"/>
      <c r="J95" s="661"/>
      <c r="K95" s="661"/>
      <c r="L95" s="661"/>
      <c r="M95" s="661"/>
      <c r="N95" s="592"/>
      <c r="P95" s="393"/>
      <c r="Q95" s="394"/>
      <c r="R95" s="394"/>
      <c r="S95" s="394"/>
      <c r="T95" s="394"/>
      <c r="U95" s="394"/>
      <c r="V95" s="394"/>
      <c r="W95" s="394"/>
      <c r="X95" s="394"/>
      <c r="Y95" s="394"/>
      <c r="Z95" s="394"/>
      <c r="AA95" s="394"/>
      <c r="AB95" s="394"/>
      <c r="AC95" s="395"/>
    </row>
    <row r="96" spans="2:29" s="625" customFormat="1" ht="22.95" customHeight="1">
      <c r="B96" s="594"/>
      <c r="C96" s="775" t="s">
        <v>777</v>
      </c>
      <c r="D96" s="774"/>
      <c r="E96" s="661"/>
      <c r="F96" s="661"/>
      <c r="G96" s="661"/>
      <c r="H96" s="661"/>
      <c r="I96" s="661"/>
      <c r="J96" s="661"/>
      <c r="K96" s="661"/>
      <c r="L96" s="661"/>
      <c r="M96" s="661"/>
      <c r="N96" s="592"/>
      <c r="P96" s="393"/>
      <c r="Q96" s="394"/>
      <c r="R96" s="394"/>
      <c r="S96" s="394"/>
      <c r="T96" s="394"/>
      <c r="U96" s="394"/>
      <c r="V96" s="394"/>
      <c r="W96" s="394"/>
      <c r="X96" s="394"/>
      <c r="Y96" s="394"/>
      <c r="Z96" s="394"/>
      <c r="AA96" s="394"/>
      <c r="AB96" s="394"/>
      <c r="AC96" s="395"/>
    </row>
    <row r="97" spans="2:29" s="625" customFormat="1" ht="22.95" customHeight="1">
      <c r="B97" s="594"/>
      <c r="C97" s="775" t="s">
        <v>8</v>
      </c>
      <c r="D97" s="774"/>
      <c r="E97" s="661"/>
      <c r="F97" s="661"/>
      <c r="G97" s="661"/>
      <c r="H97" s="661"/>
      <c r="I97" s="661"/>
      <c r="J97" s="661"/>
      <c r="K97" s="661"/>
      <c r="L97" s="661"/>
      <c r="M97" s="661"/>
      <c r="N97" s="592"/>
      <c r="P97" s="393"/>
      <c r="Q97" s="394"/>
      <c r="R97" s="394"/>
      <c r="S97" s="394"/>
      <c r="T97" s="394"/>
      <c r="U97" s="394"/>
      <c r="V97" s="394"/>
      <c r="W97" s="394"/>
      <c r="X97" s="394"/>
      <c r="Y97" s="394"/>
      <c r="Z97" s="394"/>
      <c r="AA97" s="394"/>
      <c r="AB97" s="394"/>
      <c r="AC97" s="395"/>
    </row>
    <row r="98" spans="2:29" ht="22.95" customHeight="1" thickBot="1">
      <c r="B98" s="662"/>
      <c r="C98" s="991"/>
      <c r="D98" s="991"/>
      <c r="E98" s="991"/>
      <c r="F98" s="991"/>
      <c r="G98" s="663"/>
      <c r="H98" s="663"/>
      <c r="I98" s="663"/>
      <c r="J98" s="663"/>
      <c r="K98" s="663"/>
      <c r="L98" s="663"/>
      <c r="M98" s="663"/>
      <c r="N98" s="664"/>
      <c r="P98" s="396"/>
      <c r="Q98" s="397"/>
      <c r="R98" s="397"/>
      <c r="S98" s="397"/>
      <c r="T98" s="397"/>
      <c r="U98" s="397"/>
      <c r="V98" s="397"/>
      <c r="W98" s="397"/>
      <c r="X98" s="397"/>
      <c r="Y98" s="397"/>
      <c r="Z98" s="397"/>
      <c r="AA98" s="397"/>
      <c r="AB98" s="397"/>
      <c r="AC98" s="398"/>
    </row>
    <row r="99" spans="2:29" ht="22.95" customHeight="1">
      <c r="C99" s="589"/>
      <c r="D99" s="589"/>
      <c r="E99" s="590"/>
      <c r="F99" s="590"/>
      <c r="G99" s="590"/>
      <c r="H99" s="590"/>
      <c r="I99" s="590"/>
      <c r="J99" s="590"/>
      <c r="K99" s="590"/>
      <c r="L99" s="590"/>
      <c r="M99" s="590"/>
    </row>
    <row r="100" spans="2:29" ht="13.2">
      <c r="C100" s="665" t="s">
        <v>174</v>
      </c>
      <c r="D100" s="589"/>
      <c r="E100" s="590"/>
      <c r="F100" s="590"/>
      <c r="G100" s="590"/>
      <c r="H100" s="590"/>
      <c r="I100" s="590"/>
      <c r="J100" s="590"/>
      <c r="K100" s="590"/>
      <c r="L100" s="590"/>
      <c r="M100" s="666" t="s">
        <v>144</v>
      </c>
    </row>
    <row r="101" spans="2:29" ht="13.2">
      <c r="C101" s="667" t="s">
        <v>175</v>
      </c>
      <c r="D101" s="589"/>
      <c r="E101" s="590"/>
      <c r="F101" s="590"/>
      <c r="G101" s="590"/>
      <c r="H101" s="590"/>
      <c r="I101" s="590"/>
      <c r="J101" s="590"/>
      <c r="K101" s="590"/>
      <c r="L101" s="590"/>
      <c r="M101" s="590"/>
    </row>
    <row r="102" spans="2:29" ht="13.2">
      <c r="C102" s="667" t="s">
        <v>176</v>
      </c>
      <c r="D102" s="589"/>
      <c r="E102" s="590"/>
      <c r="F102" s="590"/>
      <c r="G102" s="590"/>
      <c r="H102" s="590"/>
      <c r="I102" s="590"/>
      <c r="J102" s="590"/>
      <c r="K102" s="590"/>
      <c r="L102" s="590"/>
      <c r="M102" s="590"/>
    </row>
    <row r="103" spans="2:29" ht="13.2">
      <c r="C103" s="667" t="s">
        <v>177</v>
      </c>
      <c r="D103" s="589"/>
      <c r="E103" s="590"/>
      <c r="F103" s="590"/>
      <c r="G103" s="590"/>
      <c r="H103" s="590"/>
      <c r="I103" s="590"/>
      <c r="J103" s="590"/>
      <c r="K103" s="590"/>
      <c r="L103" s="590"/>
      <c r="M103" s="590"/>
    </row>
    <row r="104" spans="2:29" ht="13.2">
      <c r="C104" s="667" t="s">
        <v>178</v>
      </c>
      <c r="D104" s="589"/>
      <c r="E104" s="590"/>
      <c r="F104" s="590"/>
      <c r="G104" s="590"/>
      <c r="H104" s="590"/>
      <c r="I104" s="590"/>
      <c r="J104" s="590"/>
      <c r="K104" s="590"/>
      <c r="L104" s="590"/>
      <c r="M104" s="590"/>
    </row>
    <row r="105" spans="2:29" ht="22.95" customHeight="1">
      <c r="C105" s="589"/>
      <c r="D105" s="589"/>
      <c r="E105" s="590"/>
      <c r="F105" s="590"/>
      <c r="G105" s="590"/>
      <c r="H105" s="590"/>
      <c r="I105" s="590"/>
      <c r="J105" s="590"/>
      <c r="K105" s="590"/>
      <c r="L105" s="590"/>
      <c r="M105" s="590"/>
    </row>
    <row r="106" spans="2:29" ht="22.95" customHeight="1">
      <c r="C106" s="589"/>
      <c r="D106" s="589"/>
      <c r="E106" s="590"/>
      <c r="F106" s="590"/>
      <c r="G106" s="590"/>
      <c r="H106" s="590"/>
      <c r="I106" s="590"/>
      <c r="J106" s="590"/>
      <c r="K106" s="590"/>
      <c r="L106" s="590"/>
      <c r="M106" s="590"/>
    </row>
    <row r="107" spans="2:29" ht="22.95" customHeight="1">
      <c r="C107" s="589"/>
      <c r="D107" s="589"/>
      <c r="E107" s="590"/>
      <c r="F107" s="590"/>
      <c r="G107" s="590"/>
      <c r="H107" s="590"/>
      <c r="I107" s="590"/>
      <c r="J107" s="590"/>
      <c r="K107" s="590"/>
      <c r="L107" s="590"/>
      <c r="M107" s="590"/>
    </row>
    <row r="108" spans="2:29" ht="22.95" customHeight="1">
      <c r="C108" s="589"/>
      <c r="D108" s="589"/>
      <c r="E108" s="590"/>
      <c r="F108" s="590"/>
      <c r="G108" s="590"/>
      <c r="H108" s="590"/>
      <c r="I108" s="590"/>
      <c r="J108" s="590"/>
      <c r="K108" s="590"/>
      <c r="L108" s="590"/>
      <c r="M108" s="590"/>
    </row>
    <row r="109" spans="2:29" ht="22.95" customHeight="1">
      <c r="F109" s="590"/>
      <c r="G109" s="590"/>
      <c r="H109" s="590"/>
      <c r="I109" s="590"/>
      <c r="J109" s="590"/>
      <c r="K109" s="590"/>
      <c r="L109" s="590"/>
      <c r="M109" s="590"/>
    </row>
  </sheetData>
  <sheetProtection password="E059" sheet="1" objects="1" scenarios="1" insertRows="0"/>
  <mergeCells count="11">
    <mergeCell ref="M6:M7"/>
    <mergeCell ref="D9:M9"/>
    <mergeCell ref="C12:D12"/>
    <mergeCell ref="H73:M74"/>
    <mergeCell ref="C98:F98"/>
    <mergeCell ref="H49:M50"/>
    <mergeCell ref="H68:M69"/>
    <mergeCell ref="H87:M88"/>
    <mergeCell ref="C87:E88"/>
    <mergeCell ref="C92:E92"/>
    <mergeCell ref="C90:E90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106"/>
  <sheetViews>
    <sheetView zoomScale="85" zoomScaleNormal="85" workbookViewId="0">
      <selection activeCell="B1" sqref="B1:H101"/>
    </sheetView>
  </sheetViews>
  <sheetFormatPr baseColWidth="10" defaultColWidth="10.54296875" defaultRowHeight="22.95" customHeight="1"/>
  <cols>
    <col min="1" max="2" width="3.1796875" style="42" customWidth="1"/>
    <col min="3" max="3" width="13.54296875" style="42" customWidth="1"/>
    <col min="4" max="4" width="76.54296875" style="42" customWidth="1"/>
    <col min="5" max="7" width="18.453125" style="42" customWidth="1"/>
    <col min="8" max="8" width="3.453125" style="42" customWidth="1"/>
    <col min="9" max="16384" width="10.54296875" style="42"/>
  </cols>
  <sheetData>
    <row r="1" spans="2:23" ht="22.95" customHeight="1">
      <c r="D1" s="44"/>
    </row>
    <row r="2" spans="2:23" ht="22.95" customHeight="1">
      <c r="D2" s="64" t="s">
        <v>128</v>
      </c>
    </row>
    <row r="3" spans="2:23" ht="22.95" customHeight="1">
      <c r="D3" s="64" t="s">
        <v>129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77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9"/>
    </row>
    <row r="6" spans="2:23" ht="30" customHeight="1">
      <c r="B6" s="48"/>
      <c r="C6" s="1" t="s">
        <v>97</v>
      </c>
      <c r="D6" s="44"/>
      <c r="E6" s="44"/>
      <c r="F6" s="44"/>
      <c r="G6" s="984">
        <f>ejercicio</f>
        <v>2018</v>
      </c>
      <c r="H6" s="50"/>
      <c r="J6" s="380"/>
      <c r="K6" s="381" t="s">
        <v>810</v>
      </c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3"/>
    </row>
    <row r="7" spans="2:23" ht="30" customHeight="1">
      <c r="B7" s="48"/>
      <c r="C7" s="1" t="s">
        <v>98</v>
      </c>
      <c r="D7" s="44"/>
      <c r="E7" s="44"/>
      <c r="F7" s="44"/>
      <c r="G7" s="984"/>
      <c r="H7" s="50"/>
      <c r="J7" s="380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3"/>
    </row>
    <row r="8" spans="2:23" ht="30" customHeight="1">
      <c r="B8" s="48"/>
      <c r="C8" s="49"/>
      <c r="D8" s="44"/>
      <c r="E8" s="44"/>
      <c r="F8" s="44"/>
      <c r="G8" s="51"/>
      <c r="H8" s="50"/>
      <c r="J8" s="380"/>
      <c r="K8" s="382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3"/>
    </row>
    <row r="9" spans="2:23" s="58" customFormat="1" ht="30" customHeight="1">
      <c r="B9" s="56"/>
      <c r="C9" s="39" t="s">
        <v>99</v>
      </c>
      <c r="D9" s="1004" t="str">
        <f>Entidad</f>
        <v>INSTITUTO TECNOLÓGICO Y DE ENERGÍAS RENOVALBES S.A. (ITER)</v>
      </c>
      <c r="E9" s="1004"/>
      <c r="F9" s="1004"/>
      <c r="G9" s="1004"/>
      <c r="H9" s="57"/>
      <c r="J9" s="384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6"/>
    </row>
    <row r="10" spans="2:23" ht="7.2" customHeight="1">
      <c r="B10" s="48"/>
      <c r="C10" s="44"/>
      <c r="D10" s="44"/>
      <c r="E10" s="44"/>
      <c r="F10" s="44"/>
      <c r="G10" s="44"/>
      <c r="H10" s="50"/>
      <c r="J10" s="380"/>
      <c r="K10" s="382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3"/>
    </row>
    <row r="11" spans="2:23" s="60" customFormat="1" ht="30" customHeight="1">
      <c r="B11" s="24"/>
      <c r="C11" s="11" t="s">
        <v>351</v>
      </c>
      <c r="D11" s="11"/>
      <c r="E11" s="11"/>
      <c r="F11" s="11"/>
      <c r="G11" s="11"/>
      <c r="H11" s="59"/>
      <c r="J11" s="387"/>
      <c r="K11" s="388"/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9"/>
    </row>
    <row r="12" spans="2:23" s="60" customFormat="1" ht="30" customHeight="1">
      <c r="B12" s="24"/>
      <c r="C12" s="66"/>
      <c r="D12" s="66"/>
      <c r="E12" s="66"/>
      <c r="F12" s="66"/>
      <c r="G12" s="66"/>
      <c r="H12" s="59"/>
      <c r="J12" s="387"/>
      <c r="K12" s="388"/>
      <c r="L12" s="388"/>
      <c r="M12" s="388"/>
      <c r="N12" s="388"/>
      <c r="O12" s="388"/>
      <c r="P12" s="388"/>
      <c r="Q12" s="388"/>
      <c r="R12" s="388"/>
      <c r="S12" s="388"/>
      <c r="T12" s="388"/>
      <c r="U12" s="388"/>
      <c r="V12" s="388"/>
      <c r="W12" s="389"/>
    </row>
    <row r="13" spans="2:23" ht="22.95" customHeight="1">
      <c r="B13" s="48"/>
      <c r="C13" s="203"/>
      <c r="D13" s="204"/>
      <c r="E13" s="205" t="s">
        <v>280</v>
      </c>
      <c r="F13" s="205" t="s">
        <v>281</v>
      </c>
      <c r="G13" s="319" t="s">
        <v>282</v>
      </c>
      <c r="H13" s="50"/>
      <c r="J13" s="380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3"/>
    </row>
    <row r="14" spans="2:23" ht="22.95" customHeight="1">
      <c r="B14" s="48"/>
      <c r="C14" s="206" t="s">
        <v>347</v>
      </c>
      <c r="D14" s="68"/>
      <c r="E14" s="207">
        <f>ejercicio-2</f>
        <v>2016</v>
      </c>
      <c r="F14" s="207">
        <f>ejercicio-1</f>
        <v>2017</v>
      </c>
      <c r="G14" s="318">
        <f>ejercicio</f>
        <v>2018</v>
      </c>
      <c r="H14" s="50"/>
      <c r="J14" s="380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3"/>
    </row>
    <row r="15" spans="2:23" ht="22.95" customHeight="1">
      <c r="B15" s="48"/>
      <c r="C15" s="137"/>
      <c r="D15" s="86"/>
      <c r="E15" s="130"/>
      <c r="F15" s="130"/>
      <c r="G15" s="320"/>
      <c r="H15" s="50"/>
      <c r="J15" s="380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3"/>
    </row>
    <row r="16" spans="2:23" ht="22.95" customHeight="1">
      <c r="B16" s="48"/>
      <c r="C16" s="138" t="s">
        <v>284</v>
      </c>
      <c r="D16" s="84" t="s">
        <v>285</v>
      </c>
      <c r="E16" s="131">
        <f>E17+E26+E30+E33+E40+E47+E48</f>
        <v>86318872.950000003</v>
      </c>
      <c r="F16" s="131">
        <f>F17+F26+F30+F33+F40+F47+F48</f>
        <v>87259323.870000005</v>
      </c>
      <c r="G16" s="321">
        <f>G17+G26+G30+G33+G40+G47+G48</f>
        <v>157846252.06999999</v>
      </c>
      <c r="H16" s="50"/>
      <c r="J16" s="380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3"/>
    </row>
    <row r="17" spans="2:23" ht="22.95" customHeight="1">
      <c r="B17" s="48"/>
      <c r="C17" s="139" t="s">
        <v>286</v>
      </c>
      <c r="D17" s="70" t="s">
        <v>287</v>
      </c>
      <c r="E17" s="132">
        <f>SUM(E18:E25)</f>
        <v>5816771.8300000001</v>
      </c>
      <c r="F17" s="132">
        <f>SUM(F18:F25)</f>
        <v>5173703.2500000009</v>
      </c>
      <c r="G17" s="322">
        <f>SUM(G18:G25)</f>
        <v>4518416.51</v>
      </c>
      <c r="H17" s="50"/>
      <c r="J17" s="380"/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3"/>
    </row>
    <row r="18" spans="2:23" ht="22.95" customHeight="1">
      <c r="B18" s="48"/>
      <c r="C18" s="140" t="s">
        <v>185</v>
      </c>
      <c r="D18" s="71" t="s">
        <v>288</v>
      </c>
      <c r="E18" s="420"/>
      <c r="F18" s="420"/>
      <c r="G18" s="424"/>
      <c r="H18" s="50"/>
      <c r="J18" s="380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3"/>
    </row>
    <row r="19" spans="2:23" ht="22.95" customHeight="1">
      <c r="B19" s="48"/>
      <c r="C19" s="141" t="s">
        <v>192</v>
      </c>
      <c r="D19" s="72" t="s">
        <v>289</v>
      </c>
      <c r="E19" s="421">
        <v>0.03</v>
      </c>
      <c r="F19" s="421">
        <v>0.03</v>
      </c>
      <c r="G19" s="425">
        <v>0.03</v>
      </c>
      <c r="H19" s="50"/>
      <c r="J19" s="380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3"/>
    </row>
    <row r="20" spans="2:23" ht="22.95" customHeight="1">
      <c r="B20" s="48"/>
      <c r="C20" s="141" t="s">
        <v>194</v>
      </c>
      <c r="D20" s="72" t="s">
        <v>290</v>
      </c>
      <c r="E20" s="421"/>
      <c r="F20" s="421"/>
      <c r="G20" s="425"/>
      <c r="H20" s="50"/>
      <c r="J20" s="380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3"/>
    </row>
    <row r="21" spans="2:23" ht="22.95" customHeight="1">
      <c r="B21" s="48"/>
      <c r="C21" s="141" t="s">
        <v>196</v>
      </c>
      <c r="D21" s="72" t="s">
        <v>291</v>
      </c>
      <c r="E21" s="421">
        <v>5808431.4199999999</v>
      </c>
      <c r="F21" s="421">
        <v>5163050.1500000004</v>
      </c>
      <c r="G21" s="425">
        <v>4517668.88</v>
      </c>
      <c r="H21" s="50"/>
      <c r="J21" s="380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3"/>
    </row>
    <row r="22" spans="2:23" ht="22.95" customHeight="1">
      <c r="B22" s="48"/>
      <c r="C22" s="141" t="s">
        <v>292</v>
      </c>
      <c r="D22" s="72" t="s">
        <v>293</v>
      </c>
      <c r="E22" s="421">
        <v>8340.3799999999992</v>
      </c>
      <c r="F22" s="421">
        <v>10653.07</v>
      </c>
      <c r="G22" s="425">
        <v>747.6</v>
      </c>
      <c r="H22" s="50"/>
      <c r="J22" s="380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3"/>
    </row>
    <row r="23" spans="2:23" ht="22.95" customHeight="1">
      <c r="B23" s="48"/>
      <c r="C23" s="141" t="s">
        <v>206</v>
      </c>
      <c r="D23" s="72" t="s">
        <v>294</v>
      </c>
      <c r="E23" s="421"/>
      <c r="F23" s="421"/>
      <c r="G23" s="425"/>
      <c r="H23" s="50"/>
      <c r="J23" s="380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3"/>
    </row>
    <row r="24" spans="2:23" ht="22.95" customHeight="1">
      <c r="B24" s="48"/>
      <c r="C24" s="141" t="s">
        <v>211</v>
      </c>
      <c r="D24" s="72" t="s">
        <v>346</v>
      </c>
      <c r="E24" s="421"/>
      <c r="F24" s="421"/>
      <c r="G24" s="425"/>
      <c r="H24" s="50"/>
      <c r="J24" s="380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3"/>
    </row>
    <row r="25" spans="2:23" ht="22.95" customHeight="1">
      <c r="B25" s="48"/>
      <c r="C25" s="141" t="s">
        <v>219</v>
      </c>
      <c r="D25" s="72" t="s">
        <v>295</v>
      </c>
      <c r="E25" s="421"/>
      <c r="F25" s="421"/>
      <c r="G25" s="425"/>
      <c r="H25" s="50"/>
      <c r="J25" s="380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3"/>
    </row>
    <row r="26" spans="2:23" ht="22.95" customHeight="1">
      <c r="B26" s="48"/>
      <c r="C26" s="139" t="s">
        <v>296</v>
      </c>
      <c r="D26" s="70" t="s">
        <v>297</v>
      </c>
      <c r="E26" s="132">
        <f>SUM(E27:E29)</f>
        <v>60437217.359999999</v>
      </c>
      <c r="F26" s="132">
        <f>SUM(F27:F29)</f>
        <v>62773075.170000002</v>
      </c>
      <c r="G26" s="322">
        <f>SUM(G27:G29)</f>
        <v>125150588.19</v>
      </c>
      <c r="H26" s="50"/>
      <c r="J26" s="380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3"/>
    </row>
    <row r="27" spans="2:23" ht="22.95" customHeight="1">
      <c r="B27" s="48"/>
      <c r="C27" s="140" t="s">
        <v>185</v>
      </c>
      <c r="D27" s="71" t="s">
        <v>298</v>
      </c>
      <c r="E27" s="420">
        <v>31553684.84</v>
      </c>
      <c r="F27" s="420">
        <v>31114637.25</v>
      </c>
      <c r="G27" s="424">
        <v>30675589.66</v>
      </c>
      <c r="H27" s="50"/>
      <c r="J27" s="380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3"/>
    </row>
    <row r="28" spans="2:23" ht="22.95" customHeight="1">
      <c r="B28" s="48"/>
      <c r="C28" s="141" t="s">
        <v>192</v>
      </c>
      <c r="D28" s="72" t="s">
        <v>299</v>
      </c>
      <c r="E28" s="421">
        <v>20749775.59</v>
      </c>
      <c r="F28" s="421">
        <v>19168814.43</v>
      </c>
      <c r="G28" s="425">
        <v>87797184.730000004</v>
      </c>
      <c r="H28" s="50"/>
      <c r="J28" s="380"/>
      <c r="K28" s="382"/>
      <c r="L28" s="382"/>
      <c r="M28" s="382"/>
      <c r="N28" s="382"/>
      <c r="O28" s="382"/>
      <c r="P28" s="382"/>
      <c r="Q28" s="382"/>
      <c r="R28" s="382"/>
      <c r="S28" s="382"/>
      <c r="T28" s="382"/>
      <c r="U28" s="382"/>
      <c r="V28" s="382"/>
      <c r="W28" s="383"/>
    </row>
    <row r="29" spans="2:23" ht="22.95" customHeight="1">
      <c r="B29" s="48"/>
      <c r="C29" s="141" t="s">
        <v>194</v>
      </c>
      <c r="D29" s="72" t="s">
        <v>300</v>
      </c>
      <c r="E29" s="421">
        <v>8133756.9299999997</v>
      </c>
      <c r="F29" s="421">
        <v>12489623.49</v>
      </c>
      <c r="G29" s="425">
        <v>6677813.7999999998</v>
      </c>
      <c r="H29" s="50"/>
      <c r="J29" s="380"/>
      <c r="K29" s="382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3"/>
    </row>
    <row r="30" spans="2:23" ht="22.95" customHeight="1">
      <c r="B30" s="48"/>
      <c r="C30" s="139" t="s">
        <v>301</v>
      </c>
      <c r="D30" s="70" t="s">
        <v>302</v>
      </c>
      <c r="E30" s="132">
        <f>SUM(E31:E32)</f>
        <v>0</v>
      </c>
      <c r="F30" s="132">
        <f>SUM(F31:F32)</f>
        <v>0</v>
      </c>
      <c r="G30" s="322">
        <f>SUM(G31:G32)</f>
        <v>0</v>
      </c>
      <c r="H30" s="50"/>
      <c r="J30" s="390"/>
      <c r="K30" s="391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2"/>
    </row>
    <row r="31" spans="2:23" ht="22.95" customHeight="1">
      <c r="B31" s="48"/>
      <c r="C31" s="140" t="s">
        <v>185</v>
      </c>
      <c r="D31" s="71" t="s">
        <v>303</v>
      </c>
      <c r="E31" s="420"/>
      <c r="F31" s="420"/>
      <c r="G31" s="424"/>
      <c r="H31" s="50"/>
      <c r="J31" s="390"/>
      <c r="K31" s="391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2"/>
    </row>
    <row r="32" spans="2:23" ht="22.95" customHeight="1">
      <c r="B32" s="48"/>
      <c r="C32" s="141" t="s">
        <v>192</v>
      </c>
      <c r="D32" s="72" t="s">
        <v>304</v>
      </c>
      <c r="E32" s="421"/>
      <c r="F32" s="421"/>
      <c r="G32" s="425"/>
      <c r="H32" s="50"/>
      <c r="J32" s="380"/>
      <c r="K32" s="382"/>
      <c r="L32" s="382"/>
      <c r="M32" s="382"/>
      <c r="N32" s="382"/>
      <c r="O32" s="382"/>
      <c r="P32" s="382"/>
      <c r="Q32" s="382"/>
      <c r="R32" s="382"/>
      <c r="S32" s="382"/>
      <c r="T32" s="382"/>
      <c r="U32" s="382"/>
      <c r="V32" s="382"/>
      <c r="W32" s="383"/>
    </row>
    <row r="33" spans="2:23" ht="22.95" customHeight="1">
      <c r="B33" s="48"/>
      <c r="C33" s="139" t="s">
        <v>305</v>
      </c>
      <c r="D33" s="70" t="s">
        <v>306</v>
      </c>
      <c r="E33" s="132">
        <f>SUM(E34:E39)</f>
        <v>17306827.34</v>
      </c>
      <c r="F33" s="132">
        <f>SUM(F34:F39)</f>
        <v>16635776.34</v>
      </c>
      <c r="G33" s="322">
        <f>SUM(G34:G39)</f>
        <v>15955096.34</v>
      </c>
      <c r="H33" s="50"/>
      <c r="J33" s="380"/>
      <c r="K33" s="382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3"/>
    </row>
    <row r="34" spans="2:23" ht="22.95" customHeight="1">
      <c r="B34" s="48"/>
      <c r="C34" s="140" t="s">
        <v>185</v>
      </c>
      <c r="D34" s="71" t="s">
        <v>307</v>
      </c>
      <c r="E34" s="420">
        <v>17306827.34</v>
      </c>
      <c r="F34" s="420">
        <v>16635776.34</v>
      </c>
      <c r="G34" s="420">
        <v>15955096.34</v>
      </c>
      <c r="H34" s="50"/>
      <c r="J34" s="380"/>
      <c r="K34" s="382"/>
      <c r="L34" s="382"/>
      <c r="M34" s="382"/>
      <c r="N34" s="382"/>
      <c r="O34" s="382"/>
      <c r="P34" s="382"/>
      <c r="Q34" s="382"/>
      <c r="R34" s="382"/>
      <c r="S34" s="382"/>
      <c r="T34" s="382"/>
      <c r="U34" s="382"/>
      <c r="V34" s="382"/>
      <c r="W34" s="383"/>
    </row>
    <row r="35" spans="2:23" ht="22.95" customHeight="1">
      <c r="B35" s="48"/>
      <c r="C35" s="141" t="s">
        <v>192</v>
      </c>
      <c r="D35" s="72" t="s">
        <v>308</v>
      </c>
      <c r="E35" s="421"/>
      <c r="F35" s="421"/>
      <c r="G35" s="425"/>
      <c r="H35" s="50"/>
      <c r="J35" s="380"/>
      <c r="K35" s="382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3"/>
    </row>
    <row r="36" spans="2:23" ht="22.95" customHeight="1">
      <c r="B36" s="48"/>
      <c r="C36" s="141" t="s">
        <v>194</v>
      </c>
      <c r="D36" s="72" t="s">
        <v>309</v>
      </c>
      <c r="E36" s="421"/>
      <c r="F36" s="421"/>
      <c r="G36" s="425"/>
      <c r="H36" s="50"/>
      <c r="J36" s="393"/>
      <c r="K36" s="394"/>
      <c r="L36" s="394"/>
      <c r="M36" s="394"/>
      <c r="N36" s="394"/>
      <c r="O36" s="394"/>
      <c r="P36" s="394"/>
      <c r="Q36" s="394"/>
      <c r="R36" s="394"/>
      <c r="S36" s="394"/>
      <c r="T36" s="394"/>
      <c r="U36" s="394"/>
      <c r="V36" s="394"/>
      <c r="W36" s="395"/>
    </row>
    <row r="37" spans="2:23" ht="22.95" customHeight="1">
      <c r="B37" s="48"/>
      <c r="C37" s="141" t="s">
        <v>196</v>
      </c>
      <c r="D37" s="72" t="s">
        <v>310</v>
      </c>
      <c r="E37" s="421"/>
      <c r="F37" s="421"/>
      <c r="G37" s="425"/>
      <c r="H37" s="50"/>
      <c r="J37" s="393"/>
      <c r="K37" s="394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5"/>
    </row>
    <row r="38" spans="2:23" ht="22.95" customHeight="1">
      <c r="B38" s="48"/>
      <c r="C38" s="141" t="s">
        <v>292</v>
      </c>
      <c r="D38" s="72" t="s">
        <v>311</v>
      </c>
      <c r="E38" s="421"/>
      <c r="F38" s="421"/>
      <c r="G38" s="425"/>
      <c r="H38" s="50"/>
      <c r="J38" s="393"/>
      <c r="K38" s="394"/>
      <c r="L38" s="394"/>
      <c r="M38" s="394"/>
      <c r="N38" s="394"/>
      <c r="O38" s="394"/>
      <c r="P38" s="394"/>
      <c r="Q38" s="394"/>
      <c r="R38" s="394"/>
      <c r="S38" s="394"/>
      <c r="T38" s="394"/>
      <c r="U38" s="394"/>
      <c r="V38" s="394"/>
      <c r="W38" s="395"/>
    </row>
    <row r="39" spans="2:23" ht="22.95" customHeight="1">
      <c r="B39" s="48"/>
      <c r="C39" s="141" t="s">
        <v>206</v>
      </c>
      <c r="D39" s="72" t="s">
        <v>312</v>
      </c>
      <c r="E39" s="421"/>
      <c r="F39" s="421"/>
      <c r="G39" s="425"/>
      <c r="H39" s="50"/>
      <c r="J39" s="393"/>
      <c r="K39" s="394"/>
      <c r="L39" s="394"/>
      <c r="M39" s="394"/>
      <c r="N39" s="394"/>
      <c r="O39" s="394"/>
      <c r="P39" s="394"/>
      <c r="Q39" s="394"/>
      <c r="R39" s="394"/>
      <c r="S39" s="394"/>
      <c r="T39" s="394"/>
      <c r="U39" s="394"/>
      <c r="V39" s="394"/>
      <c r="W39" s="395"/>
    </row>
    <row r="40" spans="2:23" ht="22.95" customHeight="1">
      <c r="B40" s="48"/>
      <c r="C40" s="139" t="s">
        <v>313</v>
      </c>
      <c r="D40" s="70" t="s">
        <v>314</v>
      </c>
      <c r="E40" s="132">
        <f>SUM(E41:E46)</f>
        <v>1382211.76</v>
      </c>
      <c r="F40" s="132">
        <f>SUM(F41:F46)</f>
        <v>81745.760000000009</v>
      </c>
      <c r="G40" s="322">
        <f>SUM(G41:G46)</f>
        <v>81745.760000000009</v>
      </c>
      <c r="H40" s="50"/>
      <c r="J40" s="393"/>
      <c r="K40" s="394"/>
      <c r="L40" s="394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5"/>
    </row>
    <row r="41" spans="2:23" ht="22.95" customHeight="1">
      <c r="B41" s="48"/>
      <c r="C41" s="140" t="s">
        <v>185</v>
      </c>
      <c r="D41" s="71" t="s">
        <v>307</v>
      </c>
      <c r="E41" s="420">
        <v>63920.08</v>
      </c>
      <c r="F41" s="420">
        <v>63920.08</v>
      </c>
      <c r="G41" s="420">
        <v>63920.08</v>
      </c>
      <c r="H41" s="50"/>
      <c r="J41" s="393"/>
      <c r="K41" s="394"/>
      <c r="L41" s="394"/>
      <c r="M41" s="394"/>
      <c r="N41" s="394"/>
      <c r="O41" s="394"/>
      <c r="P41" s="394"/>
      <c r="Q41" s="394"/>
      <c r="R41" s="394"/>
      <c r="S41" s="394"/>
      <c r="T41" s="394"/>
      <c r="U41" s="394"/>
      <c r="V41" s="394"/>
      <c r="W41" s="395"/>
    </row>
    <row r="42" spans="2:23" ht="22.95" customHeight="1">
      <c r="B42" s="48"/>
      <c r="C42" s="141" t="s">
        <v>192</v>
      </c>
      <c r="D42" s="72" t="s">
        <v>315</v>
      </c>
      <c r="E42" s="421">
        <v>1800</v>
      </c>
      <c r="F42" s="421">
        <v>1334</v>
      </c>
      <c r="G42" s="421">
        <v>1334</v>
      </c>
      <c r="H42" s="50"/>
      <c r="J42" s="393"/>
      <c r="K42" s="394"/>
      <c r="L42" s="394"/>
      <c r="M42" s="394"/>
      <c r="N42" s="394"/>
      <c r="O42" s="394"/>
      <c r="P42" s="394"/>
      <c r="Q42" s="394"/>
      <c r="R42" s="394"/>
      <c r="S42" s="394"/>
      <c r="T42" s="394"/>
      <c r="U42" s="394"/>
      <c r="V42" s="394"/>
      <c r="W42" s="395"/>
    </row>
    <row r="43" spans="2:23" ht="22.95" customHeight="1">
      <c r="B43" s="48"/>
      <c r="C43" s="141" t="s">
        <v>194</v>
      </c>
      <c r="D43" s="72" t="s">
        <v>309</v>
      </c>
      <c r="E43" s="421">
        <v>1300000</v>
      </c>
      <c r="F43" s="421"/>
      <c r="G43" s="421"/>
      <c r="H43" s="50"/>
      <c r="J43" s="393"/>
      <c r="K43" s="394"/>
      <c r="L43" s="394"/>
      <c r="M43" s="394"/>
      <c r="N43" s="394"/>
      <c r="O43" s="394"/>
      <c r="P43" s="394"/>
      <c r="Q43" s="394"/>
      <c r="R43" s="394"/>
      <c r="S43" s="394"/>
      <c r="T43" s="394"/>
      <c r="U43" s="394"/>
      <c r="V43" s="394"/>
      <c r="W43" s="395"/>
    </row>
    <row r="44" spans="2:23" ht="22.95" customHeight="1">
      <c r="B44" s="48"/>
      <c r="C44" s="141" t="s">
        <v>196</v>
      </c>
      <c r="D44" s="72" t="s">
        <v>310</v>
      </c>
      <c r="E44" s="421"/>
      <c r="F44" s="421"/>
      <c r="G44" s="421"/>
      <c r="H44" s="50"/>
      <c r="J44" s="393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5"/>
    </row>
    <row r="45" spans="2:23" ht="22.95" customHeight="1">
      <c r="B45" s="48"/>
      <c r="C45" s="141" t="s">
        <v>292</v>
      </c>
      <c r="D45" s="72" t="s">
        <v>311</v>
      </c>
      <c r="E45" s="421">
        <v>16491.68</v>
      </c>
      <c r="F45" s="421">
        <v>16491.68</v>
      </c>
      <c r="G45" s="421">
        <v>16491.68</v>
      </c>
      <c r="H45" s="50"/>
      <c r="J45" s="393"/>
      <c r="K45" s="394"/>
      <c r="L45" s="394"/>
      <c r="M45" s="394"/>
      <c r="N45" s="394"/>
      <c r="O45" s="394"/>
      <c r="P45" s="394"/>
      <c r="Q45" s="394"/>
      <c r="R45" s="394"/>
      <c r="S45" s="394"/>
      <c r="T45" s="394"/>
      <c r="U45" s="394"/>
      <c r="V45" s="394"/>
      <c r="W45" s="395"/>
    </row>
    <row r="46" spans="2:23" ht="22.95" customHeight="1">
      <c r="B46" s="48"/>
      <c r="C46" s="141" t="s">
        <v>206</v>
      </c>
      <c r="D46" s="72" t="s">
        <v>312</v>
      </c>
      <c r="E46" s="421"/>
      <c r="F46" s="421"/>
      <c r="G46" s="425"/>
      <c r="H46" s="50"/>
      <c r="J46" s="393"/>
      <c r="K46" s="394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5"/>
    </row>
    <row r="47" spans="2:23" ht="22.95" customHeight="1">
      <c r="B47" s="48"/>
      <c r="C47" s="139" t="s">
        <v>316</v>
      </c>
      <c r="D47" s="70" t="s">
        <v>317</v>
      </c>
      <c r="E47" s="422">
        <v>1375844.66</v>
      </c>
      <c r="F47" s="422">
        <v>2595023.35</v>
      </c>
      <c r="G47" s="426">
        <v>12140405.27</v>
      </c>
      <c r="H47" s="50"/>
      <c r="J47" s="393"/>
      <c r="K47" s="394"/>
      <c r="L47" s="394"/>
      <c r="M47" s="394"/>
      <c r="N47" s="394"/>
      <c r="O47" s="394"/>
      <c r="P47" s="394"/>
      <c r="Q47" s="394"/>
      <c r="R47" s="394"/>
      <c r="S47" s="394"/>
      <c r="T47" s="394"/>
      <c r="U47" s="394"/>
      <c r="V47" s="394"/>
      <c r="W47" s="395"/>
    </row>
    <row r="48" spans="2:23" ht="22.95" customHeight="1">
      <c r="B48" s="48"/>
      <c r="C48" s="139" t="s">
        <v>318</v>
      </c>
      <c r="D48" s="70" t="s">
        <v>319</v>
      </c>
      <c r="E48" s="422">
        <v>0</v>
      </c>
      <c r="F48" s="422">
        <v>0</v>
      </c>
      <c r="G48" s="426">
        <v>0</v>
      </c>
      <c r="H48" s="50"/>
      <c r="J48" s="393"/>
      <c r="K48" s="394"/>
      <c r="L48" s="394"/>
      <c r="M48" s="394"/>
      <c r="N48" s="394"/>
      <c r="O48" s="394"/>
      <c r="P48" s="394"/>
      <c r="Q48" s="394"/>
      <c r="R48" s="394"/>
      <c r="S48" s="394"/>
      <c r="T48" s="394"/>
      <c r="U48" s="394"/>
      <c r="V48" s="394"/>
      <c r="W48" s="395"/>
    </row>
    <row r="49" spans="2:23" ht="22.95" customHeight="1">
      <c r="B49" s="48"/>
      <c r="C49" s="142"/>
      <c r="D49" s="62"/>
      <c r="E49" s="130"/>
      <c r="F49" s="130"/>
      <c r="G49" s="320"/>
      <c r="H49" s="50"/>
      <c r="J49" s="393"/>
      <c r="K49" s="394"/>
      <c r="L49" s="394"/>
      <c r="M49" s="394"/>
      <c r="N49" s="394"/>
      <c r="O49" s="394"/>
      <c r="P49" s="394"/>
      <c r="Q49" s="394"/>
      <c r="R49" s="394"/>
      <c r="S49" s="394"/>
      <c r="T49" s="394"/>
      <c r="U49" s="394"/>
      <c r="V49" s="394"/>
      <c r="W49" s="395"/>
    </row>
    <row r="50" spans="2:23" s="75" customFormat="1" ht="22.95" customHeight="1">
      <c r="B50" s="24"/>
      <c r="C50" s="138" t="s">
        <v>274</v>
      </c>
      <c r="D50" s="84" t="s">
        <v>320</v>
      </c>
      <c r="E50" s="131">
        <f>E51+E52+E65+E75+E82+E89+E90</f>
        <v>52981238.07</v>
      </c>
      <c r="F50" s="131">
        <f>F51+F52+F65+F75+F82+F89+F90</f>
        <v>73622448.629999995</v>
      </c>
      <c r="G50" s="321">
        <f>G51+G52+G65+G75+G82+G89+G90</f>
        <v>42859543.740000002</v>
      </c>
      <c r="H50" s="59"/>
      <c r="J50" s="393"/>
      <c r="K50" s="394"/>
      <c r="L50" s="394"/>
      <c r="M50" s="394"/>
      <c r="N50" s="394"/>
      <c r="O50" s="394"/>
      <c r="P50" s="394"/>
      <c r="Q50" s="394"/>
      <c r="R50" s="394"/>
      <c r="S50" s="394"/>
      <c r="T50" s="394"/>
      <c r="U50" s="394"/>
      <c r="V50" s="394"/>
      <c r="W50" s="395"/>
    </row>
    <row r="51" spans="2:23" ht="22.95" customHeight="1">
      <c r="B51" s="48"/>
      <c r="C51" s="139" t="s">
        <v>286</v>
      </c>
      <c r="D51" s="70" t="s">
        <v>321</v>
      </c>
      <c r="E51" s="422"/>
      <c r="F51" s="422"/>
      <c r="G51" s="426"/>
      <c r="H51" s="50"/>
      <c r="J51" s="393"/>
      <c r="K51" s="394"/>
      <c r="L51" s="394"/>
      <c r="M51" s="394"/>
      <c r="N51" s="394"/>
      <c r="O51" s="394"/>
      <c r="P51" s="394"/>
      <c r="Q51" s="394"/>
      <c r="R51" s="394"/>
      <c r="S51" s="394"/>
      <c r="T51" s="394"/>
      <c r="U51" s="394"/>
      <c r="V51" s="394"/>
      <c r="W51" s="395"/>
    </row>
    <row r="52" spans="2:23" ht="22.95" customHeight="1">
      <c r="B52" s="48"/>
      <c r="C52" s="139" t="s">
        <v>296</v>
      </c>
      <c r="D52" s="70" t="s">
        <v>322</v>
      </c>
      <c r="E52" s="132">
        <f>E53+E54+E57+E60+E63+E64</f>
        <v>1226365.92</v>
      </c>
      <c r="F52" s="132">
        <f>F53+F54+F57+F60+F63+F64</f>
        <v>1141000.92</v>
      </c>
      <c r="G52" s="322">
        <f>G53+G54+G57+G60+G63+G64</f>
        <v>1140100.92</v>
      </c>
      <c r="H52" s="50"/>
      <c r="J52" s="393"/>
      <c r="K52" s="394"/>
      <c r="L52" s="394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5"/>
    </row>
    <row r="53" spans="2:23" ht="22.95" customHeight="1">
      <c r="B53" s="48"/>
      <c r="C53" s="141" t="s">
        <v>185</v>
      </c>
      <c r="D53" s="72" t="s">
        <v>323</v>
      </c>
      <c r="E53" s="421">
        <v>25477.84</v>
      </c>
      <c r="F53" s="421">
        <v>25477.84</v>
      </c>
      <c r="G53" s="425">
        <v>25477.84</v>
      </c>
      <c r="H53" s="50"/>
      <c r="J53" s="393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5"/>
    </row>
    <row r="54" spans="2:23" ht="22.95" customHeight="1">
      <c r="B54" s="48"/>
      <c r="C54" s="141" t="s">
        <v>192</v>
      </c>
      <c r="D54" s="72" t="s">
        <v>324</v>
      </c>
      <c r="E54" s="134">
        <f>E55+E56</f>
        <v>890789.89</v>
      </c>
      <c r="F54" s="134">
        <f>F55+F56</f>
        <v>890789.89</v>
      </c>
      <c r="G54" s="323">
        <f>G55+G56</f>
        <v>890789.89</v>
      </c>
      <c r="H54" s="50"/>
      <c r="J54" s="393"/>
      <c r="K54" s="394"/>
      <c r="L54" s="394"/>
      <c r="M54" s="394"/>
      <c r="N54" s="394"/>
      <c r="O54" s="394"/>
      <c r="P54" s="394"/>
      <c r="Q54" s="394"/>
      <c r="R54" s="394"/>
      <c r="S54" s="394"/>
      <c r="T54" s="394"/>
      <c r="U54" s="394"/>
      <c r="V54" s="394"/>
      <c r="W54" s="395"/>
    </row>
    <row r="55" spans="2:23" ht="22.95" customHeight="1">
      <c r="B55" s="48"/>
      <c r="C55" s="144" t="s">
        <v>186</v>
      </c>
      <c r="D55" s="87" t="s">
        <v>348</v>
      </c>
      <c r="E55" s="429"/>
      <c r="F55" s="429"/>
      <c r="G55" s="679"/>
      <c r="H55" s="50"/>
      <c r="J55" s="393"/>
      <c r="K55" s="394"/>
      <c r="L55" s="394"/>
      <c r="M55" s="394"/>
      <c r="N55" s="394"/>
      <c r="O55" s="394"/>
      <c r="P55" s="394"/>
      <c r="Q55" s="394"/>
      <c r="R55" s="394"/>
      <c r="S55" s="394"/>
      <c r="T55" s="394"/>
      <c r="U55" s="394"/>
      <c r="V55" s="394"/>
      <c r="W55" s="395"/>
    </row>
    <row r="56" spans="2:23" ht="22.95" customHeight="1">
      <c r="B56" s="48"/>
      <c r="C56" s="144" t="s">
        <v>188</v>
      </c>
      <c r="D56" s="87" t="s">
        <v>349</v>
      </c>
      <c r="E56" s="429">
        <v>890789.89</v>
      </c>
      <c r="F56" s="429">
        <v>890789.89</v>
      </c>
      <c r="G56" s="679">
        <v>890789.89</v>
      </c>
      <c r="H56" s="50"/>
      <c r="J56" s="393"/>
      <c r="K56" s="394"/>
      <c r="L56" s="394"/>
      <c r="M56" s="394"/>
      <c r="N56" s="394"/>
      <c r="O56" s="394"/>
      <c r="P56" s="394"/>
      <c r="Q56" s="394"/>
      <c r="R56" s="394"/>
      <c r="S56" s="394"/>
      <c r="T56" s="394"/>
      <c r="U56" s="394"/>
      <c r="V56" s="394"/>
      <c r="W56" s="395"/>
    </row>
    <row r="57" spans="2:23" ht="22.95" customHeight="1">
      <c r="B57" s="48"/>
      <c r="C57" s="141" t="s">
        <v>194</v>
      </c>
      <c r="D57" s="72" t="s">
        <v>325</v>
      </c>
      <c r="E57" s="134">
        <f>E58+E59</f>
        <v>66288.179999999993</v>
      </c>
      <c r="F57" s="134">
        <f>F58+F59</f>
        <v>66288.179999999993</v>
      </c>
      <c r="G57" s="323">
        <f>G58+G59</f>
        <v>66288.179999999993</v>
      </c>
      <c r="H57" s="50"/>
      <c r="J57" s="393"/>
      <c r="K57" s="394"/>
      <c r="L57" s="394"/>
      <c r="M57" s="394"/>
      <c r="N57" s="394"/>
      <c r="O57" s="394"/>
      <c r="P57" s="394"/>
      <c r="Q57" s="394"/>
      <c r="R57" s="394"/>
      <c r="S57" s="394"/>
      <c r="T57" s="394"/>
      <c r="U57" s="394"/>
      <c r="V57" s="394"/>
      <c r="W57" s="395"/>
    </row>
    <row r="58" spans="2:23" ht="22.95" customHeight="1">
      <c r="B58" s="48"/>
      <c r="C58" s="144" t="s">
        <v>186</v>
      </c>
      <c r="D58" s="87" t="s">
        <v>326</v>
      </c>
      <c r="E58" s="429"/>
      <c r="F58" s="429"/>
      <c r="G58" s="679"/>
      <c r="H58" s="50"/>
      <c r="J58" s="393"/>
      <c r="K58" s="394"/>
      <c r="L58" s="394"/>
      <c r="M58" s="394"/>
      <c r="N58" s="394"/>
      <c r="O58" s="394"/>
      <c r="P58" s="394"/>
      <c r="Q58" s="394"/>
      <c r="R58" s="394"/>
      <c r="S58" s="394"/>
      <c r="T58" s="394"/>
      <c r="U58" s="394"/>
      <c r="V58" s="394"/>
      <c r="W58" s="395"/>
    </row>
    <row r="59" spans="2:23" ht="22.95" customHeight="1">
      <c r="B59" s="48"/>
      <c r="C59" s="144" t="s">
        <v>188</v>
      </c>
      <c r="D59" s="87" t="s">
        <v>327</v>
      </c>
      <c r="E59" s="429">
        <v>66288.179999999993</v>
      </c>
      <c r="F59" s="429">
        <v>66288.179999999993</v>
      </c>
      <c r="G59" s="679">
        <v>66288.179999999993</v>
      </c>
      <c r="H59" s="50"/>
      <c r="J59" s="393"/>
      <c r="K59" s="394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5"/>
    </row>
    <row r="60" spans="2:23" ht="22.95" customHeight="1">
      <c r="B60" s="48"/>
      <c r="C60" s="141" t="s">
        <v>196</v>
      </c>
      <c r="D60" s="72" t="s">
        <v>328</v>
      </c>
      <c r="E60" s="134">
        <f>E61+E62</f>
        <v>243810</v>
      </c>
      <c r="F60" s="134">
        <f>F61+F62</f>
        <v>158445</v>
      </c>
      <c r="G60" s="323">
        <f>G61+G62</f>
        <v>157545</v>
      </c>
      <c r="H60" s="50"/>
      <c r="J60" s="393"/>
      <c r="K60" s="394"/>
      <c r="L60" s="394"/>
      <c r="M60" s="394"/>
      <c r="N60" s="394"/>
      <c r="O60" s="394"/>
      <c r="P60" s="394"/>
      <c r="Q60" s="394"/>
      <c r="R60" s="394"/>
      <c r="S60" s="394"/>
      <c r="T60" s="394"/>
      <c r="U60" s="394"/>
      <c r="V60" s="394"/>
      <c r="W60" s="395"/>
    </row>
    <row r="61" spans="2:23" ht="22.95" customHeight="1">
      <c r="B61" s="48"/>
      <c r="C61" s="144" t="s">
        <v>186</v>
      </c>
      <c r="D61" s="87" t="s">
        <v>326</v>
      </c>
      <c r="E61" s="429"/>
      <c r="F61" s="429"/>
      <c r="G61" s="679"/>
      <c r="H61" s="50"/>
      <c r="J61" s="393"/>
      <c r="K61" s="394"/>
      <c r="L61" s="394"/>
      <c r="M61" s="394"/>
      <c r="N61" s="394"/>
      <c r="O61" s="394"/>
      <c r="P61" s="394"/>
      <c r="Q61" s="394"/>
      <c r="R61" s="394"/>
      <c r="S61" s="394"/>
      <c r="T61" s="394"/>
      <c r="U61" s="394"/>
      <c r="V61" s="394"/>
      <c r="W61" s="395"/>
    </row>
    <row r="62" spans="2:23" ht="22.95" customHeight="1">
      <c r="B62" s="48"/>
      <c r="C62" s="144" t="s">
        <v>188</v>
      </c>
      <c r="D62" s="87" t="s">
        <v>327</v>
      </c>
      <c r="E62" s="429">
        <v>243810</v>
      </c>
      <c r="F62" s="429">
        <v>158445</v>
      </c>
      <c r="G62" s="679">
        <v>157545</v>
      </c>
      <c r="H62" s="50"/>
      <c r="J62" s="393"/>
      <c r="K62" s="394"/>
      <c r="L62" s="394"/>
      <c r="M62" s="394"/>
      <c r="N62" s="394"/>
      <c r="O62" s="394"/>
      <c r="P62" s="394"/>
      <c r="Q62" s="394"/>
      <c r="R62" s="394"/>
      <c r="S62" s="394"/>
      <c r="T62" s="394"/>
      <c r="U62" s="394"/>
      <c r="V62" s="394"/>
      <c r="W62" s="395"/>
    </row>
    <row r="63" spans="2:23" ht="22.95" customHeight="1">
      <c r="B63" s="48"/>
      <c r="C63" s="141" t="s">
        <v>292</v>
      </c>
      <c r="D63" s="72" t="s">
        <v>329</v>
      </c>
      <c r="E63" s="421"/>
      <c r="F63" s="421"/>
      <c r="G63" s="425"/>
      <c r="H63" s="50"/>
      <c r="J63" s="393"/>
      <c r="K63" s="394"/>
      <c r="L63" s="394"/>
      <c r="M63" s="394"/>
      <c r="N63" s="394"/>
      <c r="O63" s="394"/>
      <c r="P63" s="394"/>
      <c r="Q63" s="394"/>
      <c r="R63" s="394"/>
      <c r="S63" s="394"/>
      <c r="T63" s="394"/>
      <c r="U63" s="394"/>
      <c r="V63" s="394"/>
      <c r="W63" s="395"/>
    </row>
    <row r="64" spans="2:23" ht="22.95" customHeight="1">
      <c r="B64" s="48"/>
      <c r="C64" s="141" t="s">
        <v>206</v>
      </c>
      <c r="D64" s="72" t="s">
        <v>330</v>
      </c>
      <c r="E64" s="421">
        <v>0.01</v>
      </c>
      <c r="F64" s="421">
        <v>0.01</v>
      </c>
      <c r="G64" s="425">
        <v>0.01</v>
      </c>
      <c r="H64" s="50"/>
      <c r="J64" s="393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5"/>
    </row>
    <row r="65" spans="2:23" ht="22.95" customHeight="1">
      <c r="B65" s="48"/>
      <c r="C65" s="139" t="s">
        <v>301</v>
      </c>
      <c r="D65" s="70" t="s">
        <v>331</v>
      </c>
      <c r="E65" s="132">
        <f>E66+SUM(E69:E74)</f>
        <v>14083725.899999999</v>
      </c>
      <c r="F65" s="132">
        <f>F66+SUM(F69:F74)</f>
        <v>13190283.330000002</v>
      </c>
      <c r="G65" s="322">
        <f>G66+SUM(G69:G74)</f>
        <v>11467203.58</v>
      </c>
      <c r="H65" s="50"/>
      <c r="J65" s="393"/>
      <c r="K65" s="394"/>
      <c r="L65" s="394"/>
      <c r="M65" s="394"/>
      <c r="N65" s="394"/>
      <c r="O65" s="394"/>
      <c r="P65" s="394"/>
      <c r="Q65" s="394"/>
      <c r="R65" s="394"/>
      <c r="S65" s="394"/>
      <c r="T65" s="394"/>
      <c r="U65" s="394"/>
      <c r="V65" s="394"/>
      <c r="W65" s="395"/>
    </row>
    <row r="66" spans="2:23" ht="22.95" customHeight="1">
      <c r="B66" s="48"/>
      <c r="C66" s="141" t="s">
        <v>185</v>
      </c>
      <c r="D66" s="72" t="s">
        <v>332</v>
      </c>
      <c r="E66" s="134">
        <f>E67+E68</f>
        <v>3908175.29</v>
      </c>
      <c r="F66" s="134">
        <f>F67+F68</f>
        <v>2104291.02</v>
      </c>
      <c r="G66" s="323">
        <f>G67+G68</f>
        <v>2061213.95</v>
      </c>
      <c r="H66" s="50"/>
      <c r="J66" s="393"/>
      <c r="K66" s="394"/>
      <c r="L66" s="394"/>
      <c r="M66" s="394"/>
      <c r="N66" s="394"/>
      <c r="O66" s="394"/>
      <c r="P66" s="394"/>
      <c r="Q66" s="394"/>
      <c r="R66" s="394"/>
      <c r="S66" s="394"/>
      <c r="T66" s="394"/>
      <c r="U66" s="394"/>
      <c r="V66" s="394"/>
      <c r="W66" s="395"/>
    </row>
    <row r="67" spans="2:23" ht="22.95" customHeight="1">
      <c r="B67" s="48"/>
      <c r="C67" s="144" t="s">
        <v>186</v>
      </c>
      <c r="D67" s="87" t="s">
        <v>333</v>
      </c>
      <c r="E67" s="429"/>
      <c r="F67" s="429"/>
      <c r="G67" s="679"/>
      <c r="H67" s="50"/>
      <c r="J67" s="393"/>
      <c r="K67" s="394"/>
      <c r="L67" s="394"/>
      <c r="M67" s="394"/>
      <c r="N67" s="394"/>
      <c r="O67" s="394"/>
      <c r="P67" s="394"/>
      <c r="Q67" s="394"/>
      <c r="R67" s="394"/>
      <c r="S67" s="394"/>
      <c r="T67" s="394"/>
      <c r="U67" s="394"/>
      <c r="V67" s="394"/>
      <c r="W67" s="395"/>
    </row>
    <row r="68" spans="2:23" ht="22.95" customHeight="1">
      <c r="B68" s="48"/>
      <c r="C68" s="144" t="s">
        <v>188</v>
      </c>
      <c r="D68" s="87" t="s">
        <v>334</v>
      </c>
      <c r="E68" s="429">
        <v>3908175.29</v>
      </c>
      <c r="F68" s="429">
        <v>2104291.02</v>
      </c>
      <c r="G68" s="679">
        <v>2061213.95</v>
      </c>
      <c r="H68" s="50"/>
      <c r="J68" s="393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5"/>
    </row>
    <row r="69" spans="2:23" ht="22.95" customHeight="1">
      <c r="B69" s="48"/>
      <c r="C69" s="141" t="s">
        <v>192</v>
      </c>
      <c r="D69" s="72" t="s">
        <v>335</v>
      </c>
      <c r="E69" s="421">
        <v>8307400.6699999999</v>
      </c>
      <c r="F69" s="421">
        <v>8196295.96</v>
      </c>
      <c r="G69" s="425">
        <v>6196295.96</v>
      </c>
      <c r="H69" s="50"/>
      <c r="J69" s="393"/>
      <c r="K69" s="394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394"/>
      <c r="W69" s="395"/>
    </row>
    <row r="70" spans="2:23" ht="22.95" customHeight="1">
      <c r="B70" s="48"/>
      <c r="C70" s="141" t="s">
        <v>194</v>
      </c>
      <c r="D70" s="72" t="s">
        <v>336</v>
      </c>
      <c r="E70" s="421">
        <v>269336.08</v>
      </c>
      <c r="F70" s="421">
        <v>1464239</v>
      </c>
      <c r="G70" s="425">
        <v>1760123.24</v>
      </c>
      <c r="H70" s="50"/>
      <c r="J70" s="393"/>
      <c r="K70" s="394"/>
      <c r="L70" s="394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5"/>
    </row>
    <row r="71" spans="2:23" ht="22.95" customHeight="1">
      <c r="B71" s="48"/>
      <c r="C71" s="141" t="s">
        <v>196</v>
      </c>
      <c r="D71" s="72" t="s">
        <v>159</v>
      </c>
      <c r="E71" s="421">
        <v>1845.11</v>
      </c>
      <c r="F71" s="421">
        <v>1888.73</v>
      </c>
      <c r="G71" s="425">
        <v>1888.73</v>
      </c>
      <c r="H71" s="50"/>
      <c r="J71" s="393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  <c r="W71" s="395"/>
    </row>
    <row r="72" spans="2:23" ht="22.95" customHeight="1">
      <c r="B72" s="48"/>
      <c r="C72" s="141" t="s">
        <v>292</v>
      </c>
      <c r="D72" s="72" t="s">
        <v>337</v>
      </c>
      <c r="E72" s="421">
        <v>10612.18</v>
      </c>
      <c r="F72" s="421"/>
      <c r="G72" s="425"/>
      <c r="H72" s="50"/>
      <c r="J72" s="393"/>
      <c r="K72" s="394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  <c r="W72" s="395"/>
    </row>
    <row r="73" spans="2:23" ht="22.95" customHeight="1">
      <c r="B73" s="48"/>
      <c r="C73" s="141" t="s">
        <v>206</v>
      </c>
      <c r="D73" s="72" t="s">
        <v>338</v>
      </c>
      <c r="E73" s="421">
        <v>1586356.57</v>
      </c>
      <c r="F73" s="421">
        <v>1423568.62</v>
      </c>
      <c r="G73" s="425">
        <v>1447681.7</v>
      </c>
      <c r="H73" s="50"/>
      <c r="J73" s="393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5"/>
    </row>
    <row r="74" spans="2:23" ht="22.95" customHeight="1">
      <c r="B74" s="48"/>
      <c r="C74" s="141" t="s">
        <v>211</v>
      </c>
      <c r="D74" s="72" t="s">
        <v>339</v>
      </c>
      <c r="E74" s="421"/>
      <c r="F74" s="421"/>
      <c r="G74" s="425"/>
      <c r="H74" s="50"/>
      <c r="J74" s="393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5"/>
    </row>
    <row r="75" spans="2:23" ht="22.95" customHeight="1">
      <c r="B75" s="48"/>
      <c r="C75" s="139" t="s">
        <v>305</v>
      </c>
      <c r="D75" s="70" t="s">
        <v>340</v>
      </c>
      <c r="E75" s="132">
        <f>SUM(E76:E81)</f>
        <v>2364551.1199999996</v>
      </c>
      <c r="F75" s="132">
        <f>SUM(F76:F81)</f>
        <v>2149427.81</v>
      </c>
      <c r="G75" s="322">
        <f>SUM(G76:G81)</f>
        <v>1846213.9700000002</v>
      </c>
      <c r="H75" s="50"/>
      <c r="J75" s="393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5"/>
    </row>
    <row r="76" spans="2:23" ht="22.95" customHeight="1">
      <c r="B76" s="48"/>
      <c r="C76" s="141" t="s">
        <v>185</v>
      </c>
      <c r="D76" s="72" t="s">
        <v>307</v>
      </c>
      <c r="E76" s="421"/>
      <c r="F76" s="421"/>
      <c r="G76" s="425"/>
      <c r="H76" s="50"/>
      <c r="J76" s="393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5"/>
    </row>
    <row r="77" spans="2:23" ht="22.95" customHeight="1">
      <c r="B77" s="48"/>
      <c r="C77" s="141" t="s">
        <v>192</v>
      </c>
      <c r="D77" s="72" t="s">
        <v>308</v>
      </c>
      <c r="E77" s="421">
        <v>2173424.84</v>
      </c>
      <c r="F77" s="421">
        <v>1989424.84</v>
      </c>
      <c r="G77" s="421">
        <v>1589424.84</v>
      </c>
      <c r="H77" s="50"/>
      <c r="J77" s="393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5"/>
    </row>
    <row r="78" spans="2:23" ht="22.95" customHeight="1">
      <c r="B78" s="48"/>
      <c r="C78" s="141" t="s">
        <v>194</v>
      </c>
      <c r="D78" s="72" t="s">
        <v>309</v>
      </c>
      <c r="E78" s="421"/>
      <c r="F78" s="421"/>
      <c r="G78" s="421"/>
      <c r="H78" s="50"/>
      <c r="J78" s="393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5"/>
    </row>
    <row r="79" spans="2:23" ht="22.95" customHeight="1">
      <c r="B79" s="48"/>
      <c r="C79" s="141" t="s">
        <v>196</v>
      </c>
      <c r="D79" s="72" t="s">
        <v>310</v>
      </c>
      <c r="E79" s="421"/>
      <c r="F79" s="421"/>
      <c r="G79" s="421"/>
      <c r="H79" s="50"/>
      <c r="J79" s="393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5"/>
    </row>
    <row r="80" spans="2:23" ht="22.95" customHeight="1">
      <c r="B80" s="48"/>
      <c r="C80" s="141" t="s">
        <v>292</v>
      </c>
      <c r="D80" s="72" t="s">
        <v>311</v>
      </c>
      <c r="E80" s="421">
        <v>191126.28</v>
      </c>
      <c r="F80" s="421">
        <v>160002.97</v>
      </c>
      <c r="G80" s="421">
        <v>256789.13</v>
      </c>
      <c r="H80" s="50"/>
      <c r="J80" s="393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5"/>
    </row>
    <row r="81" spans="2:23" ht="22.95" customHeight="1">
      <c r="B81" s="48"/>
      <c r="C81" s="141" t="s">
        <v>206</v>
      </c>
      <c r="D81" s="72" t="s">
        <v>312</v>
      </c>
      <c r="E81" s="421"/>
      <c r="F81" s="421"/>
      <c r="G81" s="425"/>
      <c r="H81" s="50"/>
      <c r="J81" s="393"/>
      <c r="K81" s="394"/>
      <c r="L81" s="394"/>
      <c r="M81" s="394"/>
      <c r="N81" s="394"/>
      <c r="O81" s="394"/>
      <c r="P81" s="394"/>
      <c r="Q81" s="394"/>
      <c r="R81" s="394"/>
      <c r="S81" s="394"/>
      <c r="T81" s="394"/>
      <c r="U81" s="394"/>
      <c r="V81" s="394"/>
      <c r="W81" s="395"/>
    </row>
    <row r="82" spans="2:23" ht="22.95" customHeight="1">
      <c r="B82" s="48"/>
      <c r="C82" s="139" t="s">
        <v>313</v>
      </c>
      <c r="D82" s="70" t="s">
        <v>341</v>
      </c>
      <c r="E82" s="132">
        <f>SUM(E83:E88)</f>
        <v>27085231.669999998</v>
      </c>
      <c r="F82" s="132">
        <f>SUM(F83:F88)</f>
        <v>25700055.830000002</v>
      </c>
      <c r="G82" s="322">
        <f>SUM(G83:G88)</f>
        <v>23794078.16</v>
      </c>
      <c r="H82" s="50"/>
      <c r="J82" s="393"/>
      <c r="K82" s="394"/>
      <c r="L82" s="394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5"/>
    </row>
    <row r="83" spans="2:23" ht="22.95" customHeight="1">
      <c r="B83" s="48"/>
      <c r="C83" s="141" t="s">
        <v>185</v>
      </c>
      <c r="D83" s="72" t="s">
        <v>307</v>
      </c>
      <c r="E83" s="421"/>
      <c r="F83" s="421"/>
      <c r="G83" s="425"/>
      <c r="H83" s="50"/>
      <c r="J83" s="393"/>
      <c r="K83" s="394"/>
      <c r="L83" s="394"/>
      <c r="M83" s="394"/>
      <c r="N83" s="394"/>
      <c r="O83" s="394"/>
      <c r="P83" s="394"/>
      <c r="Q83" s="394"/>
      <c r="R83" s="394"/>
      <c r="S83" s="394"/>
      <c r="T83" s="394"/>
      <c r="U83" s="394"/>
      <c r="V83" s="394"/>
      <c r="W83" s="395"/>
    </row>
    <row r="84" spans="2:23" ht="22.95" customHeight="1">
      <c r="B84" s="48"/>
      <c r="C84" s="141" t="s">
        <v>192</v>
      </c>
      <c r="D84" s="72" t="s">
        <v>308</v>
      </c>
      <c r="E84" s="421">
        <v>27070731.789999999</v>
      </c>
      <c r="F84" s="421">
        <v>25689589.960000001</v>
      </c>
      <c r="G84" s="425">
        <v>23789678.16</v>
      </c>
      <c r="H84" s="50"/>
      <c r="J84" s="393"/>
      <c r="K84" s="394"/>
      <c r="L84" s="394"/>
      <c r="M84" s="394"/>
      <c r="N84" s="394"/>
      <c r="O84" s="394"/>
      <c r="P84" s="394"/>
      <c r="Q84" s="394"/>
      <c r="R84" s="394"/>
      <c r="S84" s="394"/>
      <c r="T84" s="394"/>
      <c r="U84" s="394"/>
      <c r="V84" s="394"/>
      <c r="W84" s="395"/>
    </row>
    <row r="85" spans="2:23" ht="22.95" customHeight="1">
      <c r="B85" s="48"/>
      <c r="C85" s="141" t="s">
        <v>194</v>
      </c>
      <c r="D85" s="72" t="s">
        <v>309</v>
      </c>
      <c r="E85" s="421">
        <v>4400</v>
      </c>
      <c r="F85" s="421">
        <v>4400</v>
      </c>
      <c r="G85" s="425">
        <v>4400</v>
      </c>
      <c r="H85" s="50"/>
      <c r="J85" s="393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5"/>
    </row>
    <row r="86" spans="2:23" ht="22.95" customHeight="1">
      <c r="B86" s="48"/>
      <c r="C86" s="141" t="s">
        <v>196</v>
      </c>
      <c r="D86" s="72" t="s">
        <v>310</v>
      </c>
      <c r="E86" s="421"/>
      <c r="F86" s="421"/>
      <c r="G86" s="425"/>
      <c r="H86" s="50"/>
      <c r="J86" s="393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5"/>
    </row>
    <row r="87" spans="2:23" ht="22.95" customHeight="1">
      <c r="B87" s="48"/>
      <c r="C87" s="141" t="s">
        <v>292</v>
      </c>
      <c r="D87" s="72" t="s">
        <v>311</v>
      </c>
      <c r="E87" s="421">
        <v>10099.879999999999</v>
      </c>
      <c r="F87" s="421">
        <v>6065.87</v>
      </c>
      <c r="G87" s="425"/>
      <c r="H87" s="50"/>
      <c r="J87" s="393"/>
      <c r="K87" s="394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5"/>
    </row>
    <row r="88" spans="2:23" ht="22.95" customHeight="1">
      <c r="B88" s="48"/>
      <c r="C88" s="141" t="s">
        <v>206</v>
      </c>
      <c r="D88" s="72" t="s">
        <v>312</v>
      </c>
      <c r="E88" s="421"/>
      <c r="F88" s="421"/>
      <c r="G88" s="425"/>
      <c r="H88" s="50"/>
      <c r="J88" s="393"/>
      <c r="K88" s="394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5"/>
    </row>
    <row r="89" spans="2:23" s="75" customFormat="1" ht="22.95" customHeight="1">
      <c r="B89" s="24"/>
      <c r="C89" s="139" t="s">
        <v>316</v>
      </c>
      <c r="D89" s="70" t="s">
        <v>342</v>
      </c>
      <c r="E89" s="422">
        <v>126408.4</v>
      </c>
      <c r="F89" s="422">
        <v>60000</v>
      </c>
      <c r="G89" s="426">
        <v>50000</v>
      </c>
      <c r="H89" s="59"/>
      <c r="J89" s="393"/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5"/>
    </row>
    <row r="90" spans="2:23" ht="22.95" customHeight="1">
      <c r="B90" s="48"/>
      <c r="C90" s="139" t="s">
        <v>318</v>
      </c>
      <c r="D90" s="70" t="s">
        <v>343</v>
      </c>
      <c r="E90" s="132">
        <f>SUM(E91:E92)</f>
        <v>8094955.0599999996</v>
      </c>
      <c r="F90" s="132">
        <f>SUM(F91:F92)</f>
        <v>31381680.739999998</v>
      </c>
      <c r="G90" s="322">
        <f>SUM(G91:G92)</f>
        <v>4561947.1100000003</v>
      </c>
      <c r="H90" s="50"/>
      <c r="J90" s="393"/>
      <c r="K90" s="394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5"/>
    </row>
    <row r="91" spans="2:23" ht="22.95" customHeight="1">
      <c r="B91" s="48"/>
      <c r="C91" s="141" t="s">
        <v>185</v>
      </c>
      <c r="D91" s="72" t="s">
        <v>344</v>
      </c>
      <c r="E91" s="421">
        <v>8094955.0599999996</v>
      </c>
      <c r="F91" s="421">
        <v>31381680.739999998</v>
      </c>
      <c r="G91" s="425">
        <v>4561947.1100000003</v>
      </c>
      <c r="H91" s="50"/>
      <c r="J91" s="393"/>
      <c r="K91" s="394"/>
      <c r="L91" s="394"/>
      <c r="M91" s="394"/>
      <c r="N91" s="394"/>
      <c r="O91" s="394"/>
      <c r="P91" s="394"/>
      <c r="Q91" s="394"/>
      <c r="R91" s="394"/>
      <c r="S91" s="394"/>
      <c r="T91" s="394"/>
      <c r="U91" s="394"/>
      <c r="V91" s="394"/>
      <c r="W91" s="395"/>
    </row>
    <row r="92" spans="2:23" ht="22.95" customHeight="1">
      <c r="B92" s="48"/>
      <c r="C92" s="324" t="s">
        <v>192</v>
      </c>
      <c r="D92" s="325" t="s">
        <v>345</v>
      </c>
      <c r="E92" s="427"/>
      <c r="F92" s="427"/>
      <c r="G92" s="428"/>
      <c r="H92" s="50"/>
      <c r="J92" s="393"/>
      <c r="K92" s="394"/>
      <c r="L92" s="394"/>
      <c r="M92" s="394"/>
      <c r="N92" s="394"/>
      <c r="O92" s="394"/>
      <c r="P92" s="394"/>
      <c r="Q92" s="394"/>
      <c r="R92" s="394"/>
      <c r="S92" s="394"/>
      <c r="T92" s="394"/>
      <c r="U92" s="394"/>
      <c r="V92" s="394"/>
      <c r="W92" s="395"/>
    </row>
    <row r="93" spans="2:23" ht="22.95" customHeight="1">
      <c r="B93" s="48"/>
      <c r="C93" s="315"/>
      <c r="D93" s="62"/>
      <c r="E93" s="135"/>
      <c r="F93" s="135"/>
      <c r="G93" s="316"/>
      <c r="H93" s="50"/>
      <c r="J93" s="393"/>
      <c r="K93" s="394"/>
      <c r="L93" s="394"/>
      <c r="M93" s="394"/>
      <c r="N93" s="394"/>
      <c r="O93" s="394"/>
      <c r="P93" s="394"/>
      <c r="Q93" s="394"/>
      <c r="R93" s="394"/>
      <c r="S93" s="394"/>
      <c r="T93" s="394"/>
      <c r="U93" s="394"/>
      <c r="V93" s="394"/>
      <c r="W93" s="395"/>
    </row>
    <row r="94" spans="2:23" s="82" customFormat="1" ht="22.95" customHeight="1" thickBot="1">
      <c r="B94" s="80"/>
      <c r="C94" s="145" t="s">
        <v>350</v>
      </c>
      <c r="D94" s="79"/>
      <c r="E94" s="136">
        <f>E50+E16</f>
        <v>139300111.02000001</v>
      </c>
      <c r="F94" s="136">
        <f>F50+F16</f>
        <v>160881772.5</v>
      </c>
      <c r="G94" s="317">
        <f>G50+G16</f>
        <v>200705795.81</v>
      </c>
      <c r="H94" s="81"/>
      <c r="J94" s="393"/>
      <c r="K94" s="394"/>
      <c r="L94" s="394"/>
      <c r="M94" s="394"/>
      <c r="N94" s="394"/>
      <c r="O94" s="394"/>
      <c r="P94" s="394"/>
      <c r="Q94" s="394"/>
      <c r="R94" s="394"/>
      <c r="S94" s="394"/>
      <c r="T94" s="394"/>
      <c r="U94" s="394"/>
      <c r="V94" s="394"/>
      <c r="W94" s="395"/>
    </row>
    <row r="95" spans="2:23" ht="22.95" customHeight="1" thickBot="1">
      <c r="B95" s="52"/>
      <c r="C95" s="1003"/>
      <c r="D95" s="1003"/>
      <c r="E95" s="1003"/>
      <c r="F95" s="1003"/>
      <c r="G95" s="54"/>
      <c r="H95" s="55"/>
      <c r="J95" s="396"/>
      <c r="K95" s="397"/>
      <c r="L95" s="397"/>
      <c r="M95" s="397"/>
      <c r="N95" s="397"/>
      <c r="O95" s="397"/>
      <c r="P95" s="397"/>
      <c r="Q95" s="397"/>
      <c r="R95" s="397"/>
      <c r="S95" s="397"/>
      <c r="T95" s="397"/>
      <c r="U95" s="397"/>
      <c r="V95" s="397"/>
      <c r="W95" s="398"/>
    </row>
    <row r="96" spans="2:23" ht="22.95" customHeight="1">
      <c r="C96" s="44"/>
      <c r="D96" s="44"/>
      <c r="E96" s="44"/>
      <c r="F96" s="44"/>
      <c r="G96" s="44"/>
    </row>
    <row r="97" spans="3:7" ht="13.2">
      <c r="C97" s="37" t="s">
        <v>174</v>
      </c>
      <c r="D97" s="44"/>
      <c r="E97" s="44"/>
      <c r="F97" s="44"/>
      <c r="G97" s="41" t="s">
        <v>808</v>
      </c>
    </row>
    <row r="98" spans="3:7" ht="13.2">
      <c r="C98" s="38" t="s">
        <v>175</v>
      </c>
      <c r="D98" s="44"/>
      <c r="E98" s="44"/>
      <c r="F98" s="44"/>
      <c r="G98" s="44"/>
    </row>
    <row r="99" spans="3:7" ht="13.2">
      <c r="C99" s="38" t="s">
        <v>176</v>
      </c>
      <c r="D99" s="44"/>
      <c r="E99" s="44"/>
      <c r="F99" s="44"/>
      <c r="G99" s="44"/>
    </row>
    <row r="100" spans="3:7" ht="13.2">
      <c r="C100" s="38" t="s">
        <v>177</v>
      </c>
      <c r="D100" s="44"/>
      <c r="E100" s="44"/>
      <c r="F100" s="44"/>
      <c r="G100" s="44"/>
    </row>
    <row r="101" spans="3:7" ht="13.2">
      <c r="C101" s="38" t="s">
        <v>178</v>
      </c>
      <c r="D101" s="44"/>
      <c r="E101" s="44"/>
      <c r="F101" s="44"/>
      <c r="G101" s="44"/>
    </row>
    <row r="102" spans="3:7" ht="66" customHeight="1">
      <c r="C102" s="44"/>
      <c r="D102" s="44"/>
      <c r="E102" s="683"/>
      <c r="F102" s="681"/>
      <c r="G102" s="681"/>
    </row>
    <row r="103" spans="3:7" ht="22.95" customHeight="1">
      <c r="C103" s="44"/>
      <c r="D103" s="44"/>
      <c r="E103" s="44"/>
      <c r="F103" s="44"/>
      <c r="G103" s="44"/>
    </row>
    <row r="104" spans="3:7" ht="22.95" customHeight="1">
      <c r="C104" s="44"/>
      <c r="D104" s="44"/>
      <c r="E104" s="44"/>
      <c r="F104" s="44"/>
      <c r="G104" s="44"/>
    </row>
    <row r="105" spans="3:7" ht="22.95" customHeight="1">
      <c r="C105" s="44"/>
      <c r="D105" s="44"/>
      <c r="E105" s="44"/>
      <c r="F105" s="44"/>
      <c r="G105" s="44"/>
    </row>
    <row r="106" spans="3:7" ht="22.95" customHeight="1">
      <c r="F106" s="44"/>
      <c r="G106" s="44"/>
    </row>
  </sheetData>
  <sheetProtection password="E059" sheet="1" objects="1" scenarios="1"/>
  <mergeCells count="3">
    <mergeCell ref="G6:G7"/>
    <mergeCell ref="D9:G9"/>
    <mergeCell ref="C95:F95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8"/>
  <sheetViews>
    <sheetView zoomScale="55" zoomScaleNormal="55" workbookViewId="0">
      <selection activeCell="B1" sqref="B1:H93"/>
    </sheetView>
  </sheetViews>
  <sheetFormatPr baseColWidth="10" defaultColWidth="10.54296875" defaultRowHeight="22.95" customHeight="1"/>
  <cols>
    <col min="1" max="2" width="3.1796875" style="42" customWidth="1"/>
    <col min="3" max="3" width="13.54296875" style="42" customWidth="1"/>
    <col min="4" max="4" width="76.54296875" style="42" customWidth="1"/>
    <col min="5" max="7" width="18.453125" style="42" customWidth="1"/>
    <col min="8" max="8" width="3.453125" style="42" customWidth="1"/>
    <col min="9" max="16384" width="10.54296875" style="42"/>
  </cols>
  <sheetData>
    <row r="1" spans="2:23" ht="22.95" customHeight="1">
      <c r="D1" s="44"/>
    </row>
    <row r="2" spans="2:23" ht="22.95" customHeight="1">
      <c r="D2" s="64" t="s">
        <v>128</v>
      </c>
    </row>
    <row r="3" spans="2:23" ht="22.95" customHeight="1">
      <c r="D3" s="64" t="s">
        <v>129</v>
      </c>
    </row>
    <row r="4" spans="2:23" ht="22.95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77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9"/>
    </row>
    <row r="6" spans="2:23" ht="30" customHeight="1">
      <c r="B6" s="48"/>
      <c r="C6" s="1" t="s">
        <v>97</v>
      </c>
      <c r="D6" s="44"/>
      <c r="E6" s="44"/>
      <c r="F6" s="44"/>
      <c r="G6" s="984">
        <f>ejercicio</f>
        <v>2018</v>
      </c>
      <c r="H6" s="50"/>
      <c r="J6" s="380"/>
      <c r="K6" s="381" t="s">
        <v>810</v>
      </c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3"/>
    </row>
    <row r="7" spans="2:23" ht="30" customHeight="1">
      <c r="B7" s="48"/>
      <c r="C7" s="1" t="s">
        <v>98</v>
      </c>
      <c r="D7" s="44"/>
      <c r="E7" s="44"/>
      <c r="F7" s="44"/>
      <c r="G7" s="984"/>
      <c r="H7" s="50"/>
      <c r="J7" s="380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3"/>
    </row>
    <row r="8" spans="2:23" ht="30" customHeight="1">
      <c r="B8" s="48"/>
      <c r="C8" s="49"/>
      <c r="D8" s="44"/>
      <c r="E8" s="44"/>
      <c r="F8" s="44"/>
      <c r="G8" s="51"/>
      <c r="H8" s="50"/>
      <c r="J8" s="380"/>
      <c r="K8" s="382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3"/>
    </row>
    <row r="9" spans="2:23" s="58" customFormat="1" ht="30" customHeight="1">
      <c r="B9" s="56"/>
      <c r="C9" s="39" t="s">
        <v>99</v>
      </c>
      <c r="D9" s="1004" t="str">
        <f>Entidad</f>
        <v>INSTITUTO TECNOLÓGICO Y DE ENERGÍAS RENOVALBES S.A. (ITER)</v>
      </c>
      <c r="E9" s="1004"/>
      <c r="F9" s="1004"/>
      <c r="G9" s="1004"/>
      <c r="H9" s="57"/>
      <c r="J9" s="384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6"/>
    </row>
    <row r="10" spans="2:23" ht="7.2" customHeight="1">
      <c r="B10" s="48"/>
      <c r="C10" s="44"/>
      <c r="D10" s="44"/>
      <c r="E10" s="44"/>
      <c r="F10" s="44"/>
      <c r="G10" s="44"/>
      <c r="H10" s="50"/>
      <c r="J10" s="380"/>
      <c r="K10" s="382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3"/>
    </row>
    <row r="11" spans="2:23" s="60" customFormat="1" ht="30" customHeight="1">
      <c r="B11" s="24"/>
      <c r="C11" s="11" t="s">
        <v>352</v>
      </c>
      <c r="D11" s="11"/>
      <c r="E11" s="11"/>
      <c r="F11" s="11"/>
      <c r="G11" s="11"/>
      <c r="H11" s="59"/>
      <c r="J11" s="387"/>
      <c r="K11" s="388"/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9"/>
    </row>
    <row r="12" spans="2:23" s="60" customFormat="1" ht="30" customHeight="1">
      <c r="B12" s="24"/>
      <c r="C12" s="66"/>
      <c r="D12" s="66"/>
      <c r="E12" s="66"/>
      <c r="F12" s="66"/>
      <c r="G12" s="66"/>
      <c r="H12" s="59"/>
      <c r="J12" s="387"/>
      <c r="K12" s="388"/>
      <c r="L12" s="388"/>
      <c r="M12" s="388"/>
      <c r="N12" s="388"/>
      <c r="O12" s="388"/>
      <c r="P12" s="388"/>
      <c r="Q12" s="388"/>
      <c r="R12" s="388"/>
      <c r="S12" s="388"/>
      <c r="T12" s="388"/>
      <c r="U12" s="388"/>
      <c r="V12" s="388"/>
      <c r="W12" s="389"/>
    </row>
    <row r="13" spans="2:23" ht="22.95" customHeight="1">
      <c r="B13" s="48"/>
      <c r="C13" s="203"/>
      <c r="D13" s="204"/>
      <c r="E13" s="205" t="s">
        <v>280</v>
      </c>
      <c r="F13" s="205" t="s">
        <v>281</v>
      </c>
      <c r="G13" s="205" t="s">
        <v>282</v>
      </c>
      <c r="H13" s="50"/>
      <c r="J13" s="380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3"/>
    </row>
    <row r="14" spans="2:23" ht="22.95" customHeight="1">
      <c r="B14" s="48"/>
      <c r="C14" s="206" t="s">
        <v>492</v>
      </c>
      <c r="D14" s="68"/>
      <c r="E14" s="207">
        <f>ejercicio-2</f>
        <v>2016</v>
      </c>
      <c r="F14" s="207">
        <f>ejercicio-1</f>
        <v>2017</v>
      </c>
      <c r="G14" s="207">
        <f>ejercicio</f>
        <v>2018</v>
      </c>
      <c r="H14" s="50"/>
      <c r="J14" s="380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3"/>
    </row>
    <row r="15" spans="2:23" ht="22.95" customHeight="1">
      <c r="B15" s="48"/>
      <c r="C15" s="137"/>
      <c r="D15" s="86"/>
      <c r="E15" s="130"/>
      <c r="F15" s="130"/>
      <c r="G15" s="130"/>
      <c r="H15" s="50"/>
      <c r="J15" s="380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3"/>
    </row>
    <row r="16" spans="2:23" ht="22.95" customHeight="1">
      <c r="B16" s="48"/>
      <c r="C16" s="138" t="s">
        <v>183</v>
      </c>
      <c r="D16" s="84" t="s">
        <v>353</v>
      </c>
      <c r="E16" s="131">
        <f>E17+E35+E41</f>
        <v>112646459.72999999</v>
      </c>
      <c r="F16" s="131">
        <f>F17+F35+F41</f>
        <v>140371279.53</v>
      </c>
      <c r="G16" s="131">
        <f>G17+G35+G41</f>
        <v>150742924.41600001</v>
      </c>
      <c r="H16" s="50"/>
      <c r="J16" s="380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3"/>
    </row>
    <row r="17" spans="2:23" ht="22.95" customHeight="1">
      <c r="B17" s="48"/>
      <c r="C17" s="139" t="s">
        <v>233</v>
      </c>
      <c r="D17" s="70" t="s">
        <v>354</v>
      </c>
      <c r="E17" s="132">
        <f>+E18+E21+E22+E27+E28+E31+E32+E33+E34</f>
        <v>103082282.27</v>
      </c>
      <c r="F17" s="132">
        <f>+F18+F21+F22+F27+F28+F31+F32+F33+F34</f>
        <v>130438987.81</v>
      </c>
      <c r="G17" s="132">
        <f>+G18+G21+G22+G27+G28+G31+G32+G33+G34</f>
        <v>140523236.72600001</v>
      </c>
      <c r="H17" s="50"/>
      <c r="J17" s="380"/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3"/>
    </row>
    <row r="18" spans="2:23" ht="22.95" customHeight="1">
      <c r="B18" s="48"/>
      <c r="C18" s="139" t="s">
        <v>286</v>
      </c>
      <c r="D18" s="70" t="s">
        <v>355</v>
      </c>
      <c r="E18" s="132">
        <f>SUM(E19:E20)</f>
        <v>26816139.199999999</v>
      </c>
      <c r="F18" s="132">
        <f>SUM(F19:F20)</f>
        <v>51851034.600000001</v>
      </c>
      <c r="G18" s="132">
        <f>SUM(G19:G20)</f>
        <v>51851034.600000001</v>
      </c>
      <c r="H18" s="50"/>
      <c r="J18" s="380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3"/>
    </row>
    <row r="19" spans="2:23" ht="22.95" customHeight="1">
      <c r="B19" s="48"/>
      <c r="C19" s="140" t="s">
        <v>185</v>
      </c>
      <c r="D19" s="71" t="s">
        <v>356</v>
      </c>
      <c r="E19" s="420">
        <v>26816139.199999999</v>
      </c>
      <c r="F19" s="420">
        <v>51851034.600000001</v>
      </c>
      <c r="G19" s="420">
        <v>51851034.600000001</v>
      </c>
      <c r="H19" s="50"/>
      <c r="J19" s="380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3"/>
    </row>
    <row r="20" spans="2:23" ht="22.95" customHeight="1">
      <c r="B20" s="48"/>
      <c r="C20" s="141" t="s">
        <v>192</v>
      </c>
      <c r="D20" s="72" t="s">
        <v>357</v>
      </c>
      <c r="E20" s="421"/>
      <c r="F20" s="421"/>
      <c r="G20" s="421"/>
      <c r="H20" s="50"/>
      <c r="J20" s="380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3"/>
    </row>
    <row r="21" spans="2:23" ht="22.95" customHeight="1">
      <c r="B21" s="48"/>
      <c r="C21" s="139" t="s">
        <v>296</v>
      </c>
      <c r="D21" s="70" t="s">
        <v>358</v>
      </c>
      <c r="E21" s="422">
        <v>1608057.62</v>
      </c>
      <c r="F21" s="422">
        <v>1608057.62</v>
      </c>
      <c r="G21" s="422">
        <v>1608057.62</v>
      </c>
      <c r="H21" s="50"/>
      <c r="J21" s="380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3"/>
    </row>
    <row r="22" spans="2:23" ht="22.95" customHeight="1">
      <c r="B22" s="48"/>
      <c r="C22" s="139" t="s">
        <v>301</v>
      </c>
      <c r="D22" s="70" t="s">
        <v>359</v>
      </c>
      <c r="E22" s="132">
        <f>SUM(E23:E26)</f>
        <v>74691910.439999998</v>
      </c>
      <c r="F22" s="132">
        <f>SUM(F23:F26)</f>
        <v>75625273.180000007</v>
      </c>
      <c r="G22" s="132">
        <f>SUM(G23:G26)</f>
        <v>76982057.616000012</v>
      </c>
      <c r="H22" s="50"/>
      <c r="J22" s="380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3"/>
    </row>
    <row r="23" spans="2:23" ht="22.95" customHeight="1">
      <c r="B23" s="48"/>
      <c r="C23" s="140" t="s">
        <v>185</v>
      </c>
      <c r="D23" s="71" t="s">
        <v>360</v>
      </c>
      <c r="E23" s="420">
        <v>3079633.48</v>
      </c>
      <c r="F23" s="420">
        <v>3276467.18</v>
      </c>
      <c r="G23" s="420">
        <v>3412145.62</v>
      </c>
      <c r="H23" s="50"/>
      <c r="J23" s="380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3"/>
    </row>
    <row r="24" spans="2:23" ht="22.95" customHeight="1">
      <c r="B24" s="48"/>
      <c r="C24" s="141" t="s">
        <v>192</v>
      </c>
      <c r="D24" s="72" t="s">
        <v>361</v>
      </c>
      <c r="E24" s="421">
        <v>71612276.959999993</v>
      </c>
      <c r="F24" s="421">
        <v>72348806</v>
      </c>
      <c r="G24" s="421">
        <f>+F24+(F32*90%)</f>
        <v>73569911.996000007</v>
      </c>
      <c r="H24" s="50"/>
      <c r="J24" s="380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3"/>
    </row>
    <row r="25" spans="2:23" ht="22.95" customHeight="1">
      <c r="B25" s="48"/>
      <c r="C25" s="141" t="s">
        <v>194</v>
      </c>
      <c r="D25" s="72" t="s">
        <v>362</v>
      </c>
      <c r="E25" s="421"/>
      <c r="F25" s="421"/>
      <c r="G25" s="421"/>
      <c r="H25" s="50"/>
      <c r="J25" s="380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3"/>
    </row>
    <row r="26" spans="2:23" ht="22.95" customHeight="1">
      <c r="B26" s="48"/>
      <c r="C26" s="141" t="s">
        <v>196</v>
      </c>
      <c r="D26" s="72" t="s">
        <v>417</v>
      </c>
      <c r="E26" s="421"/>
      <c r="F26" s="421"/>
      <c r="G26" s="421"/>
      <c r="H26" s="50"/>
      <c r="J26" s="380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3"/>
    </row>
    <row r="27" spans="2:23" ht="22.95" customHeight="1">
      <c r="B27" s="48"/>
      <c r="C27" s="139" t="s">
        <v>305</v>
      </c>
      <c r="D27" s="70" t="s">
        <v>363</v>
      </c>
      <c r="E27" s="422">
        <v>-2000000</v>
      </c>
      <c r="F27" s="422"/>
      <c r="G27" s="422"/>
      <c r="H27" s="50"/>
      <c r="J27" s="380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3"/>
    </row>
    <row r="28" spans="2:23" ht="22.95" customHeight="1">
      <c r="B28" s="48"/>
      <c r="C28" s="139" t="s">
        <v>313</v>
      </c>
      <c r="D28" s="70" t="s">
        <v>364</v>
      </c>
      <c r="E28" s="132">
        <f>SUM(E29:E30)</f>
        <v>-2162.0300000000002</v>
      </c>
      <c r="F28" s="132">
        <f>SUM(F29:F30)</f>
        <v>-2162.0300000000002</v>
      </c>
      <c r="G28" s="132">
        <f>SUM(G29:G30)</f>
        <v>-2162.0300000000002</v>
      </c>
      <c r="H28" s="50"/>
      <c r="J28" s="380"/>
      <c r="K28" s="382"/>
      <c r="L28" s="382"/>
      <c r="M28" s="382"/>
      <c r="N28" s="382"/>
      <c r="O28" s="382"/>
      <c r="P28" s="382"/>
      <c r="Q28" s="382"/>
      <c r="R28" s="382"/>
      <c r="S28" s="382"/>
      <c r="T28" s="382"/>
      <c r="U28" s="382"/>
      <c r="V28" s="382"/>
      <c r="W28" s="383"/>
    </row>
    <row r="29" spans="2:23" ht="22.95" customHeight="1">
      <c r="B29" s="48"/>
      <c r="C29" s="140" t="s">
        <v>185</v>
      </c>
      <c r="D29" s="71" t="s">
        <v>365</v>
      </c>
      <c r="E29" s="420"/>
      <c r="F29" s="420"/>
      <c r="G29" s="420"/>
      <c r="H29" s="50"/>
      <c r="J29" s="380"/>
      <c r="K29" s="382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3"/>
    </row>
    <row r="30" spans="2:23" ht="22.95" customHeight="1">
      <c r="B30" s="48"/>
      <c r="C30" s="141" t="s">
        <v>192</v>
      </c>
      <c r="D30" s="72" t="s">
        <v>366</v>
      </c>
      <c r="E30" s="421">
        <v>-2162.0300000000002</v>
      </c>
      <c r="F30" s="421">
        <v>-2162.0300000000002</v>
      </c>
      <c r="G30" s="421">
        <v>-2162.0300000000002</v>
      </c>
      <c r="H30" s="50"/>
      <c r="J30" s="390"/>
      <c r="K30" s="391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2"/>
    </row>
    <row r="31" spans="2:23" ht="22.95" customHeight="1">
      <c r="B31" s="48"/>
      <c r="C31" s="139" t="s">
        <v>316</v>
      </c>
      <c r="D31" s="70" t="s">
        <v>367</v>
      </c>
      <c r="E31" s="422"/>
      <c r="F31" s="422"/>
      <c r="G31" s="422"/>
      <c r="H31" s="50"/>
      <c r="J31" s="390"/>
      <c r="K31" s="391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2"/>
    </row>
    <row r="32" spans="2:23" ht="22.95" customHeight="1">
      <c r="B32" s="48"/>
      <c r="C32" s="139" t="s">
        <v>318</v>
      </c>
      <c r="D32" s="70" t="s">
        <v>368</v>
      </c>
      <c r="E32" s="422">
        <v>1968337.04</v>
      </c>
      <c r="F32" s="422">
        <v>1356784.44</v>
      </c>
      <c r="G32" s="422">
        <v>10084248.92</v>
      </c>
      <c r="H32" s="50"/>
      <c r="J32" s="380"/>
      <c r="K32" s="382"/>
      <c r="L32" s="382"/>
      <c r="M32" s="382"/>
      <c r="N32" s="382"/>
      <c r="O32" s="382"/>
      <c r="P32" s="382"/>
      <c r="Q32" s="382"/>
      <c r="R32" s="382"/>
      <c r="S32" s="382"/>
      <c r="T32" s="382"/>
      <c r="U32" s="382"/>
      <c r="V32" s="382"/>
      <c r="W32" s="383"/>
    </row>
    <row r="33" spans="2:23" ht="22.95" customHeight="1">
      <c r="B33" s="48"/>
      <c r="C33" s="139" t="s">
        <v>369</v>
      </c>
      <c r="D33" s="70" t="s">
        <v>370</v>
      </c>
      <c r="E33" s="422"/>
      <c r="F33" s="422"/>
      <c r="G33" s="422"/>
      <c r="H33" s="50"/>
      <c r="J33" s="380"/>
      <c r="K33" s="382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3"/>
    </row>
    <row r="34" spans="2:23" ht="22.95" customHeight="1">
      <c r="B34" s="48"/>
      <c r="C34" s="139" t="s">
        <v>371</v>
      </c>
      <c r="D34" s="70" t="s">
        <v>372</v>
      </c>
      <c r="E34" s="422"/>
      <c r="F34" s="422"/>
      <c r="G34" s="422"/>
      <c r="H34" s="50"/>
      <c r="J34" s="380"/>
      <c r="K34" s="382"/>
      <c r="L34" s="382"/>
      <c r="M34" s="382"/>
      <c r="N34" s="382"/>
      <c r="O34" s="382"/>
      <c r="P34" s="382"/>
      <c r="Q34" s="382"/>
      <c r="R34" s="382"/>
      <c r="S34" s="382"/>
      <c r="T34" s="382"/>
      <c r="U34" s="382"/>
      <c r="V34" s="382"/>
      <c r="W34" s="383"/>
    </row>
    <row r="35" spans="2:23" ht="22.95" customHeight="1">
      <c r="B35" s="48"/>
      <c r="C35" s="139" t="s">
        <v>267</v>
      </c>
      <c r="D35" s="70" t="s">
        <v>373</v>
      </c>
      <c r="E35" s="132">
        <f>SUM(E36:E40)</f>
        <v>0</v>
      </c>
      <c r="F35" s="132">
        <f>SUM(F36:F40)</f>
        <v>0</v>
      </c>
      <c r="G35" s="132">
        <f>SUM(G36:G40)</f>
        <v>0</v>
      </c>
      <c r="H35" s="50"/>
      <c r="J35" s="380"/>
      <c r="K35" s="382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3"/>
    </row>
    <row r="36" spans="2:23" ht="22.95" customHeight="1">
      <c r="B36" s="48"/>
      <c r="C36" s="139" t="s">
        <v>286</v>
      </c>
      <c r="D36" s="70" t="s">
        <v>374</v>
      </c>
      <c r="E36" s="422"/>
      <c r="F36" s="422"/>
      <c r="G36" s="422"/>
      <c r="H36" s="50"/>
      <c r="J36" s="393"/>
      <c r="K36" s="394"/>
      <c r="L36" s="394"/>
      <c r="M36" s="394"/>
      <c r="N36" s="394"/>
      <c r="O36" s="394"/>
      <c r="P36" s="394"/>
      <c r="Q36" s="394"/>
      <c r="R36" s="394"/>
      <c r="S36" s="394"/>
      <c r="T36" s="394"/>
      <c r="U36" s="394"/>
      <c r="V36" s="394"/>
      <c r="W36" s="395"/>
    </row>
    <row r="37" spans="2:23" ht="22.95" customHeight="1">
      <c r="B37" s="48"/>
      <c r="C37" s="139" t="s">
        <v>296</v>
      </c>
      <c r="D37" s="70" t="s">
        <v>375</v>
      </c>
      <c r="E37" s="422"/>
      <c r="F37" s="422"/>
      <c r="G37" s="422"/>
      <c r="H37" s="50"/>
      <c r="J37" s="393"/>
      <c r="K37" s="394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5"/>
    </row>
    <row r="38" spans="2:23" ht="22.95" customHeight="1">
      <c r="B38" s="48"/>
      <c r="C38" s="139" t="s">
        <v>301</v>
      </c>
      <c r="D38" s="70" t="s">
        <v>376</v>
      </c>
      <c r="E38" s="422"/>
      <c r="F38" s="422"/>
      <c r="G38" s="422"/>
      <c r="H38" s="50"/>
      <c r="J38" s="393"/>
      <c r="K38" s="394"/>
      <c r="L38" s="394"/>
      <c r="M38" s="394"/>
      <c r="N38" s="394"/>
      <c r="O38" s="394"/>
      <c r="P38" s="394"/>
      <c r="Q38" s="394"/>
      <c r="R38" s="394"/>
      <c r="S38" s="394"/>
      <c r="T38" s="394"/>
      <c r="U38" s="394"/>
      <c r="V38" s="394"/>
      <c r="W38" s="395"/>
    </row>
    <row r="39" spans="2:23" ht="22.95" customHeight="1">
      <c r="B39" s="48"/>
      <c r="C39" s="139" t="s">
        <v>305</v>
      </c>
      <c r="D39" s="70" t="s">
        <v>377</v>
      </c>
      <c r="E39" s="422"/>
      <c r="F39" s="422"/>
      <c r="G39" s="422"/>
      <c r="H39" s="50"/>
      <c r="J39" s="393"/>
      <c r="K39" s="394"/>
      <c r="L39" s="394"/>
      <c r="M39" s="394"/>
      <c r="N39" s="394"/>
      <c r="O39" s="394"/>
      <c r="P39" s="394"/>
      <c r="Q39" s="394"/>
      <c r="R39" s="394"/>
      <c r="S39" s="394"/>
      <c r="T39" s="394"/>
      <c r="U39" s="394"/>
      <c r="V39" s="394"/>
      <c r="W39" s="395"/>
    </row>
    <row r="40" spans="2:23" ht="22.95" customHeight="1">
      <c r="B40" s="48"/>
      <c r="C40" s="139" t="s">
        <v>313</v>
      </c>
      <c r="D40" s="70" t="s">
        <v>378</v>
      </c>
      <c r="E40" s="422"/>
      <c r="F40" s="422"/>
      <c r="G40" s="422"/>
      <c r="H40" s="50"/>
      <c r="J40" s="393"/>
      <c r="K40" s="394"/>
      <c r="L40" s="394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5"/>
    </row>
    <row r="41" spans="2:23" ht="22.95" customHeight="1">
      <c r="B41" s="48"/>
      <c r="C41" s="139" t="s">
        <v>269</v>
      </c>
      <c r="D41" s="70" t="s">
        <v>379</v>
      </c>
      <c r="E41" s="422">
        <v>9564177.4600000009</v>
      </c>
      <c r="F41" s="422">
        <v>9932291.7200000007</v>
      </c>
      <c r="G41" s="422">
        <v>10219687.689999999</v>
      </c>
      <c r="H41" s="50"/>
      <c r="J41" s="393"/>
      <c r="K41" s="394"/>
      <c r="L41" s="394"/>
      <c r="M41" s="394"/>
      <c r="N41" s="394"/>
      <c r="O41" s="394"/>
      <c r="P41" s="394"/>
      <c r="Q41" s="394"/>
      <c r="R41" s="394"/>
      <c r="S41" s="394"/>
      <c r="T41" s="394"/>
      <c r="U41" s="394"/>
      <c r="V41" s="394"/>
      <c r="W41" s="395"/>
    </row>
    <row r="42" spans="2:23" ht="22.95" customHeight="1">
      <c r="B42" s="48"/>
      <c r="C42" s="142"/>
      <c r="D42" s="62"/>
      <c r="E42" s="135"/>
      <c r="F42" s="135"/>
      <c r="G42" s="135"/>
      <c r="H42" s="50"/>
      <c r="J42" s="393"/>
      <c r="K42" s="394"/>
      <c r="L42" s="394"/>
      <c r="M42" s="394"/>
      <c r="N42" s="394"/>
      <c r="O42" s="394"/>
      <c r="P42" s="394"/>
      <c r="Q42" s="394"/>
      <c r="R42" s="394"/>
      <c r="S42" s="394"/>
      <c r="T42" s="394"/>
      <c r="U42" s="394"/>
      <c r="V42" s="394"/>
      <c r="W42" s="395"/>
    </row>
    <row r="43" spans="2:23" ht="22.95" customHeight="1">
      <c r="B43" s="48"/>
      <c r="C43" s="138" t="s">
        <v>380</v>
      </c>
      <c r="D43" s="84" t="s">
        <v>381</v>
      </c>
      <c r="E43" s="131">
        <f>E44+E49+SUM(E55:E59)</f>
        <v>16693331.109999999</v>
      </c>
      <c r="F43" s="131">
        <f>F44+F49+SUM(F55:F59)</f>
        <v>13193692.609999999</v>
      </c>
      <c r="G43" s="131">
        <f>G44+G49+SUM(G55:G59)</f>
        <v>43209066.629999995</v>
      </c>
      <c r="H43" s="50"/>
      <c r="J43" s="393"/>
      <c r="K43" s="394"/>
      <c r="L43" s="394"/>
      <c r="M43" s="394"/>
      <c r="N43" s="394"/>
      <c r="O43" s="394"/>
      <c r="P43" s="394"/>
      <c r="Q43" s="394"/>
      <c r="R43" s="394"/>
      <c r="S43" s="394"/>
      <c r="T43" s="394"/>
      <c r="U43" s="394"/>
      <c r="V43" s="394"/>
      <c r="W43" s="395"/>
    </row>
    <row r="44" spans="2:23" ht="22.95" customHeight="1">
      <c r="B44" s="48"/>
      <c r="C44" s="139" t="s">
        <v>286</v>
      </c>
      <c r="D44" s="70" t="s">
        <v>382</v>
      </c>
      <c r="E44" s="132">
        <f>SUM(E45:E48)</f>
        <v>27686.080000000002</v>
      </c>
      <c r="F44" s="132">
        <f>SUM(F45:F48)</f>
        <v>28886.080000000002</v>
      </c>
      <c r="G44" s="132">
        <f>SUM(G45:G48)</f>
        <v>30086.080000000002</v>
      </c>
      <c r="H44" s="50"/>
      <c r="J44" s="393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5"/>
    </row>
    <row r="45" spans="2:23" ht="22.95" customHeight="1">
      <c r="B45" s="48"/>
      <c r="C45" s="140" t="s">
        <v>185</v>
      </c>
      <c r="D45" s="71" t="s">
        <v>383</v>
      </c>
      <c r="E45" s="420"/>
      <c r="F45" s="420"/>
      <c r="G45" s="420"/>
      <c r="H45" s="50"/>
      <c r="J45" s="393"/>
      <c r="K45" s="394"/>
      <c r="L45" s="394"/>
      <c r="M45" s="394"/>
      <c r="N45" s="394"/>
      <c r="O45" s="394"/>
      <c r="P45" s="394"/>
      <c r="Q45" s="394"/>
      <c r="R45" s="394"/>
      <c r="S45" s="394"/>
      <c r="T45" s="394"/>
      <c r="U45" s="394"/>
      <c r="V45" s="394"/>
      <c r="W45" s="395"/>
    </row>
    <row r="46" spans="2:23" ht="22.95" customHeight="1">
      <c r="B46" s="48"/>
      <c r="C46" s="141" t="s">
        <v>192</v>
      </c>
      <c r="D46" s="72" t="s">
        <v>384</v>
      </c>
      <c r="E46" s="421"/>
      <c r="F46" s="421"/>
      <c r="G46" s="421"/>
      <c r="H46" s="50"/>
      <c r="J46" s="393"/>
      <c r="K46" s="394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5"/>
    </row>
    <row r="47" spans="2:23" ht="22.95" customHeight="1">
      <c r="B47" s="48"/>
      <c r="C47" s="141" t="s">
        <v>194</v>
      </c>
      <c r="D47" s="72" t="s">
        <v>385</v>
      </c>
      <c r="E47" s="421"/>
      <c r="F47" s="421"/>
      <c r="G47" s="421"/>
      <c r="H47" s="50"/>
      <c r="J47" s="393"/>
      <c r="K47" s="394"/>
      <c r="L47" s="394"/>
      <c r="M47" s="394"/>
      <c r="N47" s="394"/>
      <c r="O47" s="394"/>
      <c r="P47" s="394"/>
      <c r="Q47" s="394"/>
      <c r="R47" s="394"/>
      <c r="S47" s="394"/>
      <c r="T47" s="394"/>
      <c r="U47" s="394"/>
      <c r="V47" s="394"/>
      <c r="W47" s="395"/>
    </row>
    <row r="48" spans="2:23" ht="22.95" customHeight="1">
      <c r="B48" s="48"/>
      <c r="C48" s="141" t="s">
        <v>196</v>
      </c>
      <c r="D48" s="72" t="s">
        <v>386</v>
      </c>
      <c r="E48" s="421">
        <v>27686.080000000002</v>
      </c>
      <c r="F48" s="421">
        <v>28886.080000000002</v>
      </c>
      <c r="G48" s="421">
        <v>30086.080000000002</v>
      </c>
      <c r="H48" s="50"/>
      <c r="J48" s="393"/>
      <c r="K48" s="394"/>
      <c r="L48" s="394"/>
      <c r="M48" s="394"/>
      <c r="N48" s="394"/>
      <c r="O48" s="394"/>
      <c r="P48" s="394"/>
      <c r="Q48" s="394"/>
      <c r="R48" s="394"/>
      <c r="S48" s="394"/>
      <c r="T48" s="394"/>
      <c r="U48" s="394"/>
      <c r="V48" s="394"/>
      <c r="W48" s="395"/>
    </row>
    <row r="49" spans="2:23" ht="22.95" customHeight="1">
      <c r="B49" s="48"/>
      <c r="C49" s="139" t="s">
        <v>296</v>
      </c>
      <c r="D49" s="70" t="s">
        <v>387</v>
      </c>
      <c r="E49" s="132">
        <f>SUM(E50:E54)</f>
        <v>13211653.25</v>
      </c>
      <c r="F49" s="132">
        <f>SUM(F50:F54)</f>
        <v>9615257.6899999995</v>
      </c>
      <c r="G49" s="132">
        <f>SUM(G50:G54)</f>
        <v>39559521.719999999</v>
      </c>
      <c r="H49" s="50"/>
      <c r="J49" s="393"/>
      <c r="K49" s="394"/>
      <c r="L49" s="394"/>
      <c r="M49" s="394"/>
      <c r="N49" s="394"/>
      <c r="O49" s="394"/>
      <c r="P49" s="394"/>
      <c r="Q49" s="394"/>
      <c r="R49" s="394"/>
      <c r="S49" s="394"/>
      <c r="T49" s="394"/>
      <c r="U49" s="394"/>
      <c r="V49" s="394"/>
      <c r="W49" s="395"/>
    </row>
    <row r="50" spans="2:23" ht="22.95" customHeight="1">
      <c r="B50" s="48"/>
      <c r="C50" s="140" t="s">
        <v>185</v>
      </c>
      <c r="D50" s="71" t="s">
        <v>388</v>
      </c>
      <c r="E50" s="420"/>
      <c r="F50" s="420"/>
      <c r="G50" s="420"/>
      <c r="H50" s="50"/>
      <c r="J50" s="393"/>
      <c r="K50" s="394"/>
      <c r="L50" s="394"/>
      <c r="M50" s="394"/>
      <c r="N50" s="394"/>
      <c r="O50" s="394"/>
      <c r="P50" s="394"/>
      <c r="Q50" s="394"/>
      <c r="R50" s="394"/>
      <c r="S50" s="394"/>
      <c r="T50" s="394"/>
      <c r="U50" s="394"/>
      <c r="V50" s="394"/>
      <c r="W50" s="395"/>
    </row>
    <row r="51" spans="2:23" s="75" customFormat="1" ht="22.95" customHeight="1">
      <c r="B51" s="24"/>
      <c r="C51" s="141" t="s">
        <v>192</v>
      </c>
      <c r="D51" s="72" t="s">
        <v>389</v>
      </c>
      <c r="E51" s="421">
        <v>10856920.68</v>
      </c>
      <c r="F51" s="421">
        <v>9459626.1600000001</v>
      </c>
      <c r="G51" s="421">
        <v>39511842.329999998</v>
      </c>
      <c r="H51" s="59"/>
      <c r="J51" s="393"/>
      <c r="K51" s="394"/>
      <c r="L51" s="394"/>
      <c r="M51" s="394"/>
      <c r="N51" s="394"/>
      <c r="O51" s="394"/>
      <c r="P51" s="394"/>
      <c r="Q51" s="394"/>
      <c r="R51" s="394"/>
      <c r="S51" s="394"/>
      <c r="T51" s="394"/>
      <c r="U51" s="394"/>
      <c r="V51" s="394"/>
      <c r="W51" s="395"/>
    </row>
    <row r="52" spans="2:23" ht="22.95" customHeight="1">
      <c r="B52" s="48"/>
      <c r="C52" s="141" t="s">
        <v>194</v>
      </c>
      <c r="D52" s="72" t="s">
        <v>390</v>
      </c>
      <c r="E52" s="421"/>
      <c r="F52" s="421"/>
      <c r="G52" s="421"/>
      <c r="H52" s="50"/>
      <c r="J52" s="393"/>
      <c r="K52" s="394"/>
      <c r="L52" s="394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5"/>
    </row>
    <row r="53" spans="2:23" ht="22.95" customHeight="1">
      <c r="B53" s="48"/>
      <c r="C53" s="141" t="s">
        <v>196</v>
      </c>
      <c r="D53" s="72" t="s">
        <v>310</v>
      </c>
      <c r="E53" s="421"/>
      <c r="F53" s="421"/>
      <c r="G53" s="421"/>
      <c r="H53" s="50"/>
      <c r="J53" s="393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5"/>
    </row>
    <row r="54" spans="2:23" ht="22.95" customHeight="1">
      <c r="B54" s="48"/>
      <c r="C54" s="141" t="s">
        <v>292</v>
      </c>
      <c r="D54" s="72" t="s">
        <v>391</v>
      </c>
      <c r="E54" s="421">
        <v>2354732.5699999998</v>
      </c>
      <c r="F54" s="421">
        <v>155631.53</v>
      </c>
      <c r="G54" s="421">
        <v>47679.39</v>
      </c>
      <c r="H54" s="50"/>
      <c r="J54" s="393"/>
      <c r="K54" s="394"/>
      <c r="L54" s="394"/>
      <c r="M54" s="394"/>
      <c r="N54" s="394"/>
      <c r="O54" s="394"/>
      <c r="P54" s="394"/>
      <c r="Q54" s="394"/>
      <c r="R54" s="394"/>
      <c r="S54" s="394"/>
      <c r="T54" s="394"/>
      <c r="U54" s="394"/>
      <c r="V54" s="394"/>
      <c r="W54" s="395"/>
    </row>
    <row r="55" spans="2:23" ht="22.95" customHeight="1">
      <c r="B55" s="48"/>
      <c r="C55" s="139" t="s">
        <v>301</v>
      </c>
      <c r="D55" s="70" t="s">
        <v>392</v>
      </c>
      <c r="E55" s="422"/>
      <c r="F55" s="422"/>
      <c r="G55" s="422"/>
      <c r="H55" s="50"/>
      <c r="J55" s="393"/>
      <c r="K55" s="394"/>
      <c r="L55" s="394"/>
      <c r="M55" s="394"/>
      <c r="N55" s="394"/>
      <c r="O55" s="394"/>
      <c r="P55" s="394"/>
      <c r="Q55" s="394"/>
      <c r="R55" s="394"/>
      <c r="S55" s="394"/>
      <c r="T55" s="394"/>
      <c r="U55" s="394"/>
      <c r="V55" s="394"/>
      <c r="W55" s="395"/>
    </row>
    <row r="56" spans="2:23" ht="22.95" customHeight="1">
      <c r="B56" s="48"/>
      <c r="C56" s="139" t="s">
        <v>305</v>
      </c>
      <c r="D56" s="70" t="s">
        <v>393</v>
      </c>
      <c r="E56" s="422">
        <v>3453991.78</v>
      </c>
      <c r="F56" s="422">
        <v>3549548.84</v>
      </c>
      <c r="G56" s="422">
        <v>3619458.83</v>
      </c>
      <c r="H56" s="50"/>
      <c r="J56" s="393"/>
      <c r="K56" s="394"/>
      <c r="L56" s="394"/>
      <c r="M56" s="394"/>
      <c r="N56" s="394"/>
      <c r="O56" s="394"/>
      <c r="P56" s="394"/>
      <c r="Q56" s="394"/>
      <c r="R56" s="394"/>
      <c r="S56" s="394"/>
      <c r="T56" s="394"/>
      <c r="U56" s="394"/>
      <c r="V56" s="394"/>
      <c r="W56" s="395"/>
    </row>
    <row r="57" spans="2:23" ht="22.95" customHeight="1">
      <c r="B57" s="48"/>
      <c r="C57" s="139" t="s">
        <v>313</v>
      </c>
      <c r="D57" s="70" t="s">
        <v>394</v>
      </c>
      <c r="E57" s="422"/>
      <c r="F57" s="422"/>
      <c r="G57" s="422"/>
      <c r="H57" s="50"/>
      <c r="J57" s="393"/>
      <c r="K57" s="394"/>
      <c r="L57" s="394"/>
      <c r="M57" s="394"/>
      <c r="N57" s="394"/>
      <c r="O57" s="394"/>
      <c r="P57" s="394"/>
      <c r="Q57" s="394"/>
      <c r="R57" s="394"/>
      <c r="S57" s="394"/>
      <c r="T57" s="394"/>
      <c r="U57" s="394"/>
      <c r="V57" s="394"/>
      <c r="W57" s="395"/>
    </row>
    <row r="58" spans="2:23" ht="22.95" customHeight="1">
      <c r="B58" s="48"/>
      <c r="C58" s="139" t="s">
        <v>316</v>
      </c>
      <c r="D58" s="70" t="s">
        <v>395</v>
      </c>
      <c r="E58" s="422"/>
      <c r="F58" s="422"/>
      <c r="G58" s="422"/>
      <c r="H58" s="50"/>
      <c r="J58" s="393"/>
      <c r="K58" s="394"/>
      <c r="L58" s="394"/>
      <c r="M58" s="394"/>
      <c r="N58" s="394"/>
      <c r="O58" s="394"/>
      <c r="P58" s="394"/>
      <c r="Q58" s="394"/>
      <c r="R58" s="394"/>
      <c r="S58" s="394"/>
      <c r="T58" s="394"/>
      <c r="U58" s="394"/>
      <c r="V58" s="394"/>
      <c r="W58" s="395"/>
    </row>
    <row r="59" spans="2:23" ht="22.95" customHeight="1">
      <c r="B59" s="48"/>
      <c r="C59" s="139" t="s">
        <v>318</v>
      </c>
      <c r="D59" s="70" t="s">
        <v>396</v>
      </c>
      <c r="E59" s="422"/>
      <c r="F59" s="422"/>
      <c r="G59" s="422"/>
      <c r="H59" s="50"/>
      <c r="J59" s="393"/>
      <c r="K59" s="394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5"/>
    </row>
    <row r="60" spans="2:23" ht="22.95" customHeight="1">
      <c r="B60" s="48"/>
      <c r="C60" s="143"/>
      <c r="D60" s="1"/>
      <c r="E60" s="135"/>
      <c r="F60" s="135"/>
      <c r="G60" s="135"/>
      <c r="H60" s="50"/>
      <c r="J60" s="393"/>
      <c r="K60" s="394"/>
      <c r="L60" s="394"/>
      <c r="M60" s="394"/>
      <c r="N60" s="394"/>
      <c r="O60" s="394"/>
      <c r="P60" s="394"/>
      <c r="Q60" s="394"/>
      <c r="R60" s="394"/>
      <c r="S60" s="394"/>
      <c r="T60" s="394"/>
      <c r="U60" s="394"/>
      <c r="V60" s="394"/>
      <c r="W60" s="395"/>
    </row>
    <row r="61" spans="2:23" ht="22.95" customHeight="1">
      <c r="B61" s="48"/>
      <c r="C61" s="138" t="s">
        <v>397</v>
      </c>
      <c r="D61" s="84" t="s">
        <v>398</v>
      </c>
      <c r="E61" s="131">
        <f>E62+E63+E66+E72+E73+E83+E84</f>
        <v>9960320.1799999997</v>
      </c>
      <c r="F61" s="131">
        <f>F62+F63+F66+F72+F73+F83+F84</f>
        <v>7316800.3599999994</v>
      </c>
      <c r="G61" s="131">
        <f>G62+G63+G66+G72+G73+G83+G84</f>
        <v>6753804.7600000007</v>
      </c>
      <c r="H61" s="50"/>
      <c r="J61" s="393"/>
      <c r="K61" s="394"/>
      <c r="L61" s="394"/>
      <c r="M61" s="394"/>
      <c r="N61" s="394"/>
      <c r="O61" s="394"/>
      <c r="P61" s="394"/>
      <c r="Q61" s="394"/>
      <c r="R61" s="394"/>
      <c r="S61" s="394"/>
      <c r="T61" s="394"/>
      <c r="U61" s="394"/>
      <c r="V61" s="394"/>
      <c r="W61" s="395"/>
    </row>
    <row r="62" spans="2:23" ht="22.95" customHeight="1">
      <c r="B62" s="48"/>
      <c r="C62" s="139" t="s">
        <v>286</v>
      </c>
      <c r="D62" s="70" t="s">
        <v>399</v>
      </c>
      <c r="E62" s="422"/>
      <c r="F62" s="422"/>
      <c r="G62" s="422"/>
      <c r="H62" s="50"/>
      <c r="J62" s="393"/>
      <c r="K62" s="394"/>
      <c r="L62" s="394"/>
      <c r="M62" s="394"/>
      <c r="N62" s="394"/>
      <c r="O62" s="394"/>
      <c r="P62" s="394"/>
      <c r="Q62" s="394"/>
      <c r="R62" s="394"/>
      <c r="S62" s="394"/>
      <c r="T62" s="394"/>
      <c r="U62" s="394"/>
      <c r="V62" s="394"/>
      <c r="W62" s="395"/>
    </row>
    <row r="63" spans="2:23" ht="22.95" customHeight="1">
      <c r="B63" s="48"/>
      <c r="C63" s="139" t="s">
        <v>296</v>
      </c>
      <c r="D63" s="70" t="s">
        <v>400</v>
      </c>
      <c r="E63" s="132">
        <f>SUM(E64:E65)</f>
        <v>0</v>
      </c>
      <c r="F63" s="132">
        <f>SUM(F64:F65)</f>
        <v>0</v>
      </c>
      <c r="G63" s="132">
        <f>SUM(G64:G65)</f>
        <v>0</v>
      </c>
      <c r="H63" s="50"/>
      <c r="J63" s="393"/>
      <c r="K63" s="394"/>
      <c r="L63" s="394"/>
      <c r="M63" s="394"/>
      <c r="N63" s="394"/>
      <c r="O63" s="394"/>
      <c r="P63" s="394"/>
      <c r="Q63" s="394"/>
      <c r="R63" s="394"/>
      <c r="S63" s="394"/>
      <c r="T63" s="394"/>
      <c r="U63" s="394"/>
      <c r="V63" s="394"/>
      <c r="W63" s="395"/>
    </row>
    <row r="64" spans="2:23" ht="22.95" customHeight="1">
      <c r="B64" s="48"/>
      <c r="C64" s="140" t="s">
        <v>185</v>
      </c>
      <c r="D64" s="71" t="s">
        <v>401</v>
      </c>
      <c r="E64" s="420"/>
      <c r="F64" s="420"/>
      <c r="G64" s="420"/>
      <c r="H64" s="50"/>
      <c r="J64" s="393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5"/>
    </row>
    <row r="65" spans="2:23" ht="22.95" customHeight="1">
      <c r="B65" s="48"/>
      <c r="C65" s="141" t="s">
        <v>192</v>
      </c>
      <c r="D65" s="72" t="s">
        <v>386</v>
      </c>
      <c r="E65" s="421"/>
      <c r="F65" s="421"/>
      <c r="G65" s="421"/>
      <c r="H65" s="50"/>
      <c r="J65" s="393"/>
      <c r="K65" s="394"/>
      <c r="L65" s="394"/>
      <c r="M65" s="394"/>
      <c r="N65" s="394"/>
      <c r="O65" s="394"/>
      <c r="P65" s="394"/>
      <c r="Q65" s="394"/>
      <c r="R65" s="394"/>
      <c r="S65" s="394"/>
      <c r="T65" s="394"/>
      <c r="U65" s="394"/>
      <c r="V65" s="394"/>
      <c r="W65" s="395"/>
    </row>
    <row r="66" spans="2:23" ht="22.95" customHeight="1">
      <c r="B66" s="48"/>
      <c r="C66" s="139" t="s">
        <v>301</v>
      </c>
      <c r="D66" s="70" t="s">
        <v>402</v>
      </c>
      <c r="E66" s="132">
        <f>SUM(E67:E71)</f>
        <v>5633559.5199999996</v>
      </c>
      <c r="F66" s="132">
        <f>SUM(F67:F71)</f>
        <v>3579065.51</v>
      </c>
      <c r="G66" s="132">
        <f>SUM(G67:G71)</f>
        <v>4806946.0900000008</v>
      </c>
      <c r="H66" s="50"/>
      <c r="J66" s="393"/>
      <c r="K66" s="394"/>
      <c r="L66" s="394"/>
      <c r="M66" s="394"/>
      <c r="N66" s="394"/>
      <c r="O66" s="394"/>
      <c r="P66" s="394"/>
      <c r="Q66" s="394"/>
      <c r="R66" s="394"/>
      <c r="S66" s="394"/>
      <c r="T66" s="394"/>
      <c r="U66" s="394"/>
      <c r="V66" s="394"/>
      <c r="W66" s="395"/>
    </row>
    <row r="67" spans="2:23" ht="22.95" customHeight="1">
      <c r="B67" s="48"/>
      <c r="C67" s="140" t="s">
        <v>185</v>
      </c>
      <c r="D67" s="71" t="s">
        <v>403</v>
      </c>
      <c r="E67" s="420"/>
      <c r="F67" s="420"/>
      <c r="G67" s="420"/>
      <c r="H67" s="50"/>
      <c r="J67" s="393"/>
      <c r="K67" s="394"/>
      <c r="L67" s="394"/>
      <c r="M67" s="394"/>
      <c r="N67" s="394"/>
      <c r="O67" s="394"/>
      <c r="P67" s="394"/>
      <c r="Q67" s="394"/>
      <c r="R67" s="394"/>
      <c r="S67" s="394"/>
      <c r="T67" s="394"/>
      <c r="U67" s="394"/>
      <c r="V67" s="394"/>
      <c r="W67" s="395"/>
    </row>
    <row r="68" spans="2:23" ht="22.95" customHeight="1">
      <c r="B68" s="48"/>
      <c r="C68" s="141" t="s">
        <v>192</v>
      </c>
      <c r="D68" s="72" t="s">
        <v>389</v>
      </c>
      <c r="E68" s="421">
        <v>2234913.89</v>
      </c>
      <c r="F68" s="421">
        <v>1395372.05</v>
      </c>
      <c r="G68" s="421">
        <v>4711750.2300000004</v>
      </c>
      <c r="H68" s="50"/>
      <c r="J68" s="393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5"/>
    </row>
    <row r="69" spans="2:23" ht="22.95" customHeight="1">
      <c r="B69" s="48"/>
      <c r="C69" s="141" t="s">
        <v>194</v>
      </c>
      <c r="D69" s="72" t="s">
        <v>390</v>
      </c>
      <c r="E69" s="421"/>
      <c r="F69" s="421"/>
      <c r="G69" s="421"/>
      <c r="H69" s="50"/>
      <c r="J69" s="393"/>
      <c r="K69" s="394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394"/>
      <c r="W69" s="395"/>
    </row>
    <row r="70" spans="2:23" ht="22.95" customHeight="1">
      <c r="B70" s="48"/>
      <c r="C70" s="141" t="s">
        <v>196</v>
      </c>
      <c r="D70" s="72" t="s">
        <v>310</v>
      </c>
      <c r="E70" s="421"/>
      <c r="F70" s="421"/>
      <c r="G70" s="421"/>
      <c r="H70" s="50"/>
      <c r="J70" s="393"/>
      <c r="K70" s="394"/>
      <c r="L70" s="394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5"/>
    </row>
    <row r="71" spans="2:23" ht="22.95" customHeight="1">
      <c r="B71" s="48"/>
      <c r="C71" s="141" t="s">
        <v>292</v>
      </c>
      <c r="D71" s="72" t="s">
        <v>391</v>
      </c>
      <c r="E71" s="421">
        <v>3398645.63</v>
      </c>
      <c r="F71" s="421">
        <v>2183693.46</v>
      </c>
      <c r="G71" s="421">
        <v>95195.86</v>
      </c>
      <c r="H71" s="50"/>
      <c r="J71" s="393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  <c r="W71" s="395"/>
    </row>
    <row r="72" spans="2:23" ht="22.95" customHeight="1">
      <c r="B72" s="48"/>
      <c r="C72" s="139" t="s">
        <v>305</v>
      </c>
      <c r="D72" s="70" t="s">
        <v>404</v>
      </c>
      <c r="E72" s="422">
        <v>949579.14</v>
      </c>
      <c r="F72" s="422">
        <v>614335.36</v>
      </c>
      <c r="G72" s="422">
        <v>84983.72</v>
      </c>
      <c r="H72" s="50"/>
      <c r="J72" s="393"/>
      <c r="K72" s="394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  <c r="W72" s="395"/>
    </row>
    <row r="73" spans="2:23" ht="22.95" customHeight="1">
      <c r="B73" s="48"/>
      <c r="C73" s="139" t="s">
        <v>313</v>
      </c>
      <c r="D73" s="70" t="s">
        <v>405</v>
      </c>
      <c r="E73" s="132">
        <f>E74+SUM(E77:E82)</f>
        <v>3072988.8200000003</v>
      </c>
      <c r="F73" s="132">
        <f>F74+SUM(F77:F82)</f>
        <v>2173198.25</v>
      </c>
      <c r="G73" s="132">
        <f>G74+SUM(G77:G82)</f>
        <v>1476998.25</v>
      </c>
      <c r="H73" s="50"/>
      <c r="J73" s="393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5"/>
    </row>
    <row r="74" spans="2:23" ht="22.95" customHeight="1">
      <c r="B74" s="48"/>
      <c r="C74" s="141" t="s">
        <v>185</v>
      </c>
      <c r="D74" s="72" t="s">
        <v>406</v>
      </c>
      <c r="E74" s="134">
        <f>SUM(E75:E76)</f>
        <v>24689.72</v>
      </c>
      <c r="F74" s="134">
        <f>SUM(F75:F76)</f>
        <v>0</v>
      </c>
      <c r="G74" s="134">
        <f>SUM(G75:G76)</f>
        <v>0</v>
      </c>
      <c r="H74" s="50"/>
      <c r="J74" s="393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5"/>
    </row>
    <row r="75" spans="2:23" ht="22.95" customHeight="1">
      <c r="B75" s="48"/>
      <c r="C75" s="144" t="s">
        <v>186</v>
      </c>
      <c r="D75" s="87" t="s">
        <v>407</v>
      </c>
      <c r="E75" s="429"/>
      <c r="F75" s="429"/>
      <c r="G75" s="429"/>
      <c r="H75" s="50"/>
      <c r="J75" s="393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5"/>
    </row>
    <row r="76" spans="2:23" ht="22.95" customHeight="1">
      <c r="B76" s="48"/>
      <c r="C76" s="144" t="s">
        <v>188</v>
      </c>
      <c r="D76" s="87" t="s">
        <v>408</v>
      </c>
      <c r="E76" s="429">
        <v>24689.72</v>
      </c>
      <c r="F76" s="429"/>
      <c r="G76" s="429"/>
      <c r="H76" s="50"/>
      <c r="J76" s="393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5"/>
    </row>
    <row r="77" spans="2:23" ht="22.95" customHeight="1">
      <c r="B77" s="48"/>
      <c r="C77" s="141" t="s">
        <v>192</v>
      </c>
      <c r="D77" s="72" t="s">
        <v>409</v>
      </c>
      <c r="E77" s="421"/>
      <c r="F77" s="421"/>
      <c r="G77" s="421"/>
      <c r="H77" s="50"/>
      <c r="J77" s="393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5"/>
    </row>
    <row r="78" spans="2:23" ht="22.95" customHeight="1">
      <c r="B78" s="48"/>
      <c r="C78" s="141" t="s">
        <v>194</v>
      </c>
      <c r="D78" s="72" t="s">
        <v>410</v>
      </c>
      <c r="E78" s="421">
        <v>2901590.14</v>
      </c>
      <c r="F78" s="421">
        <v>1929612.74</v>
      </c>
      <c r="G78" s="421">
        <v>1309612.74</v>
      </c>
      <c r="H78" s="50"/>
      <c r="J78" s="393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5"/>
    </row>
    <row r="79" spans="2:23" ht="22.95" customHeight="1">
      <c r="B79" s="48"/>
      <c r="C79" s="141" t="s">
        <v>196</v>
      </c>
      <c r="D79" s="72" t="s">
        <v>411</v>
      </c>
      <c r="E79" s="421">
        <v>3634.76</v>
      </c>
      <c r="F79" s="421">
        <v>3855.19</v>
      </c>
      <c r="G79" s="421">
        <v>2655.19</v>
      </c>
      <c r="H79" s="50"/>
      <c r="J79" s="393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5"/>
    </row>
    <row r="80" spans="2:23" ht="22.95" customHeight="1">
      <c r="B80" s="48"/>
      <c r="C80" s="141" t="s">
        <v>292</v>
      </c>
      <c r="D80" s="72" t="s">
        <v>412</v>
      </c>
      <c r="E80" s="421"/>
      <c r="F80" s="421"/>
      <c r="G80" s="421"/>
      <c r="H80" s="50"/>
      <c r="J80" s="393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5"/>
    </row>
    <row r="81" spans="2:23" ht="22.95" customHeight="1">
      <c r="B81" s="48"/>
      <c r="C81" s="141" t="s">
        <v>206</v>
      </c>
      <c r="D81" s="72" t="s">
        <v>413</v>
      </c>
      <c r="E81" s="421">
        <v>143074.20000000001</v>
      </c>
      <c r="F81" s="421">
        <v>239730.32</v>
      </c>
      <c r="G81" s="421">
        <v>164730.32</v>
      </c>
      <c r="H81" s="50"/>
      <c r="J81" s="393"/>
      <c r="K81" s="394"/>
      <c r="L81" s="394"/>
      <c r="M81" s="394"/>
      <c r="N81" s="394"/>
      <c r="O81" s="394"/>
      <c r="P81" s="394"/>
      <c r="Q81" s="394"/>
      <c r="R81" s="394"/>
      <c r="S81" s="394"/>
      <c r="T81" s="394"/>
      <c r="U81" s="394"/>
      <c r="V81" s="394"/>
      <c r="W81" s="395"/>
    </row>
    <row r="82" spans="2:23" ht="22.95" customHeight="1">
      <c r="B82" s="48"/>
      <c r="C82" s="141" t="s">
        <v>211</v>
      </c>
      <c r="D82" s="72" t="s">
        <v>414</v>
      </c>
      <c r="E82" s="421"/>
      <c r="F82" s="421"/>
      <c r="G82" s="421"/>
      <c r="H82" s="50"/>
      <c r="J82" s="393"/>
      <c r="K82" s="394"/>
      <c r="L82" s="394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5"/>
    </row>
    <row r="83" spans="2:23" ht="22.95" customHeight="1">
      <c r="B83" s="48"/>
      <c r="C83" s="139" t="s">
        <v>316</v>
      </c>
      <c r="D83" s="70" t="s">
        <v>342</v>
      </c>
      <c r="E83" s="422">
        <v>304192.7</v>
      </c>
      <c r="F83" s="422">
        <v>950201.24</v>
      </c>
      <c r="G83" s="422">
        <v>384876.7</v>
      </c>
      <c r="H83" s="50"/>
      <c r="J83" s="393"/>
      <c r="K83" s="394"/>
      <c r="L83" s="394"/>
      <c r="M83" s="394"/>
      <c r="N83" s="394"/>
      <c r="O83" s="394"/>
      <c r="P83" s="394"/>
      <c r="Q83" s="394"/>
      <c r="R83" s="394"/>
      <c r="S83" s="394"/>
      <c r="T83" s="394"/>
      <c r="U83" s="394"/>
      <c r="V83" s="394"/>
      <c r="W83" s="395"/>
    </row>
    <row r="84" spans="2:23" ht="22.95" customHeight="1">
      <c r="B84" s="48"/>
      <c r="C84" s="139" t="s">
        <v>318</v>
      </c>
      <c r="D84" s="70" t="s">
        <v>415</v>
      </c>
      <c r="E84" s="422"/>
      <c r="F84" s="422"/>
      <c r="G84" s="422"/>
      <c r="H84" s="50"/>
      <c r="J84" s="393"/>
      <c r="K84" s="394"/>
      <c r="L84" s="394"/>
      <c r="M84" s="394"/>
      <c r="N84" s="394"/>
      <c r="O84" s="394"/>
      <c r="P84" s="394"/>
      <c r="Q84" s="394"/>
      <c r="R84" s="394"/>
      <c r="S84" s="394"/>
      <c r="T84" s="394"/>
      <c r="U84" s="394"/>
      <c r="V84" s="394"/>
      <c r="W84" s="395"/>
    </row>
    <row r="85" spans="2:23" ht="22.95" customHeight="1">
      <c r="B85" s="48"/>
      <c r="C85" s="137"/>
      <c r="D85" s="86"/>
      <c r="E85" s="135"/>
      <c r="F85" s="135"/>
      <c r="G85" s="135"/>
      <c r="H85" s="50"/>
      <c r="J85" s="393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5"/>
    </row>
    <row r="86" spans="2:23" ht="22.95" customHeight="1" thickBot="1">
      <c r="B86" s="48"/>
      <c r="C86" s="145" t="s">
        <v>416</v>
      </c>
      <c r="D86" s="79"/>
      <c r="E86" s="136">
        <f>E16+E43+E61</f>
        <v>139300111.01999998</v>
      </c>
      <c r="F86" s="136">
        <f>F16+F43+F61</f>
        <v>160881772.5</v>
      </c>
      <c r="G86" s="136">
        <f>G16+G43+G61</f>
        <v>200705795.80599999</v>
      </c>
      <c r="H86" s="50"/>
      <c r="J86" s="393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5"/>
    </row>
    <row r="87" spans="2:23" ht="22.95" customHeight="1" thickBot="1">
      <c r="B87" s="52"/>
      <c r="C87" s="1003"/>
      <c r="D87" s="1003"/>
      <c r="E87" s="1003"/>
      <c r="F87" s="1003"/>
      <c r="G87" s="54"/>
      <c r="H87" s="55"/>
      <c r="J87" s="396"/>
      <c r="K87" s="397"/>
      <c r="L87" s="397"/>
      <c r="M87" s="397"/>
      <c r="N87" s="397"/>
      <c r="O87" s="397"/>
      <c r="P87" s="397"/>
      <c r="Q87" s="397"/>
      <c r="R87" s="397"/>
      <c r="S87" s="397"/>
      <c r="T87" s="397"/>
      <c r="U87" s="397"/>
      <c r="V87" s="397"/>
      <c r="W87" s="398"/>
    </row>
    <row r="88" spans="2:23" ht="22.95" customHeight="1">
      <c r="C88" s="44"/>
      <c r="D88" s="44"/>
      <c r="E88" s="44"/>
      <c r="F88" s="44"/>
      <c r="G88" s="44"/>
    </row>
    <row r="89" spans="2:23" ht="13.2">
      <c r="C89" s="37" t="s">
        <v>174</v>
      </c>
      <c r="D89" s="44"/>
      <c r="E89" s="44"/>
      <c r="F89" s="44"/>
      <c r="G89" s="41" t="s">
        <v>809</v>
      </c>
    </row>
    <row r="90" spans="2:23" ht="13.2">
      <c r="C90" s="38" t="s">
        <v>175</v>
      </c>
      <c r="D90" s="44"/>
      <c r="E90" s="44"/>
      <c r="F90" s="44"/>
      <c r="G90" s="44"/>
    </row>
    <row r="91" spans="2:23" ht="13.2">
      <c r="C91" s="38" t="s">
        <v>176</v>
      </c>
      <c r="D91" s="44"/>
      <c r="E91" s="44"/>
      <c r="F91" s="44"/>
      <c r="G91" s="44"/>
    </row>
    <row r="92" spans="2:23" ht="13.2">
      <c r="C92" s="38" t="s">
        <v>177</v>
      </c>
      <c r="D92" s="44"/>
      <c r="E92" s="44"/>
      <c r="F92" s="44"/>
      <c r="G92" s="44"/>
    </row>
    <row r="93" spans="2:23" ht="13.2">
      <c r="C93" s="38" t="s">
        <v>178</v>
      </c>
      <c r="D93" s="44"/>
      <c r="E93" s="44"/>
      <c r="F93" s="44"/>
      <c r="G93" s="44"/>
    </row>
    <row r="94" spans="2:23" ht="22.95" customHeight="1">
      <c r="C94" s="44"/>
      <c r="D94" s="44"/>
      <c r="E94" s="681" t="str">
        <f>IF(CHECK_LIST!J15&gt;0,"Revisa","")</f>
        <v/>
      </c>
      <c r="F94" s="681" t="str">
        <f>IF(CHECK_LIST!K15&gt;0,"Revisa","")</f>
        <v/>
      </c>
      <c r="G94" s="681" t="str">
        <f>IF(CHECK_LIST!L15&gt;0,"Revisa","")</f>
        <v/>
      </c>
    </row>
    <row r="95" spans="2:23" ht="22.95" customHeight="1">
      <c r="C95" s="44"/>
      <c r="D95" s="44"/>
      <c r="E95" s="44"/>
      <c r="F95" s="44"/>
      <c r="G95" s="44"/>
    </row>
    <row r="96" spans="2:23" ht="22.95" customHeight="1">
      <c r="C96" s="44"/>
      <c r="D96" s="44"/>
      <c r="E96" s="44"/>
      <c r="F96" s="44"/>
      <c r="G96" s="44"/>
    </row>
    <row r="97" spans="3:7" ht="22.95" customHeight="1">
      <c r="C97" s="44"/>
      <c r="D97" s="44"/>
      <c r="E97" s="44"/>
      <c r="F97" s="44"/>
      <c r="G97" s="44"/>
    </row>
    <row r="98" spans="3:7" ht="22.95" customHeight="1">
      <c r="F98" s="44"/>
      <c r="G98" s="44"/>
    </row>
  </sheetData>
  <sheetProtection password="E059" sheet="1" objects="1" scenarios="1"/>
  <mergeCells count="3">
    <mergeCell ref="G6:G7"/>
    <mergeCell ref="D9:G9"/>
    <mergeCell ref="C87:F87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28</vt:i4>
      </vt:variant>
    </vt:vector>
  </HeadingPairs>
  <TitlesOfParts>
    <vt:vector size="53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FC-5_EFE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'FC-5_EFE'!Área_de_impresión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Silvia Davara Arricivita</cp:lastModifiedBy>
  <cp:lastPrinted>2017-11-25T18:01:44Z</cp:lastPrinted>
  <dcterms:created xsi:type="dcterms:W3CDTF">2017-09-18T15:25:23Z</dcterms:created>
  <dcterms:modified xsi:type="dcterms:W3CDTF">2018-01-26T14:02:16Z</dcterms:modified>
</cp:coreProperties>
</file>