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0" windowWidth="23130" windowHeight="13050" tabRatio="807" firstSheet="2" activeTab="3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14" l="1"/>
  <c r="G91" i="9"/>
  <c r="F22" i="15"/>
  <c r="E78" i="14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2" i="9" s="1"/>
  <c r="E50" i="9" s="1"/>
  <c r="E94" i="9" s="1"/>
  <c r="E15" i="37" s="1"/>
  <c r="J15" i="37" s="1"/>
  <c r="E57" i="9"/>
  <c r="E60" i="9"/>
  <c r="E66" i="9"/>
  <c r="E65" i="9" s="1"/>
  <c r="E75" i="9"/>
  <c r="E82" i="9"/>
  <c r="E90" i="9"/>
  <c r="E63" i="14"/>
  <c r="E66" i="14"/>
  <c r="E74" i="14"/>
  <c r="E73" i="14" s="1"/>
  <c r="E61" i="14" s="1"/>
  <c r="E68" i="32"/>
  <c r="G50" i="18"/>
  <c r="G65" i="18"/>
  <c r="E24" i="31"/>
  <c r="G30" i="7"/>
  <c r="J39" i="25"/>
  <c r="J40" i="25"/>
  <c r="J41" i="25"/>
  <c r="J42" i="25"/>
  <c r="J43" i="25"/>
  <c r="J44" i="25"/>
  <c r="J45" i="25"/>
  <c r="F31" i="25" s="1"/>
  <c r="G38" i="37" s="1"/>
  <c r="L38" i="37" s="1"/>
  <c r="M38" i="37" s="1"/>
  <c r="F53" i="25"/>
  <c r="J51" i="17"/>
  <c r="J58" i="17" s="1"/>
  <c r="G31" i="37" s="1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34" i="17"/>
  <c r="G29" i="37" s="1"/>
  <c r="J42" i="17"/>
  <c r="J49" i="17" s="1"/>
  <c r="G30" i="37" s="1"/>
  <c r="J43" i="17"/>
  <c r="J44" i="17"/>
  <c r="J45" i="17"/>
  <c r="J46" i="17"/>
  <c r="J47" i="17"/>
  <c r="J48" i="17"/>
  <c r="J18" i="17"/>
  <c r="J19" i="17"/>
  <c r="J25" i="17" s="1"/>
  <c r="G28" i="37" s="1"/>
  <c r="J20" i="17"/>
  <c r="J21" i="17"/>
  <c r="J22" i="17"/>
  <c r="J23" i="17"/>
  <c r="J24" i="17"/>
  <c r="G30" i="9"/>
  <c r="M18" i="15"/>
  <c r="E29" i="15"/>
  <c r="M29" i="15"/>
  <c r="M19" i="15"/>
  <c r="E30" i="15" s="1"/>
  <c r="M30" i="15" s="1"/>
  <c r="G75" i="9"/>
  <c r="G82" i="9"/>
  <c r="G54" i="9"/>
  <c r="G52" i="9" s="1"/>
  <c r="G50" i="9" s="1"/>
  <c r="G57" i="9"/>
  <c r="G60" i="9"/>
  <c r="G66" i="9"/>
  <c r="G65" i="9"/>
  <c r="G90" i="9"/>
  <c r="F54" i="9"/>
  <c r="F52" i="9" s="1"/>
  <c r="F57" i="9"/>
  <c r="F60" i="9"/>
  <c r="F66" i="9"/>
  <c r="F65" i="9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 s="1"/>
  <c r="L37" i="37" s="1"/>
  <c r="M37" i="37" s="1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2" i="23" s="1"/>
  <c r="G36" i="37" s="1"/>
  <c r="L36" i="37" s="1"/>
  <c r="Q40" i="23"/>
  <c r="Q41" i="23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55" i="36"/>
  <c r="E40" i="33" s="1"/>
  <c r="G85" i="36"/>
  <c r="E42" i="33" s="1"/>
  <c r="E39" i="34" s="1"/>
  <c r="E42" i="32" s="1"/>
  <c r="G84" i="36"/>
  <c r="J14" i="38"/>
  <c r="J15" i="38"/>
  <c r="J16" i="38"/>
  <c r="J17" i="38"/>
  <c r="J44" i="38" s="1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16" i="9" s="1"/>
  <c r="G26" i="9"/>
  <c r="G18" i="14"/>
  <c r="G17" i="14" s="1"/>
  <c r="G16" i="14" s="1"/>
  <c r="G86" i="14" s="1"/>
  <c r="G22" i="14"/>
  <c r="G28" i="14"/>
  <c r="G35" i="14"/>
  <c r="G44" i="14"/>
  <c r="G49" i="14"/>
  <c r="G43" i="14"/>
  <c r="G63" i="14"/>
  <c r="G66" i="14"/>
  <c r="G74" i="14"/>
  <c r="G73" i="14"/>
  <c r="G61" i="14"/>
  <c r="E17" i="9"/>
  <c r="E16" i="9" s="1"/>
  <c r="E26" i="9"/>
  <c r="E30" i="9"/>
  <c r="E33" i="9"/>
  <c r="E40" i="9"/>
  <c r="E18" i="14"/>
  <c r="E17" i="14" s="1"/>
  <c r="E16" i="14" s="1"/>
  <c r="E86" i="14" s="1"/>
  <c r="E22" i="14"/>
  <c r="E28" i="14"/>
  <c r="E35" i="14"/>
  <c r="E44" i="14"/>
  <c r="E49" i="14"/>
  <c r="E43" i="14"/>
  <c r="F17" i="9"/>
  <c r="F22" i="37" s="1"/>
  <c r="K22" i="37" s="1"/>
  <c r="F26" i="9"/>
  <c r="F23" i="37" s="1"/>
  <c r="K23" i="37" s="1"/>
  <c r="F30" i="9"/>
  <c r="F24" i="37" s="1"/>
  <c r="K24" i="37" s="1"/>
  <c r="F33" i="9"/>
  <c r="F40" i="9"/>
  <c r="F16" i="9"/>
  <c r="F18" i="14"/>
  <c r="F22" i="14"/>
  <c r="F17" i="14" s="1"/>
  <c r="F16" i="14" s="1"/>
  <c r="F28" i="14"/>
  <c r="F35" i="14"/>
  <c r="F44" i="14"/>
  <c r="F43" i="14" s="1"/>
  <c r="F49" i="14"/>
  <c r="F63" i="14"/>
  <c r="F66" i="14"/>
  <c r="F74" i="14"/>
  <c r="F73" i="14" s="1"/>
  <c r="E55" i="36"/>
  <c r="E47" i="36"/>
  <c r="E18" i="37" s="1"/>
  <c r="J18" i="37" s="1"/>
  <c r="K32" i="36"/>
  <c r="K36" i="36"/>
  <c r="K31" i="36"/>
  <c r="K30" i="36" s="1"/>
  <c r="E18" i="31"/>
  <c r="G16" i="7"/>
  <c r="G27" i="7"/>
  <c r="G34" i="7"/>
  <c r="G43" i="7"/>
  <c r="G49" i="7"/>
  <c r="G59" i="7"/>
  <c r="G52" i="7"/>
  <c r="G55" i="7"/>
  <c r="E20" i="33" s="1"/>
  <c r="E20" i="34" s="1"/>
  <c r="E20" i="32" s="1"/>
  <c r="G51" i="7"/>
  <c r="G63" i="7"/>
  <c r="G67" i="7"/>
  <c r="G70" i="7"/>
  <c r="E41" i="33" s="1"/>
  <c r="E38" i="34" s="1"/>
  <c r="E41" i="32" s="1"/>
  <c r="G74" i="7"/>
  <c r="G76" i="7" s="1"/>
  <c r="G79" i="7" s="1"/>
  <c r="G84" i="7" s="1"/>
  <c r="E18" i="33"/>
  <c r="E18" i="34" s="1"/>
  <c r="E19" i="33"/>
  <c r="E25" i="33"/>
  <c r="E29" i="33"/>
  <c r="E33" i="33"/>
  <c r="E39" i="33"/>
  <c r="E47" i="33"/>
  <c r="E51" i="33"/>
  <c r="E55" i="33"/>
  <c r="F19" i="20"/>
  <c r="M42" i="23"/>
  <c r="K36" i="37"/>
  <c r="F65" i="18"/>
  <c r="F35" i="37"/>
  <c r="K35" i="37"/>
  <c r="G35" i="37"/>
  <c r="L35" i="37" s="1"/>
  <c r="G34" i="37"/>
  <c r="L34" i="37" s="1"/>
  <c r="F50" i="18"/>
  <c r="F34" i="37"/>
  <c r="K34" i="37"/>
  <c r="G30" i="18"/>
  <c r="G35" i="18"/>
  <c r="G32" i="37"/>
  <c r="L32" i="37" s="1"/>
  <c r="F30" i="18"/>
  <c r="F35" i="18"/>
  <c r="F32" i="37"/>
  <c r="K32" i="37" s="1"/>
  <c r="M32" i="37" s="1"/>
  <c r="I31" i="15"/>
  <c r="G26" i="37"/>
  <c r="L26" i="37" s="1"/>
  <c r="I20" i="15"/>
  <c r="F26" i="37"/>
  <c r="K26" i="37"/>
  <c r="M22" i="15"/>
  <c r="E33" i="15"/>
  <c r="M33" i="15" s="1"/>
  <c r="G25" i="37" s="1"/>
  <c r="L25" i="37" s="1"/>
  <c r="M17" i="15"/>
  <c r="E28" i="15"/>
  <c r="M28" i="15"/>
  <c r="M16" i="15"/>
  <c r="E27" i="15" s="1"/>
  <c r="M27" i="15" s="1"/>
  <c r="G23" i="37" s="1"/>
  <c r="L23" i="37" s="1"/>
  <c r="M15" i="15"/>
  <c r="E26" i="15" s="1"/>
  <c r="L21" i="37"/>
  <c r="M21" i="37" s="1"/>
  <c r="G75" i="36"/>
  <c r="G20" i="37"/>
  <c r="L20" i="37" s="1"/>
  <c r="F75" i="36"/>
  <c r="F20" i="37"/>
  <c r="K20" i="37"/>
  <c r="E75" i="36"/>
  <c r="E20" i="37" s="1"/>
  <c r="J20" i="37" s="1"/>
  <c r="M20" i="37" s="1"/>
  <c r="G71" i="36"/>
  <c r="G19" i="37" s="1"/>
  <c r="L19" i="37" s="1"/>
  <c r="E71" i="36"/>
  <c r="E19" i="37" s="1"/>
  <c r="J19" i="37" s="1"/>
  <c r="F71" i="36"/>
  <c r="F19" i="37"/>
  <c r="K19" i="37" s="1"/>
  <c r="G47" i="36"/>
  <c r="E27" i="29" s="1"/>
  <c r="G18" i="37"/>
  <c r="L18" i="37" s="1"/>
  <c r="F47" i="36"/>
  <c r="F18" i="37" s="1"/>
  <c r="K18" i="37" s="1"/>
  <c r="F55" i="36"/>
  <c r="K16" i="36"/>
  <c r="K20" i="36"/>
  <c r="K25" i="36"/>
  <c r="K19" i="36"/>
  <c r="K40" i="36"/>
  <c r="E16" i="7"/>
  <c r="E16" i="36"/>
  <c r="E20" i="36"/>
  <c r="E19" i="36" s="1"/>
  <c r="E43" i="36" s="1"/>
  <c r="E17" i="37" s="1"/>
  <c r="J17" i="37" s="1"/>
  <c r="E25" i="36"/>
  <c r="E32" i="36"/>
  <c r="E31" i="36" s="1"/>
  <c r="E30" i="36" s="1"/>
  <c r="E36" i="36"/>
  <c r="E40" i="36"/>
  <c r="F16" i="7"/>
  <c r="H16" i="36"/>
  <c r="H20" i="36"/>
  <c r="H25" i="36"/>
  <c r="H19" i="36"/>
  <c r="H32" i="36"/>
  <c r="H31" i="36" s="1"/>
  <c r="H30" i="36" s="1"/>
  <c r="H36" i="36"/>
  <c r="H40" i="36"/>
  <c r="E52" i="7"/>
  <c r="E55" i="7"/>
  <c r="E51" i="7"/>
  <c r="E59" i="7"/>
  <c r="E63" i="7"/>
  <c r="E67" i="7"/>
  <c r="E70" i="7"/>
  <c r="E74" i="7"/>
  <c r="E22" i="7"/>
  <c r="E49" i="7" s="1"/>
  <c r="E27" i="7"/>
  <c r="E30" i="7"/>
  <c r="E34" i="7"/>
  <c r="E43" i="7"/>
  <c r="F27" i="7"/>
  <c r="F22" i="7"/>
  <c r="F30" i="7"/>
  <c r="F34" i="7"/>
  <c r="F43" i="7"/>
  <c r="F52" i="7"/>
  <c r="F55" i="7"/>
  <c r="F51" i="7"/>
  <c r="F74" i="7" s="1"/>
  <c r="F59" i="7"/>
  <c r="F63" i="7"/>
  <c r="F67" i="7"/>
  <c r="F70" i="7"/>
  <c r="L16" i="36"/>
  <c r="L20" i="36"/>
  <c r="L19" i="36" s="1"/>
  <c r="L25" i="36"/>
  <c r="L32" i="36"/>
  <c r="L31" i="36" s="1"/>
  <c r="L30" i="36" s="1"/>
  <c r="L36" i="36"/>
  <c r="L40" i="36"/>
  <c r="I16" i="36"/>
  <c r="I43" i="36" s="1"/>
  <c r="I20" i="36"/>
  <c r="I25" i="36"/>
  <c r="I19" i="36"/>
  <c r="I32" i="36"/>
  <c r="I36" i="36"/>
  <c r="I31" i="36"/>
  <c r="I30" i="36" s="1"/>
  <c r="I40" i="36"/>
  <c r="F16" i="36"/>
  <c r="F20" i="36"/>
  <c r="F19" i="36" s="1"/>
  <c r="F43" i="36" s="1"/>
  <c r="F25" i="36"/>
  <c r="F32" i="36"/>
  <c r="F31" i="36" s="1"/>
  <c r="F30" i="36" s="1"/>
  <c r="F36" i="36"/>
  <c r="F40" i="36"/>
  <c r="E40" i="29"/>
  <c r="H31" i="15"/>
  <c r="K31" i="15"/>
  <c r="E23" i="34" s="1"/>
  <c r="E39" i="29"/>
  <c r="E38" i="29"/>
  <c r="E37" i="29"/>
  <c r="E34" i="29"/>
  <c r="E36" i="29"/>
  <c r="E25" i="29"/>
  <c r="E35" i="29"/>
  <c r="E33" i="29"/>
  <c r="E32" i="29"/>
  <c r="E31" i="29" s="1"/>
  <c r="E21" i="29"/>
  <c r="E22" i="29"/>
  <c r="E23" i="29"/>
  <c r="E24" i="29"/>
  <c r="E26" i="29"/>
  <c r="G79" i="18"/>
  <c r="E28" i="29"/>
  <c r="E29" i="29"/>
  <c r="E17" i="31"/>
  <c r="E16" i="31"/>
  <c r="E25" i="31"/>
  <c r="E26" i="31"/>
  <c r="E23" i="31"/>
  <c r="E21" i="31"/>
  <c r="E28" i="31"/>
  <c r="E33" i="31" s="1"/>
  <c r="E28" i="34"/>
  <c r="E28" i="32" s="1"/>
  <c r="N42" i="23"/>
  <c r="E47" i="34"/>
  <c r="E50" i="32"/>
  <c r="E70" i="32"/>
  <c r="G31" i="15"/>
  <c r="E63" i="32"/>
  <c r="E64" i="32"/>
  <c r="J31" i="15"/>
  <c r="E65" i="32" s="1"/>
  <c r="L31" i="15"/>
  <c r="E66" i="32"/>
  <c r="I25" i="17"/>
  <c r="I34" i="17"/>
  <c r="E67" i="32" s="1"/>
  <c r="I49" i="17"/>
  <c r="I58" i="17"/>
  <c r="E19" i="34"/>
  <c r="E19" i="32" s="1"/>
  <c r="E16" i="32"/>
  <c r="E17" i="32"/>
  <c r="E24" i="34"/>
  <c r="E24" i="32"/>
  <c r="H25" i="17"/>
  <c r="H34" i="17"/>
  <c r="H49" i="17"/>
  <c r="H58" i="17"/>
  <c r="E27" i="34"/>
  <c r="E29" i="34" s="1"/>
  <c r="E33" i="32"/>
  <c r="E36" i="34"/>
  <c r="E42" i="34"/>
  <c r="E45" i="32"/>
  <c r="E47" i="32" s="1"/>
  <c r="E46" i="32"/>
  <c r="G25" i="17"/>
  <c r="G34" i="17"/>
  <c r="E46" i="34" s="1"/>
  <c r="G49" i="17"/>
  <c r="G58" i="17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44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F25" i="31" l="1"/>
  <c r="K43" i="36"/>
  <c r="G17" i="37" s="1"/>
  <c r="L17" i="37" s="1"/>
  <c r="E18" i="32"/>
  <c r="E21" i="32" s="1"/>
  <c r="E31" i="32" s="1"/>
  <c r="E35" i="32" s="1"/>
  <c r="E59" i="32" s="1"/>
  <c r="E21" i="34"/>
  <c r="E31" i="34" s="1"/>
  <c r="E71" i="32"/>
  <c r="G94" i="9"/>
  <c r="G15" i="37" s="1"/>
  <c r="L15" i="37" s="1"/>
  <c r="G94" i="14" s="1"/>
  <c r="E40" i="34"/>
  <c r="E62" i="32"/>
  <c r="F16" i="31"/>
  <c r="M34" i="37"/>
  <c r="G16" i="37"/>
  <c r="L16" i="37" s="1"/>
  <c r="F61" i="14"/>
  <c r="M23" i="37"/>
  <c r="E20" i="29"/>
  <c r="E45" i="29" s="1"/>
  <c r="H43" i="36"/>
  <c r="F17" i="37" s="1"/>
  <c r="K17" i="37" s="1"/>
  <c r="M17" i="37" s="1"/>
  <c r="M19" i="37"/>
  <c r="M26" i="37"/>
  <c r="M35" i="37"/>
  <c r="M18" i="37"/>
  <c r="F25" i="37"/>
  <c r="K25" i="37" s="1"/>
  <c r="M25" i="37" s="1"/>
  <c r="F50" i="9"/>
  <c r="F94" i="9" s="1"/>
  <c r="F86" i="14"/>
  <c r="E37" i="34"/>
  <c r="E40" i="32" s="1"/>
  <c r="E43" i="33"/>
  <c r="E53" i="33" s="1"/>
  <c r="E57" i="33" s="1"/>
  <c r="G24" i="37"/>
  <c r="L24" i="37" s="1"/>
  <c r="M24" i="37" s="1"/>
  <c r="E94" i="14"/>
  <c r="F30" i="31"/>
  <c r="F19" i="31"/>
  <c r="F33" i="31"/>
  <c r="F29" i="31"/>
  <c r="F24" i="31"/>
  <c r="F18" i="31"/>
  <c r="F28" i="31"/>
  <c r="F23" i="31"/>
  <c r="F17" i="31"/>
  <c r="F31" i="31"/>
  <c r="F26" i="31"/>
  <c r="E76" i="7"/>
  <c r="E79" i="7" s="1"/>
  <c r="E84" i="7" s="1"/>
  <c r="E16" i="37" s="1"/>
  <c r="J16" i="37" s="1"/>
  <c r="E31" i="15"/>
  <c r="M26" i="15"/>
  <c r="E49" i="32"/>
  <c r="E51" i="32" s="1"/>
  <c r="E48" i="34"/>
  <c r="E23" i="32"/>
  <c r="E25" i="32" s="1"/>
  <c r="E25" i="34"/>
  <c r="F21" i="31"/>
  <c r="L43" i="36"/>
  <c r="M36" i="37"/>
  <c r="E39" i="32"/>
  <c r="E43" i="32" s="1"/>
  <c r="E53" i="32" s="1"/>
  <c r="E57" i="32" s="1"/>
  <c r="E27" i="32"/>
  <c r="E29" i="32" s="1"/>
  <c r="F49" i="7"/>
  <c r="F76" i="7" s="1"/>
  <c r="F79" i="7" s="1"/>
  <c r="F84" i="7" s="1"/>
  <c r="F16" i="37" s="1"/>
  <c r="K16" i="37" s="1"/>
  <c r="E21" i="33"/>
  <c r="E31" i="33" s="1"/>
  <c r="E35" i="33" s="1"/>
  <c r="E61" i="32" l="1"/>
  <c r="E73" i="32" s="1"/>
  <c r="F15" i="37"/>
  <c r="K15" i="37" s="1"/>
  <c r="E50" i="34"/>
  <c r="E69" i="32"/>
  <c r="E59" i="33"/>
  <c r="G40" i="37" s="1"/>
  <c r="L40" i="37" s="1"/>
  <c r="M40" i="37" s="1"/>
  <c r="M31" i="15"/>
  <c r="G22" i="37"/>
  <c r="L22" i="37" s="1"/>
  <c r="M22" i="37" s="1"/>
  <c r="M16" i="37"/>
  <c r="F94" i="14" l="1"/>
  <c r="M15" i="37"/>
</calcChain>
</file>

<file path=xl/sharedStrings.xml><?xml version="1.0" encoding="utf-8"?>
<sst xmlns="http://schemas.openxmlformats.org/spreadsheetml/2006/main" count="1591" uniqueCount="838">
  <si>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</si>
  <si>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</si>
  <si>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</si>
  <si>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</si>
  <si>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</si>
  <si>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</si>
  <si>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</si>
  <si>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</si>
  <si>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</si>
  <si>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</si>
  <si>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</si>
  <si>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</si>
  <si>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</si>
  <si>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</si>
  <si>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</si>
  <si>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</si>
  <si>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</si>
  <si>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</si>
  <si>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</si>
  <si>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</si>
  <si>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</si>
  <si>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</si>
  <si>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</si>
  <si>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</si>
  <si>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</si>
  <si>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</si>
  <si>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</si>
  <si>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</si>
  <si>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</si>
  <si>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</si>
  <si>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</si>
  <si>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</si>
  <si>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</si>
  <si>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</si>
  <si>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</si>
  <si>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</si>
  <si>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</si>
  <si>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</si>
  <si>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</si>
  <si>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</si>
  <si>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</si>
  <si>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</si>
  <si>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</si>
  <si>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</si>
  <si>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</si>
  <si>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</si>
  <si>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</si>
  <si>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</si>
  <si>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</si>
  <si>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</si>
  <si>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</si>
  <si>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</si>
  <si>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</si>
  <si>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</si>
  <si>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</si>
  <si>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</si>
  <si>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</si>
  <si>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</si>
  <si>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</si>
  <si>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</si>
  <si>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</si>
  <si>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</si>
  <si>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</si>
  <si>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</si>
  <si>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</si>
  <si>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</si>
  <si>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</si>
  <si>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</si>
  <si>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</si>
  <si>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</si>
  <si>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</si>
  <si>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</si>
  <si>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</si>
  <si>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</si>
  <si>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</si>
  <si>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</si>
  <si>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</si>
  <si>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</si>
  <si>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</si>
  <si>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</si>
  <si>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</si>
  <si>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</si>
  <si>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</si>
  <si>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</si>
  <si>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</si>
  <si>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</si>
  <si>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</si>
  <si>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</si>
  <si>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</si>
  <si>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</si>
  <si>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</si>
  <si>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</si>
  <si>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</si>
  <si>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</si>
  <si>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</si>
  <si>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</si>
  <si>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</si>
  <si>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</si>
  <si>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</si>
  <si>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</si>
  <si>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</si>
  <si>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</si>
  <si>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</si>
  <si>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</si>
  <si>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</si>
  <si>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</si>
  <si>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</si>
  <si>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</si>
  <si>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</si>
  <si>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</si>
  <si>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</si>
  <si>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</si>
  <si>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</si>
  <si>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</si>
  <si>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</si>
  <si>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</si>
  <si>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</si>
  <si>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</si>
  <si>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</si>
  <si>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</si>
  <si>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</si>
  <si>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</si>
  <si>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</si>
  <si>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</si>
  <si>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</si>
  <si>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</si>
  <si>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</si>
  <si>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</si>
  <si>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</si>
  <si>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</si>
  <si>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</si>
  <si>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</si>
  <si>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</si>
  <si>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</si>
  <si>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</si>
  <si>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</si>
  <si>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</si>
  <si>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</si>
  <si>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</si>
  <si>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</si>
  <si>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</si>
  <si>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</si>
  <si>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</si>
  <si>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</si>
  <si>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</si>
  <si>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</si>
  <si>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</si>
  <si>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</si>
  <si>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</si>
  <si>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</si>
  <si>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</si>
  <si>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</si>
  <si>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</si>
  <si>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</si>
  <si>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</si>
  <si>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</si>
  <si>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</si>
  <si>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</si>
  <si>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</si>
  <si>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</si>
  <si>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</si>
  <si>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</si>
  <si>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</si>
  <si>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</si>
  <si>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</si>
  <si>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</si>
  <si>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</si>
  <si>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</si>
  <si>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</si>
  <si>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</si>
  <si>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</si>
  <si>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</si>
  <si>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</si>
  <si>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</si>
  <si>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</si>
  <si>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</si>
  <si>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</si>
  <si>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</si>
  <si>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</si>
  <si>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</si>
  <si>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</si>
  <si>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</si>
  <si>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</si>
  <si>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</si>
  <si>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</si>
  <si>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</si>
  <si>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</si>
  <si>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</si>
  <si>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</si>
  <si>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</si>
  <si>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</si>
  <si>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</si>
  <si>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</si>
  <si>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</si>
  <si>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</si>
  <si>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</si>
  <si>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</si>
  <si>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</si>
  <si>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</si>
  <si>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</si>
  <si>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</si>
  <si>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</si>
  <si>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</si>
  <si>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</si>
  <si>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</si>
  <si>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</si>
  <si>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</si>
  <si>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</si>
  <si>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</si>
  <si>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</si>
  <si>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</si>
  <si>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</si>
  <si>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</si>
  <si>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</si>
  <si>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</si>
  <si>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</si>
  <si>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</si>
  <si>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</si>
  <si>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</si>
  <si>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</si>
  <si>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</si>
  <si>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</si>
  <si>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</si>
  <si>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</si>
  <si>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</si>
  <si>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</si>
  <si>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</si>
  <si>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</si>
  <si>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</si>
  <si>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</si>
  <si>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</si>
  <si>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</si>
  <si>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</si>
  <si>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</si>
  <si>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</si>
  <si>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</si>
  <si>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</si>
  <si>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</si>
  <si>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</si>
  <si>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</si>
  <si>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</si>
  <si>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</si>
  <si>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</si>
  <si>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</si>
  <si>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</si>
  <si>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</si>
  <si>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</si>
  <si>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</si>
  <si>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</si>
  <si>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</si>
  <si>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</si>
  <si>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</si>
  <si>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</si>
  <si>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</si>
  <si>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</si>
  <si>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</si>
  <si>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</si>
  <si>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</si>
  <si>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</si>
  <si>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</si>
  <si>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</si>
  <si>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</si>
  <si>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</si>
  <si>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</si>
  <si>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</si>
  <si>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</si>
  <si>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</si>
  <si>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</si>
  <si>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</si>
  <si>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</si>
  <si>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</si>
  <si>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</si>
  <si>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</si>
  <si>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</si>
  <si>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</si>
  <si>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</si>
  <si>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</si>
  <si>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</si>
  <si>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</si>
  <si>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</si>
  <si>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</si>
  <si>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</si>
  <si>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</si>
  <si>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</si>
  <si>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</si>
  <si>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</si>
  <si>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</si>
  <si>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</si>
  <si>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</si>
  <si>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</si>
  <si>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</si>
  <si>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</si>
  <si>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</si>
  <si>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</si>
  <si>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</si>
  <si>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</si>
  <si>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</si>
  <si>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</si>
  <si>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</si>
  <si>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</si>
  <si>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</si>
  <si>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</si>
  <si>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</si>
  <si>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</si>
  <si>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</si>
  <si>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</si>
  <si>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</si>
  <si>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</si>
  <si>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</si>
  <si>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</si>
  <si>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</si>
  <si>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</si>
  <si>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</si>
  <si>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</si>
  <si>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</si>
  <si>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</si>
  <si>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</si>
  <si>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</si>
  <si>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</si>
  <si>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</si>
  <si>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</si>
  <si>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</si>
  <si>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</si>
  <si>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</si>
  <si>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</si>
  <si>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</si>
  <si>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</si>
  <si>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</si>
  <si>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</si>
  <si>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</si>
  <si>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</si>
  <si>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</si>
  <si>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</si>
  <si>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</si>
  <si>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</si>
  <si>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</si>
  <si>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</si>
  <si>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</si>
  <si>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</si>
  <si>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</si>
  <si>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</si>
  <si>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</si>
  <si>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</si>
  <si>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</si>
  <si>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</si>
  <si>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</si>
  <si>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</si>
  <si>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</si>
  <si>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</si>
  <si>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</si>
  <si>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</si>
  <si>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</si>
  <si>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</si>
  <si>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</si>
  <si>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</si>
  <si>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</si>
  <si>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</si>
  <si>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</si>
  <si>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</si>
  <si>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</si>
  <si>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</si>
  <si>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</si>
  <si>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</si>
  <si>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</si>
  <si>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</si>
  <si>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</si>
  <si>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</si>
  <si>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</si>
  <si>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</si>
  <si>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</si>
  <si>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</si>
  <si>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</si>
  <si>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</si>
  <si>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</si>
  <si>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</si>
  <si>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</si>
  <si>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</si>
  <si>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</si>
  <si>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</si>
  <si>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</si>
  <si>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</si>
  <si>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</si>
  <si>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</si>
  <si>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</si>
  <si>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</si>
  <si>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</si>
  <si>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</si>
  <si>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</si>
  <si>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</si>
  <si>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</si>
  <si>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</si>
  <si>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</si>
  <si>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</si>
  <si>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</si>
  <si>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</si>
  <si>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</si>
  <si>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</si>
  <si>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</si>
  <si>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</si>
  <si>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</si>
  <si>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</si>
  <si>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</si>
  <si>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</si>
  <si>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</si>
  <si>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</si>
  <si>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</si>
  <si>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</si>
  <si>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</si>
  <si>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</si>
  <si>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</si>
  <si>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</si>
  <si>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</si>
  <si>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</si>
  <si>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</si>
  <si>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</si>
  <si>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</si>
  <si>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</si>
  <si>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</si>
  <si>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</si>
  <si>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</si>
  <si>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</si>
  <si>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</si>
  <si>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</si>
  <si>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</si>
  <si>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</si>
  <si>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</si>
  <si>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</si>
  <si>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</si>
  <si>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</si>
  <si>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</si>
  <si>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</si>
  <si>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</si>
  <si>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</si>
  <si>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</si>
  <si>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</si>
  <si>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</si>
  <si>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</si>
  <si>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</si>
  <si>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</si>
  <si>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</si>
  <si>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</si>
  <si>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</si>
  <si>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</si>
  <si>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</si>
  <si>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</si>
  <si>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</si>
  <si>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</si>
  <si>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</si>
  <si>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</si>
  <si>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</si>
  <si>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</si>
  <si>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</si>
  <si>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</si>
  <si>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</si>
  <si>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</si>
  <si>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</si>
  <si>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</si>
  <si>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</si>
  <si>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</si>
  <si>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</si>
  <si>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</si>
  <si>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</si>
  <si>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</si>
  <si>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</si>
  <si>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</si>
  <si>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</si>
  <si>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</si>
  <si>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</si>
  <si>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</si>
  <si>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</si>
  <si>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</si>
  <si>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</si>
  <si>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</si>
  <si>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</si>
  <si>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</si>
  <si>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</si>
  <si>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</si>
  <si>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</si>
  <si>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</si>
  <si>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</si>
  <si>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</si>
  <si>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</si>
  <si>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</si>
  <si>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</si>
  <si>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</si>
  <si>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</si>
  <si>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</si>
  <si>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</si>
  <si>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</si>
  <si>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</si>
  <si>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</si>
  <si>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</si>
  <si>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</si>
  <si>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</si>
  <si>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</si>
  <si>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</si>
  <si>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</si>
  <si>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</si>
  <si>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</si>
  <si>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</si>
  <si>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</si>
  <si>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</si>
  <si>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</si>
  <si>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</si>
  <si>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</si>
  <si>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</si>
  <si>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</si>
  <si>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</si>
  <si>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</si>
  <si>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</si>
  <si>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</si>
  <si>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</si>
  <si>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</si>
  <si>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</si>
  <si>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</si>
  <si>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</si>
  <si>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</si>
  <si>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</si>
  <si>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</si>
  <si>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</si>
  <si>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</si>
  <si>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</si>
  <si>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</si>
  <si>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</si>
  <si>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</si>
  <si>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</si>
  <si>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</si>
  <si>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</si>
  <si>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</si>
  <si>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</si>
  <si>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</si>
  <si>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</si>
  <si>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</si>
  <si>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</si>
  <si>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</si>
  <si>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</si>
  <si>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</si>
  <si>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</si>
  <si>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</si>
  <si>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</si>
  <si>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</si>
  <si>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</si>
  <si>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</si>
  <si>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</si>
  <si>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</si>
  <si>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</si>
  <si>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</si>
  <si>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</si>
  <si>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</si>
  <si>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</si>
  <si>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</si>
  <si>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</si>
  <si>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</si>
  <si>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</si>
  <si>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</si>
  <si>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</si>
  <si>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</si>
  <si>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</si>
  <si>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</si>
  <si>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</si>
  <si>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</si>
  <si>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</si>
  <si>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</si>
  <si>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</si>
  <si>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</si>
  <si>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</si>
  <si>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</si>
  <si>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</si>
  <si>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</si>
  <si>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</si>
  <si>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</si>
  <si>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</si>
  <si>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</si>
  <si>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</si>
  <si>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</si>
  <si>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</si>
  <si>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</si>
  <si>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</si>
  <si>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</si>
  <si>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</si>
  <si>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</si>
  <si>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</si>
  <si>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</si>
  <si>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</si>
  <si>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</si>
  <si>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</si>
  <si>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</si>
  <si>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</si>
  <si>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</si>
  <si>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</si>
  <si>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</si>
  <si>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</si>
  <si>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</si>
  <si>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</si>
  <si>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</si>
  <si>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</si>
  <si>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</si>
  <si>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</si>
  <si>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</si>
  <si>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</si>
  <si>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</si>
  <si>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</si>
  <si>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</si>
  <si>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</si>
  <si>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</si>
  <si>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</si>
  <si>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</si>
  <si>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</si>
  <si>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</si>
  <si>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</si>
  <si>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</si>
  <si>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</si>
  <si>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</si>
  <si>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</si>
  <si>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</si>
  <si>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</si>
  <si>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</si>
  <si>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</si>
  <si>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</si>
  <si>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</si>
  <si>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</si>
  <si>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</si>
  <si>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</si>
  <si>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</si>
  <si>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</si>
  <si>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</si>
  <si>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</si>
  <si>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</si>
  <si>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</si>
  <si>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</si>
  <si>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</si>
  <si>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</si>
  <si>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</si>
  <si>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</si>
  <si>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</si>
  <si>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</si>
  <si>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</si>
  <si>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</si>
  <si>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</si>
  <si>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</si>
  <si>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</si>
  <si>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</si>
  <si>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</si>
  <si>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</si>
  <si>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</si>
  <si>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</si>
  <si>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</si>
  <si>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</si>
  <si>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</si>
  <si>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</si>
  <si>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</si>
  <si>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</si>
  <si>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</si>
  <si>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</si>
  <si>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</si>
  <si>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</si>
  <si>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</si>
  <si>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</si>
  <si>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</si>
  <si>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</si>
  <si>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</si>
  <si>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</si>
  <si>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</si>
  <si>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</si>
  <si>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</si>
  <si>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</si>
  <si>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</si>
  <si>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</si>
  <si>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</si>
  <si>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</si>
  <si>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</si>
  <si>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</si>
  <si>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</si>
  <si>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</si>
  <si>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</si>
  <si>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</si>
  <si>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</si>
  <si>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</si>
  <si>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</si>
  <si>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</si>
  <si>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</si>
  <si>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</si>
  <si>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</si>
  <si>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</si>
  <si>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</si>
  <si>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</si>
  <si>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</si>
  <si>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</si>
  <si>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</si>
  <si>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</si>
  <si>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</si>
  <si>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</si>
  <si>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</si>
  <si>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</si>
  <si>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</si>
  <si>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</si>
  <si>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</si>
  <si>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</si>
  <si>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</si>
  <si>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</si>
  <si>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</si>
  <si>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</si>
  <si>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</si>
  <si>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</si>
  <si>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</si>
  <si>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</si>
  <si>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</si>
  <si>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</si>
  <si>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</si>
  <si>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</si>
  <si>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</si>
  <si>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</si>
  <si>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</si>
  <si>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</si>
  <si>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</si>
  <si>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</si>
  <si>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</si>
  <si>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</si>
  <si>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</si>
  <si>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</si>
  <si>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</si>
  <si>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</si>
  <si>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</si>
  <si>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</si>
  <si>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</si>
  <si>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</si>
  <si>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</si>
  <si>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</si>
  <si>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</si>
  <si>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</si>
  <si>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</si>
  <si>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</si>
  <si>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</si>
  <si>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</si>
  <si>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</si>
  <si>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</si>
  <si>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</si>
  <si>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</si>
  <si>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</si>
  <si>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</si>
  <si>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</si>
  <si>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</si>
  <si>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</si>
  <si>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</si>
  <si>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</si>
  <si>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</si>
  <si>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</si>
  <si>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</si>
  <si>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</si>
  <si>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</si>
  <si>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</si>
  <si>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</si>
  <si>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</si>
  <si>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</si>
  <si>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</si>
  <si>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</si>
  <si>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</si>
  <si>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</si>
  <si>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</si>
  <si>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</si>
  <si>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</si>
  <si>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</si>
  <si>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</si>
  <si>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</si>
  <si>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</si>
  <si>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</si>
  <si>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</si>
  <si>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</si>
  <si>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</si>
  <si>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</si>
  <si>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</si>
  <si>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</si>
  <si>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</si>
  <si>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</si>
  <si>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</si>
  <si>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</si>
  <si>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</si>
  <si>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</si>
  <si>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</si>
  <si>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</si>
  <si>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</si>
  <si>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</si>
  <si>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</si>
  <si>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</si>
  <si>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</si>
  <si>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</si>
  <si>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</si>
  <si>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</si>
  <si>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</si>
  <si>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</si>
  <si>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</si>
  <si>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</si>
  <si>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</si>
  <si>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</si>
  <si>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</si>
  <si>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</si>
  <si>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</si>
  <si>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</si>
  <si>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</si>
  <si>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</si>
  <si>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</si>
  <si>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</si>
  <si>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</si>
  <si>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</si>
  <si>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</si>
  <si>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</si>
  <si>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</si>
  <si>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</si>
  <si>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</si>
  <si>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</si>
  <si>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</si>
  <si>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</si>
  <si>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</si>
  <si>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</si>
  <si>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</si>
  <si>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</si>
  <si>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</si>
  <si>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Gestión Insular de Aguas de Tenerife, S.A. (GESTA)</t>
  </si>
  <si>
    <t>Manuel Fernando Martínez Álvarez</t>
  </si>
  <si>
    <t>Jesús Manuel Morales Martínez</t>
  </si>
  <si>
    <t>Pedro Suárez López de Vergara</t>
  </si>
  <si>
    <t>Carlos Alonso Rodríguez</t>
  </si>
  <si>
    <t>José Antonio Valbuena Alonso</t>
  </si>
  <si>
    <t>Beatriz Rodríguez Pastor</t>
  </si>
  <si>
    <t>Francisco Javier González Martín</t>
  </si>
  <si>
    <t>Actúa de letrado asesor el secretario-a del consejo</t>
  </si>
  <si>
    <t>Consejo Insular de Aguas de Tenerife</t>
  </si>
  <si>
    <t>Q8850002J</t>
  </si>
  <si>
    <t>-</t>
  </si>
  <si>
    <t>CANAUDIT, S.L.</t>
  </si>
  <si>
    <t>Las acciones son propiedad del Consejo Insular de Aguas de Tenerife, no del Cabildo</t>
  </si>
  <si>
    <t>Inversiones indeterminadas en el ejercicio</t>
  </si>
  <si>
    <t>Existe una encomienda del Consejo Insular de Aguas de Tenerife a GESTA por importe de 12.727.763,56 euros para la ejecución de determinadas obras de infraestructura hidráulica</t>
  </si>
  <si>
    <t xml:space="preserve">    Consejo Insular de Aguas de Tenerife</t>
  </si>
  <si>
    <t>Entrega parcial encomienda</t>
  </si>
  <si>
    <t>Sanción AEAT</t>
  </si>
  <si>
    <t>No aplica este control, Aportación de socios de CIATF</t>
  </si>
  <si>
    <t>Aportación de socios -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</si>
</sst>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60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2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52">
    <xf numFmtId="0" fontId="0" fillId="0" borderId="0" xfId="0"/>
    <xf numFmtId="0" fontId="15" fillId="2" borderId="0" xfId="0" applyFont="1" applyFill="1" applyBorder="1"/>
    <xf numFmtId="0" fontId="16" fillId="2" borderId="0" xfId="0" applyFont="1" applyFill="1"/>
    <xf numFmtId="0" fontId="16" fillId="2" borderId="0" xfId="0" applyFont="1" applyFill="1" applyBorder="1"/>
    <xf numFmtId="0" fontId="16" fillId="0" borderId="0" xfId="0" applyFont="1"/>
    <xf numFmtId="0" fontId="16" fillId="2" borderId="6" xfId="0" applyFont="1" applyFill="1" applyBorder="1"/>
    <xf numFmtId="0" fontId="16" fillId="2" borderId="7" xfId="0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0" xfId="0" applyFont="1" applyFill="1" applyBorder="1"/>
    <xf numFmtId="0" fontId="16" fillId="2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15" fillId="2" borderId="0" xfId="0" applyFont="1" applyFill="1"/>
    <xf numFmtId="0" fontId="15" fillId="2" borderId="1" xfId="0" applyFont="1" applyFill="1" applyBorder="1"/>
    <xf numFmtId="0" fontId="16" fillId="2" borderId="0" xfId="0" applyFont="1" applyFill="1" applyBorder="1" applyAlignment="1"/>
    <xf numFmtId="0" fontId="16" fillId="2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20" fillId="2" borderId="9" xfId="0" applyFont="1" applyFill="1" applyBorder="1"/>
    <xf numFmtId="0" fontId="15" fillId="2" borderId="10" xfId="0" applyFont="1" applyFill="1" applyBorder="1"/>
    <xf numFmtId="0" fontId="16" fillId="2" borderId="2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 wrapText="1"/>
    </xf>
    <xf numFmtId="0" fontId="22" fillId="2" borderId="4" xfId="0" applyFont="1" applyFill="1" applyBorder="1"/>
    <xf numFmtId="0" fontId="22" fillId="2" borderId="5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center"/>
    </xf>
    <xf numFmtId="0" fontId="22" fillId="2" borderId="2" xfId="0" applyFont="1" applyFill="1" applyBorder="1"/>
    <xf numFmtId="164" fontId="16" fillId="2" borderId="12" xfId="0" applyNumberFormat="1" applyFont="1" applyFill="1" applyBorder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0" xfId="0" applyFont="1" applyFill="1"/>
    <xf numFmtId="0" fontId="15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right"/>
    </xf>
    <xf numFmtId="0" fontId="26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26" fillId="2" borderId="0" xfId="0" applyFont="1" applyFill="1" applyBorder="1"/>
    <xf numFmtId="0" fontId="26" fillId="2" borderId="6" xfId="0" applyFont="1" applyFill="1" applyBorder="1"/>
    <xf numFmtId="0" fontId="26" fillId="2" borderId="7" xfId="0" applyFont="1" applyFill="1" applyBorder="1"/>
    <xf numFmtId="0" fontId="26" fillId="2" borderId="8" xfId="0" applyFont="1" applyFill="1" applyBorder="1"/>
    <xf numFmtId="0" fontId="26" fillId="2" borderId="9" xfId="0" applyFont="1" applyFill="1" applyBorder="1"/>
    <xf numFmtId="0" fontId="27" fillId="2" borderId="0" xfId="0" applyFont="1" applyFill="1" applyBorder="1"/>
    <xf numFmtId="0" fontId="26" fillId="2" borderId="10" xfId="0" applyFont="1" applyFill="1" applyBorder="1"/>
    <xf numFmtId="0" fontId="27" fillId="2" borderId="0" xfId="0" applyFont="1" applyFill="1" applyBorder="1" applyAlignment="1">
      <alignment horizontal="center" vertical="center"/>
    </xf>
    <xf numFmtId="0" fontId="26" fillId="2" borderId="11" xfId="0" applyFont="1" applyFill="1" applyBorder="1"/>
    <xf numFmtId="0" fontId="26" fillId="2" borderId="12" xfId="0" applyFont="1" applyFill="1" applyBorder="1" applyAlignment="1">
      <alignment horizontal="left"/>
    </xf>
    <xf numFmtId="0" fontId="26" fillId="2" borderId="12" xfId="0" applyFont="1" applyFill="1" applyBorder="1"/>
    <xf numFmtId="0" fontId="26" fillId="2" borderId="13" xfId="0" applyFont="1" applyFill="1" applyBorder="1"/>
    <xf numFmtId="0" fontId="15" fillId="4" borderId="0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0" xfId="0" applyFont="1" applyFill="1"/>
    <xf numFmtId="0" fontId="20" fillId="2" borderId="10" xfId="0" applyFont="1" applyFill="1" applyBorder="1"/>
    <xf numFmtId="0" fontId="18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/>
    </xf>
    <xf numFmtId="0" fontId="26" fillId="3" borderId="0" xfId="0" applyFont="1" applyFill="1" applyBorder="1"/>
    <xf numFmtId="0" fontId="15" fillId="2" borderId="21" xfId="0" applyFont="1" applyFill="1" applyBorder="1"/>
    <xf numFmtId="0" fontId="12" fillId="2" borderId="22" xfId="0" applyFont="1" applyFill="1" applyBorder="1"/>
    <xf numFmtId="0" fontId="12" fillId="2" borderId="23" xfId="0" applyFont="1" applyFill="1" applyBorder="1"/>
    <xf numFmtId="0" fontId="12" fillId="2" borderId="25" xfId="0" applyFont="1" applyFill="1" applyBorder="1"/>
    <xf numFmtId="0" fontId="18" fillId="2" borderId="24" xfId="0" applyFont="1" applyFill="1" applyBorder="1"/>
    <xf numFmtId="0" fontId="20" fillId="2" borderId="0" xfId="0" applyFont="1" applyFill="1"/>
    <xf numFmtId="0" fontId="18" fillId="2" borderId="27" xfId="0" applyFont="1" applyFill="1" applyBorder="1"/>
    <xf numFmtId="2" fontId="12" fillId="2" borderId="26" xfId="0" applyNumberFormat="1" applyFont="1" applyFill="1" applyBorder="1"/>
    <xf numFmtId="0" fontId="28" fillId="2" borderId="0" xfId="0" applyFont="1" applyFill="1" applyBorder="1"/>
    <xf numFmtId="0" fontId="29" fillId="2" borderId="27" xfId="0" applyFont="1" applyFill="1" applyBorder="1"/>
    <xf numFmtId="0" fontId="31" fillId="2" borderId="9" xfId="0" applyFont="1" applyFill="1" applyBorder="1"/>
    <xf numFmtId="0" fontId="31" fillId="2" borderId="10" xfId="0" applyFont="1" applyFill="1" applyBorder="1"/>
    <xf numFmtId="0" fontId="31" fillId="2" borderId="0" xfId="0" applyFont="1" applyFill="1"/>
    <xf numFmtId="0" fontId="29" fillId="2" borderId="27" xfId="0" applyFont="1" applyFill="1" applyBorder="1" applyAlignment="1">
      <alignment horizontal="left"/>
    </xf>
    <xf numFmtId="0" fontId="18" fillId="2" borderId="21" xfId="0" applyFont="1" applyFill="1" applyBorder="1"/>
    <xf numFmtId="0" fontId="18" fillId="2" borderId="0" xfId="0" applyFont="1" applyFill="1" applyBorder="1"/>
    <xf numFmtId="0" fontId="30" fillId="2" borderId="0" xfId="0" applyFont="1" applyFill="1" applyBorder="1"/>
    <xf numFmtId="4" fontId="25" fillId="2" borderId="0" xfId="0" applyNumberFormat="1" applyFont="1" applyFill="1" applyAlignment="1">
      <alignment horizontal="right"/>
    </xf>
    <xf numFmtId="4" fontId="18" fillId="2" borderId="0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" fontId="26" fillId="2" borderId="0" xfId="0" applyNumberFormat="1" applyFont="1" applyFill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7" xfId="0" applyFont="1" applyFill="1" applyBorder="1" applyAlignment="1">
      <alignment horizontal="left"/>
    </xf>
    <xf numFmtId="4" fontId="26" fillId="2" borderId="7" xfId="0" applyNumberFormat="1" applyFont="1" applyFill="1" applyBorder="1" applyAlignment="1">
      <alignment horizontal="left"/>
    </xf>
    <xf numFmtId="0" fontId="26" fillId="2" borderId="8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/>
    </xf>
    <xf numFmtId="0" fontId="26" fillId="2" borderId="1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20" fillId="2" borderId="9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 vertical="center"/>
    </xf>
    <xf numFmtId="4" fontId="18" fillId="5" borderId="0" xfId="0" applyNumberFormat="1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6" fillId="2" borderId="11" xfId="0" applyFont="1" applyFill="1" applyBorder="1" applyAlignment="1">
      <alignment horizontal="left"/>
    </xf>
    <xf numFmtId="4" fontId="26" fillId="2" borderId="12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3" fontId="15" fillId="2" borderId="38" xfId="0" applyNumberFormat="1" applyFont="1" applyFill="1" applyBorder="1" applyAlignment="1">
      <alignment horizontal="center" vertical="center"/>
    </xf>
    <xf numFmtId="4" fontId="15" fillId="2" borderId="38" xfId="0" applyNumberFormat="1" applyFont="1" applyFill="1" applyBorder="1" applyAlignment="1">
      <alignment vertical="center"/>
    </xf>
    <xf numFmtId="0" fontId="27" fillId="2" borderId="1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6" fillId="2" borderId="42" xfId="0" applyFont="1" applyFill="1" applyBorder="1"/>
    <xf numFmtId="4" fontId="18" fillId="2" borderId="43" xfId="0" applyNumberFormat="1" applyFont="1" applyFill="1" applyBorder="1"/>
    <xf numFmtId="4" fontId="15" fillId="2" borderId="43" xfId="0" applyNumberFormat="1" applyFont="1" applyFill="1" applyBorder="1"/>
    <xf numFmtId="4" fontId="12" fillId="2" borderId="44" xfId="0" applyNumberFormat="1" applyFont="1" applyFill="1" applyBorder="1"/>
    <xf numFmtId="4" fontId="12" fillId="2" borderId="45" xfId="0" applyNumberFormat="1" applyFont="1" applyFill="1" applyBorder="1"/>
    <xf numFmtId="4" fontId="26" fillId="2" borderId="42" xfId="0" applyNumberFormat="1" applyFont="1" applyFill="1" applyBorder="1"/>
    <xf numFmtId="4" fontId="29" fillId="2" borderId="41" xfId="0" applyNumberFormat="1" applyFont="1" applyFill="1" applyBorder="1"/>
    <xf numFmtId="0" fontId="18" fillId="2" borderId="48" xfId="0" applyFont="1" applyFill="1" applyBorder="1" applyAlignment="1">
      <alignment horizontal="center"/>
    </xf>
    <xf numFmtId="0" fontId="26" fillId="2" borderId="49" xfId="0" applyFont="1" applyFill="1" applyBorder="1"/>
    <xf numFmtId="0" fontId="18" fillId="2" borderId="34" xfId="0" applyFont="1" applyFill="1" applyBorder="1" applyAlignment="1">
      <alignment horizontal="center"/>
    </xf>
    <xf numFmtId="4" fontId="18" fillId="2" borderId="50" xfId="0" applyNumberFormat="1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51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4" fontId="12" fillId="2" borderId="54" xfId="0" applyNumberFormat="1" applyFont="1" applyFill="1" applyBorder="1"/>
    <xf numFmtId="0" fontId="12" fillId="2" borderId="48" xfId="0" applyFont="1" applyFill="1" applyBorder="1" applyAlignment="1">
      <alignment horizontal="center"/>
    </xf>
    <xf numFmtId="4" fontId="26" fillId="2" borderId="49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30" fillId="2" borderId="48" xfId="0" applyFont="1" applyFill="1" applyBorder="1" applyAlignment="1">
      <alignment horizontal="center"/>
    </xf>
    <xf numFmtId="0" fontId="29" fillId="2" borderId="55" xfId="0" applyFont="1" applyFill="1" applyBorder="1" applyAlignment="1">
      <alignment horizontal="left"/>
    </xf>
    <xf numFmtId="4" fontId="29" fillId="2" borderId="56" xfId="0" applyNumberFormat="1" applyFont="1" applyFill="1" applyBorder="1"/>
    <xf numFmtId="0" fontId="15" fillId="4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2" borderId="69" xfId="0" applyFont="1" applyFill="1" applyBorder="1" applyAlignment="1">
      <alignment horizontal="left" vertical="center"/>
    </xf>
    <xf numFmtId="0" fontId="11" fillId="2" borderId="70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left" vertical="center"/>
    </xf>
    <xf numFmtId="0" fontId="15" fillId="2" borderId="74" xfId="0" applyFont="1" applyFill="1" applyBorder="1" applyAlignment="1">
      <alignment horizontal="left" vertical="center"/>
    </xf>
    <xf numFmtId="4" fontId="15" fillId="2" borderId="75" xfId="0" applyNumberFormat="1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11" fillId="2" borderId="73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4" fontId="40" fillId="2" borderId="0" xfId="0" applyNumberFormat="1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15" fillId="2" borderId="77" xfId="0" applyNumberFormat="1" applyFont="1" applyFill="1" applyBorder="1" applyAlignment="1">
      <alignment vertical="center"/>
    </xf>
    <xf numFmtId="4" fontId="11" fillId="2" borderId="77" xfId="0" applyNumberFormat="1" applyFont="1" applyFill="1" applyBorder="1" applyAlignment="1">
      <alignment vertical="center"/>
    </xf>
    <xf numFmtId="4" fontId="11" fillId="2" borderId="79" xfId="0" applyNumberFormat="1" applyFont="1" applyFill="1" applyBorder="1" applyAlignment="1">
      <alignment vertical="center"/>
    </xf>
    <xf numFmtId="4" fontId="15" fillId="2" borderId="72" xfId="0" applyNumberFormat="1" applyFont="1" applyFill="1" applyBorder="1" applyAlignment="1">
      <alignment vertical="center"/>
    </xf>
    <xf numFmtId="4" fontId="15" fillId="2" borderId="78" xfId="0" applyNumberFormat="1" applyFont="1" applyFill="1" applyBorder="1" applyAlignment="1">
      <alignment vertical="center"/>
    </xf>
    <xf numFmtId="4" fontId="15" fillId="2" borderId="79" xfId="0" applyNumberFormat="1" applyFont="1" applyFill="1" applyBorder="1" applyAlignment="1">
      <alignment vertical="center"/>
    </xf>
    <xf numFmtId="4" fontId="15" fillId="2" borderId="68" xfId="0" applyNumberFormat="1" applyFont="1" applyFill="1" applyBorder="1" applyAlignment="1">
      <alignment vertical="center"/>
    </xf>
    <xf numFmtId="4" fontId="15" fillId="2" borderId="71" xfId="0" applyNumberFormat="1" applyFont="1" applyFill="1" applyBorder="1" applyAlignment="1">
      <alignment vertical="center"/>
    </xf>
    <xf numFmtId="4" fontId="15" fillId="2" borderId="75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left" vertical="center"/>
    </xf>
    <xf numFmtId="0" fontId="11" fillId="2" borderId="100" xfId="0" applyFont="1" applyFill="1" applyBorder="1" applyAlignment="1">
      <alignment horizontal="left" vertical="center"/>
    </xf>
    <xf numFmtId="4" fontId="15" fillId="2" borderId="101" xfId="0" applyNumberFormat="1" applyFont="1" applyFill="1" applyBorder="1" applyAlignment="1">
      <alignment vertical="center"/>
    </xf>
    <xf numFmtId="4" fontId="15" fillId="2" borderId="104" xfId="0" applyNumberFormat="1" applyFont="1" applyFill="1" applyBorder="1" applyAlignment="1">
      <alignment vertical="center"/>
    </xf>
    <xf numFmtId="0" fontId="36" fillId="2" borderId="0" xfId="132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4" fontId="15" fillId="2" borderId="15" xfId="0" applyNumberFormat="1" applyFont="1" applyFill="1" applyBorder="1" applyAlignment="1">
      <alignment vertical="center"/>
    </xf>
    <xf numFmtId="0" fontId="11" fillId="2" borderId="99" xfId="0" applyFont="1" applyFill="1" applyBorder="1" applyAlignment="1">
      <alignment horizontal="center" vertical="center"/>
    </xf>
    <xf numFmtId="4" fontId="11" fillId="2" borderId="101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horizontal="left" vertical="center"/>
    </xf>
    <xf numFmtId="0" fontId="21" fillId="3" borderId="59" xfId="0" applyFont="1" applyFill="1" applyBorder="1" applyAlignment="1">
      <alignment horizontal="left" vertical="center"/>
    </xf>
    <xf numFmtId="0" fontId="15" fillId="3" borderId="76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left"/>
    </xf>
    <xf numFmtId="0" fontId="18" fillId="3" borderId="19" xfId="0" applyFont="1" applyFill="1" applyBorder="1" applyAlignment="1">
      <alignment horizontal="left"/>
    </xf>
    <xf numFmtId="0" fontId="36" fillId="3" borderId="80" xfId="132" applyFont="1" applyFill="1" applyBorder="1" applyAlignment="1">
      <alignment horizontal="center" wrapText="1"/>
    </xf>
    <xf numFmtId="0" fontId="38" fillId="3" borderId="105" xfId="132" applyFont="1" applyFill="1" applyBorder="1" applyAlignment="1">
      <alignment horizontal="center" wrapText="1"/>
    </xf>
    <xf numFmtId="0" fontId="38" fillId="3" borderId="106" xfId="132" applyFont="1" applyFill="1" applyBorder="1" applyAlignment="1">
      <alignment horizontal="center" wrapText="1"/>
    </xf>
    <xf numFmtId="0" fontId="38" fillId="3" borderId="107" xfId="132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left" vertical="center"/>
    </xf>
    <xf numFmtId="0" fontId="36" fillId="3" borderId="42" xfId="132" applyFont="1" applyFill="1" applyBorder="1" applyAlignment="1">
      <alignment horizontal="center" wrapText="1"/>
    </xf>
    <xf numFmtId="0" fontId="18" fillId="3" borderId="62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0" fontId="26" fillId="3" borderId="31" xfId="0" applyFont="1" applyFill="1" applyBorder="1"/>
    <xf numFmtId="0" fontId="26" fillId="3" borderId="32" xfId="0" applyFont="1" applyFill="1" applyBorder="1"/>
    <xf numFmtId="0" fontId="15" fillId="3" borderId="46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/>
    </xf>
    <xf numFmtId="0" fontId="19" fillId="3" borderId="48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/>
    </xf>
    <xf numFmtId="4" fontId="20" fillId="2" borderId="6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left"/>
    </xf>
    <xf numFmtId="0" fontId="36" fillId="3" borderId="76" xfId="132" applyFont="1" applyFill="1" applyBorder="1" applyAlignment="1">
      <alignment horizontal="center" wrapText="1"/>
    </xf>
    <xf numFmtId="0" fontId="15" fillId="3" borderId="60" xfId="0" applyFont="1" applyFill="1" applyBorder="1" applyAlignment="1">
      <alignment horizontal="left"/>
    </xf>
    <xf numFmtId="0" fontId="15" fillId="3" borderId="58" xfId="0" applyFont="1" applyFill="1" applyBorder="1" applyAlignment="1">
      <alignment horizontal="left"/>
    </xf>
    <xf numFmtId="0" fontId="36" fillId="3" borderId="59" xfId="132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left"/>
    </xf>
    <xf numFmtId="0" fontId="36" fillId="3" borderId="61" xfId="132" applyFont="1" applyFill="1" applyBorder="1" applyAlignment="1">
      <alignment horizontal="center" wrapText="1"/>
    </xf>
    <xf numFmtId="4" fontId="15" fillId="2" borderId="115" xfId="0" applyNumberFormat="1" applyFont="1" applyFill="1" applyBorder="1" applyAlignment="1">
      <alignment vertical="center"/>
    </xf>
    <xf numFmtId="4" fontId="15" fillId="2" borderId="91" xfId="0" applyNumberFormat="1" applyFont="1" applyFill="1" applyBorder="1" applyAlignment="1">
      <alignment vertical="center"/>
    </xf>
    <xf numFmtId="4" fontId="15" fillId="2" borderId="74" xfId="0" applyNumberFormat="1" applyFont="1" applyFill="1" applyBorder="1" applyAlignment="1">
      <alignment vertical="center"/>
    </xf>
    <xf numFmtId="0" fontId="11" fillId="2" borderId="65" xfId="0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4" fontId="22" fillId="2" borderId="0" xfId="0" applyNumberFormat="1" applyFont="1" applyFill="1" applyBorder="1" applyAlignment="1">
      <alignment horizontal="left"/>
    </xf>
    <xf numFmtId="4" fontId="22" fillId="2" borderId="111" xfId="0" applyNumberFormat="1" applyFont="1" applyFill="1" applyBorder="1" applyAlignment="1">
      <alignment horizontal="left"/>
    </xf>
    <xf numFmtId="4" fontId="22" fillId="2" borderId="112" xfId="0" applyNumberFormat="1" applyFont="1" applyFill="1" applyBorder="1" applyAlignment="1">
      <alignment horizontal="left"/>
    </xf>
    <xf numFmtId="4" fontId="22" fillId="2" borderId="113" xfId="0" applyNumberFormat="1" applyFont="1" applyFill="1" applyBorder="1" applyAlignment="1">
      <alignment horizontal="left"/>
    </xf>
    <xf numFmtId="4" fontId="15" fillId="2" borderId="92" xfId="0" applyNumberFormat="1" applyFont="1" applyFill="1" applyBorder="1" applyAlignment="1">
      <alignment vertical="center"/>
    </xf>
    <xf numFmtId="4" fontId="15" fillId="2" borderId="90" xfId="0" applyNumberFormat="1" applyFont="1" applyFill="1" applyBorder="1" applyAlignment="1">
      <alignment vertical="center"/>
    </xf>
    <xf numFmtId="0" fontId="36" fillId="3" borderId="116" xfId="132" applyFont="1" applyFill="1" applyBorder="1" applyAlignment="1">
      <alignment horizontal="center" wrapText="1"/>
    </xf>
    <xf numFmtId="0" fontId="36" fillId="3" borderId="117" xfId="132" applyFont="1" applyFill="1" applyBorder="1" applyAlignment="1">
      <alignment horizontal="center" wrapText="1"/>
    </xf>
    <xf numFmtId="0" fontId="36" fillId="3" borderId="118" xfId="132" applyFont="1" applyFill="1" applyBorder="1" applyAlignment="1">
      <alignment horizontal="center" wrapText="1"/>
    </xf>
    <xf numFmtId="0" fontId="26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left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36" fillId="3" borderId="118" xfId="132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36" fillId="3" borderId="107" xfId="132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/>
    </xf>
    <xf numFmtId="0" fontId="36" fillId="3" borderId="119" xfId="132" applyFont="1" applyFill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vertical="center" wrapText="1"/>
    </xf>
    <xf numFmtId="0" fontId="15" fillId="3" borderId="57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1" fillId="2" borderId="104" xfId="0" applyFont="1" applyFill="1" applyBorder="1" applyAlignment="1">
      <alignment horizontal="left" vertical="center"/>
    </xf>
    <xf numFmtId="0" fontId="11" fillId="2" borderId="71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4" fontId="18" fillId="2" borderId="18" xfId="0" applyNumberFormat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/>
    </xf>
    <xf numFmtId="4" fontId="15" fillId="2" borderId="72" xfId="0" applyNumberFormat="1" applyFont="1" applyFill="1" applyBorder="1" applyAlignment="1"/>
    <xf numFmtId="4" fontId="15" fillId="2" borderId="75" xfId="0" applyNumberFormat="1" applyFont="1" applyFill="1" applyBorder="1" applyAlignment="1"/>
    <xf numFmtId="0" fontId="15" fillId="2" borderId="62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0" fontId="15" fillId="2" borderId="20" xfId="0" applyFont="1" applyFill="1" applyBorder="1"/>
    <xf numFmtId="0" fontId="16" fillId="2" borderId="20" xfId="0" applyFont="1" applyFill="1" applyBorder="1" applyAlignment="1">
      <alignment horizontal="left"/>
    </xf>
    <xf numFmtId="0" fontId="11" fillId="2" borderId="0" xfId="0" applyFont="1" applyFill="1"/>
    <xf numFmtId="0" fontId="15" fillId="3" borderId="18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vertical="center"/>
    </xf>
    <xf numFmtId="0" fontId="22" fillId="2" borderId="65" xfId="0" applyFont="1" applyFill="1" applyBorder="1" applyAlignment="1">
      <alignment vertical="center"/>
    </xf>
    <xf numFmtId="0" fontId="22" fillId="2" borderId="101" xfId="0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0" fontId="22" fillId="2" borderId="66" xfId="0" applyFont="1" applyFill="1" applyBorder="1" applyAlignment="1">
      <alignment vertical="center"/>
    </xf>
    <xf numFmtId="0" fontId="22" fillId="2" borderId="68" xfId="0" applyFont="1" applyFill="1" applyBorder="1" applyAlignment="1">
      <alignment vertical="center"/>
    </xf>
    <xf numFmtId="0" fontId="22" fillId="2" borderId="93" xfId="0" applyFont="1" applyFill="1" applyBorder="1" applyAlignment="1">
      <alignment vertical="center"/>
    </xf>
    <xf numFmtId="0" fontId="22" fillId="2" borderId="98" xfId="0" applyFont="1" applyFill="1" applyBorder="1" applyAlignment="1">
      <alignment vertical="center"/>
    </xf>
    <xf numFmtId="0" fontId="18" fillId="3" borderId="80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left" vertical="center"/>
    </xf>
    <xf numFmtId="0" fontId="26" fillId="2" borderId="74" xfId="0" applyFont="1" applyFill="1" applyBorder="1" applyAlignment="1">
      <alignment horizontal="left"/>
    </xf>
    <xf numFmtId="4" fontId="45" fillId="6" borderId="121" xfId="0" applyNumberFormat="1" applyFont="1" applyFill="1" applyBorder="1"/>
    <xf numFmtId="0" fontId="15" fillId="2" borderId="9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" fontId="15" fillId="2" borderId="15" xfId="0" applyNumberFormat="1" applyFont="1" applyFill="1" applyBorder="1" applyAlignment="1"/>
    <xf numFmtId="4" fontId="11" fillId="2" borderId="0" xfId="0" applyNumberFormat="1" applyFont="1" applyFill="1" applyBorder="1" applyAlignment="1">
      <alignment horizontal="right" vertical="center"/>
    </xf>
    <xf numFmtId="10" fontId="45" fillId="6" borderId="121" xfId="0" applyNumberFormat="1" applyFont="1" applyFill="1" applyBorder="1" applyAlignment="1">
      <alignment horizontal="right"/>
    </xf>
    <xf numFmtId="10" fontId="15" fillId="2" borderId="18" xfId="131" applyNumberFormat="1" applyFont="1" applyFill="1" applyBorder="1" applyAlignment="1">
      <alignment horizontal="right"/>
    </xf>
    <xf numFmtId="10" fontId="11" fillId="2" borderId="104" xfId="0" applyNumberFormat="1" applyFont="1" applyFill="1" applyBorder="1" applyAlignment="1">
      <alignment horizontal="right" vertical="center"/>
    </xf>
    <xf numFmtId="10" fontId="11" fillId="2" borderId="68" xfId="0" applyNumberFormat="1" applyFont="1" applyFill="1" applyBorder="1" applyAlignment="1">
      <alignment horizontal="right" vertical="center"/>
    </xf>
    <xf numFmtId="10" fontId="11" fillId="2" borderId="71" xfId="0" applyNumberFormat="1" applyFont="1" applyFill="1" applyBorder="1" applyAlignment="1">
      <alignment horizontal="right" vertical="center"/>
    </xf>
    <xf numFmtId="10" fontId="36" fillId="2" borderId="0" xfId="0" applyNumberFormat="1" applyFont="1" applyFill="1" applyBorder="1" applyAlignment="1">
      <alignment horizontal="right" vertical="center"/>
    </xf>
    <xf numFmtId="10" fontId="15" fillId="2" borderId="18" xfId="0" applyNumberFormat="1" applyFont="1" applyFill="1" applyBorder="1" applyAlignment="1">
      <alignment horizontal="right"/>
    </xf>
    <xf numFmtId="4" fontId="44" fillId="6" borderId="121" xfId="0" applyNumberFormat="1" applyFont="1" applyFill="1" applyBorder="1"/>
    <xf numFmtId="0" fontId="20" fillId="2" borderId="0" xfId="0" applyFont="1" applyFill="1" applyAlignment="1">
      <alignment horizontal="left"/>
    </xf>
    <xf numFmtId="0" fontId="44" fillId="6" borderId="0" xfId="0" applyFont="1" applyFill="1" applyBorder="1" applyAlignment="1">
      <alignment horizontal="left"/>
    </xf>
    <xf numFmtId="4" fontId="44" fillId="6" borderId="0" xfId="0" applyNumberFormat="1" applyFont="1" applyFill="1" applyBorder="1"/>
    <xf numFmtId="0" fontId="18" fillId="3" borderId="123" xfId="0" applyFont="1" applyFill="1" applyBorder="1" applyAlignment="1">
      <alignment vertical="center"/>
    </xf>
    <xf numFmtId="0" fontId="20" fillId="3" borderId="124" xfId="0" applyFont="1" applyFill="1" applyBorder="1" applyAlignment="1">
      <alignment horizontal="center" vertical="center"/>
    </xf>
    <xf numFmtId="4" fontId="18" fillId="3" borderId="122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26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left" vertical="center"/>
    </xf>
    <xf numFmtId="4" fontId="15" fillId="2" borderId="125" xfId="0" applyNumberFormat="1" applyFont="1" applyFill="1" applyBorder="1" applyAlignment="1">
      <alignment vertical="center"/>
    </xf>
    <xf numFmtId="0" fontId="11" fillId="2" borderId="60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12" fillId="2" borderId="48" xfId="0" applyFont="1" applyFill="1" applyBorder="1"/>
    <xf numFmtId="4" fontId="26" fillId="2" borderId="128" xfId="0" applyNumberFormat="1" applyFont="1" applyFill="1" applyBorder="1"/>
    <xf numFmtId="4" fontId="29" fillId="2" borderId="129" xfId="0" applyNumberFormat="1" applyFont="1" applyFill="1" applyBorder="1"/>
    <xf numFmtId="0" fontId="29" fillId="3" borderId="61" xfId="0" applyFont="1" applyFill="1" applyBorder="1" applyAlignment="1">
      <alignment horizontal="center"/>
    </xf>
    <xf numFmtId="0" fontId="29" fillId="3" borderId="29" xfId="0" applyFont="1" applyFill="1" applyBorder="1" applyAlignment="1">
      <alignment horizontal="center"/>
    </xf>
    <xf numFmtId="0" fontId="26" fillId="2" borderId="29" xfId="0" applyFont="1" applyFill="1" applyBorder="1"/>
    <xf numFmtId="4" fontId="18" fillId="2" borderId="30" xfId="0" applyNumberFormat="1" applyFont="1" applyFill="1" applyBorder="1"/>
    <xf numFmtId="4" fontId="15" fillId="2" borderId="30" xfId="0" applyNumberFormat="1" applyFont="1" applyFill="1" applyBorder="1"/>
    <xf numFmtId="4" fontId="12" fillId="2" borderId="37" xfId="0" applyNumberFormat="1" applyFont="1" applyFill="1" applyBorder="1"/>
    <xf numFmtId="4" fontId="26" fillId="2" borderId="29" xfId="0" applyNumberFormat="1" applyFont="1" applyFill="1" applyBorder="1"/>
    <xf numFmtId="4" fontId="29" fillId="2" borderId="130" xfId="0" applyNumberFormat="1" applyFont="1" applyFill="1" applyBorder="1"/>
    <xf numFmtId="0" fontId="29" fillId="3" borderId="131" xfId="0" applyFont="1" applyFill="1" applyBorder="1" applyAlignment="1">
      <alignment horizontal="center"/>
    </xf>
    <xf numFmtId="0" fontId="26" fillId="2" borderId="131" xfId="0" applyFont="1" applyFill="1" applyBorder="1"/>
    <xf numFmtId="4" fontId="18" fillId="2" borderId="132" xfId="0" applyNumberFormat="1" applyFont="1" applyFill="1" applyBorder="1"/>
    <xf numFmtId="4" fontId="15" fillId="2" borderId="132" xfId="0" applyNumberFormat="1" applyFont="1" applyFill="1" applyBorder="1"/>
    <xf numFmtId="4" fontId="12" fillId="2" borderId="134" xfId="0" applyNumberFormat="1" applyFont="1" applyFill="1" applyBorder="1"/>
    <xf numFmtId="4" fontId="26" fillId="2" borderId="131" xfId="0" applyNumberFormat="1" applyFont="1" applyFill="1" applyBorder="1"/>
    <xf numFmtId="4" fontId="29" fillId="2" borderId="135" xfId="0" applyNumberFormat="1" applyFont="1" applyFill="1" applyBorder="1"/>
    <xf numFmtId="0" fontId="26" fillId="3" borderId="57" xfId="0" applyFont="1" applyFill="1" applyBorder="1"/>
    <xf numFmtId="0" fontId="26" fillId="3" borderId="58" xfId="0" applyFont="1" applyFill="1" applyBorder="1"/>
    <xf numFmtId="0" fontId="15" fillId="3" borderId="136" xfId="0" applyFont="1" applyFill="1" applyBorder="1" applyAlignment="1">
      <alignment horizontal="center"/>
    </xf>
    <xf numFmtId="0" fontId="15" fillId="3" borderId="137" xfId="0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9" fillId="3" borderId="60" xfId="0" applyFont="1" applyFill="1" applyBorder="1"/>
    <xf numFmtId="0" fontId="18" fillId="2" borderId="60" xfId="0" applyFont="1" applyFill="1" applyBorder="1" applyAlignment="1">
      <alignment horizontal="center"/>
    </xf>
    <xf numFmtId="0" fontId="26" fillId="2" borderId="61" xfId="0" applyFont="1" applyFill="1" applyBorder="1"/>
    <xf numFmtId="0" fontId="18" fillId="2" borderId="138" xfId="0" applyFont="1" applyFill="1" applyBorder="1" applyAlignment="1">
      <alignment horizontal="center"/>
    </xf>
    <xf numFmtId="4" fontId="18" fillId="2" borderId="139" xfId="0" applyNumberFormat="1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40" xfId="0" applyFont="1" applyFill="1" applyBorder="1" applyAlignment="1">
      <alignment horizontal="center"/>
    </xf>
    <xf numFmtId="0" fontId="12" fillId="2" borderId="142" xfId="0" applyFont="1" applyFill="1" applyBorder="1" applyAlignment="1">
      <alignment horizontal="center"/>
    </xf>
    <xf numFmtId="4" fontId="12" fillId="2" borderId="143" xfId="0" applyNumberFormat="1" applyFont="1" applyFill="1" applyBorder="1"/>
    <xf numFmtId="0" fontId="12" fillId="2" borderId="60" xfId="0" applyFont="1" applyFill="1" applyBorder="1" applyAlignment="1">
      <alignment horizontal="center"/>
    </xf>
    <xf numFmtId="0" fontId="30" fillId="2" borderId="60" xfId="0" applyFont="1" applyFill="1" applyBorder="1" applyAlignment="1">
      <alignment horizontal="center"/>
    </xf>
    <xf numFmtId="0" fontId="12" fillId="2" borderId="144" xfId="0" applyFont="1" applyFill="1" applyBorder="1" applyAlignment="1">
      <alignment horizontal="center"/>
    </xf>
    <xf numFmtId="0" fontId="12" fillId="2" borderId="145" xfId="0" applyFont="1" applyFill="1" applyBorder="1"/>
    <xf numFmtId="0" fontId="29" fillId="2" borderId="149" xfId="0" applyFont="1" applyFill="1" applyBorder="1" applyAlignment="1">
      <alignment horizontal="left"/>
    </xf>
    <xf numFmtId="0" fontId="15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2" fillId="2" borderId="150" xfId="0" applyFont="1" applyFill="1" applyBorder="1" applyAlignment="1">
      <alignment horizontal="center"/>
    </xf>
    <xf numFmtId="0" fontId="18" fillId="2" borderId="151" xfId="0" applyFont="1" applyFill="1" applyBorder="1" applyAlignment="1">
      <alignment horizontal="center"/>
    </xf>
    <xf numFmtId="2" fontId="12" fillId="2" borderId="152" xfId="0" applyNumberFormat="1" applyFont="1" applyFill="1" applyBorder="1" applyAlignment="1">
      <alignment horizontal="center"/>
    </xf>
    <xf numFmtId="0" fontId="18" fillId="2" borderId="149" xfId="0" applyFont="1" applyFill="1" applyBorder="1" applyAlignment="1">
      <alignment horizontal="center"/>
    </xf>
    <xf numFmtId="0" fontId="29" fillId="2" borderId="149" xfId="0" applyFont="1" applyFill="1" applyBorder="1" applyAlignment="1">
      <alignment horizontal="center"/>
    </xf>
    <xf numFmtId="4" fontId="18" fillId="2" borderId="153" xfId="0" applyNumberFormat="1" applyFont="1" applyFill="1" applyBorder="1"/>
    <xf numFmtId="4" fontId="12" fillId="2" borderId="154" xfId="0" applyNumberFormat="1" applyFont="1" applyFill="1" applyBorder="1"/>
    <xf numFmtId="2" fontId="26" fillId="2" borderId="155" xfId="0" applyNumberFormat="1" applyFont="1" applyFill="1" applyBorder="1"/>
    <xf numFmtId="4" fontId="18" fillId="2" borderId="41" xfId="0" applyNumberFormat="1" applyFont="1" applyFill="1" applyBorder="1"/>
    <xf numFmtId="0" fontId="11" fillId="2" borderId="0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2" xfId="0" applyFont="1" applyFill="1" applyBorder="1"/>
    <xf numFmtId="164" fontId="11" fillId="2" borderId="12" xfId="0" applyNumberFormat="1" applyFont="1" applyFill="1" applyBorder="1" applyAlignment="1">
      <alignment horizontal="center"/>
    </xf>
    <xf numFmtId="0" fontId="11" fillId="2" borderId="13" xfId="0" applyFont="1" applyFill="1" applyBorder="1"/>
    <xf numFmtId="164" fontId="11" fillId="2" borderId="0" xfId="0" applyNumberFormat="1" applyFont="1" applyFill="1" applyAlignment="1">
      <alignment horizontal="center"/>
    </xf>
    <xf numFmtId="0" fontId="21" fillId="3" borderId="28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4" fontId="21" fillId="3" borderId="31" xfId="0" applyNumberFormat="1" applyFont="1" applyFill="1" applyBorder="1" applyAlignment="1">
      <alignment horizontal="left" vertical="center"/>
    </xf>
    <xf numFmtId="0" fontId="12" fillId="3" borderId="32" xfId="0" applyFont="1" applyFill="1" applyBorder="1" applyAlignment="1">
      <alignment horizontal="left" vertical="center"/>
    </xf>
    <xf numFmtId="4" fontId="21" fillId="3" borderId="32" xfId="0" applyNumberFormat="1" applyFont="1" applyFill="1" applyBorder="1" applyAlignment="1">
      <alignment horizontal="right" vertical="center"/>
    </xf>
    <xf numFmtId="0" fontId="21" fillId="3" borderId="32" xfId="0" applyFont="1" applyFill="1" applyBorder="1" applyAlignment="1">
      <alignment horizontal="left" vertical="center"/>
    </xf>
    <xf numFmtId="0" fontId="21" fillId="3" borderId="29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left"/>
    </xf>
    <xf numFmtId="0" fontId="22" fillId="3" borderId="21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left"/>
    </xf>
    <xf numFmtId="0" fontId="21" fillId="3" borderId="30" xfId="0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26" fillId="2" borderId="12" xfId="0" applyFont="1" applyFill="1" applyBorder="1" applyAlignment="1">
      <alignment horizontal="left"/>
    </xf>
    <xf numFmtId="0" fontId="15" fillId="3" borderId="71" xfId="0" applyFont="1" applyFill="1" applyBorder="1" applyAlignment="1">
      <alignment horizontal="center" vertical="center"/>
    </xf>
    <xf numFmtId="0" fontId="15" fillId="3" borderId="87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/>
    </xf>
    <xf numFmtId="0" fontId="10" fillId="2" borderId="0" xfId="0" applyFont="1" applyFill="1"/>
    <xf numFmtId="4" fontId="15" fillId="3" borderId="91" xfId="0" applyNumberFormat="1" applyFont="1" applyFill="1" applyBorder="1" applyAlignment="1">
      <alignment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6" fillId="0" borderId="8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10" xfId="0" applyFont="1" applyFill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left"/>
      <protection locked="0"/>
    </xf>
    <xf numFmtId="0" fontId="23" fillId="0" borderId="160" xfId="0" applyFont="1" applyBorder="1" applyAlignment="1" applyProtection="1">
      <alignment horizontal="left"/>
      <protection locked="0"/>
    </xf>
    <xf numFmtId="0" fontId="23" fillId="0" borderId="161" xfId="0" applyFont="1" applyBorder="1" applyAlignment="1" applyProtection="1">
      <alignment horizontal="left"/>
      <protection locked="0"/>
    </xf>
    <xf numFmtId="0" fontId="23" fillId="0" borderId="162" xfId="0" applyFont="1" applyBorder="1" applyAlignment="1" applyProtection="1">
      <alignment horizontal="left"/>
      <protection locked="0"/>
    </xf>
    <xf numFmtId="0" fontId="23" fillId="0" borderId="163" xfId="0" applyFont="1" applyBorder="1" applyAlignment="1" applyProtection="1">
      <alignment horizontal="left"/>
      <protection locked="0"/>
    </xf>
    <xf numFmtId="0" fontId="23" fillId="0" borderId="164" xfId="0" applyFont="1" applyBorder="1" applyAlignment="1" applyProtection="1">
      <alignment horizontal="left"/>
      <protection locked="0"/>
    </xf>
    <xf numFmtId="0" fontId="23" fillId="0" borderId="165" xfId="0" applyFont="1" applyBorder="1" applyAlignment="1" applyProtection="1">
      <alignment horizontal="left"/>
      <protection locked="0"/>
    </xf>
    <xf numFmtId="0" fontId="23" fillId="0" borderId="166" xfId="0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167" xfId="0" applyFont="1" applyBorder="1" applyAlignment="1" applyProtection="1">
      <alignment horizontal="left"/>
      <protection locked="0"/>
    </xf>
    <xf numFmtId="0" fontId="16" fillId="2" borderId="3" xfId="0" applyFont="1" applyFill="1" applyBorder="1" applyProtection="1">
      <protection locked="0"/>
    </xf>
    <xf numFmtId="164" fontId="22" fillId="2" borderId="4" xfId="0" applyNumberFormat="1" applyFont="1" applyFill="1" applyBorder="1" applyAlignment="1" applyProtection="1">
      <alignment horizontal="center"/>
      <protection locked="0"/>
    </xf>
    <xf numFmtId="164" fontId="22" fillId="2" borderId="5" xfId="0" applyNumberFormat="1" applyFont="1" applyFill="1" applyBorder="1" applyAlignment="1" applyProtection="1">
      <alignment horizontal="center"/>
      <protection locked="0"/>
    </xf>
    <xf numFmtId="164" fontId="22" fillId="2" borderId="2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Protection="1">
      <protection locked="0"/>
    </xf>
    <xf numFmtId="10" fontId="26" fillId="2" borderId="4" xfId="0" applyNumberFormat="1" applyFont="1" applyFill="1" applyBorder="1" applyAlignment="1" applyProtection="1">
      <alignment horizontal="center"/>
      <protection locked="0"/>
    </xf>
    <xf numFmtId="3" fontId="26" fillId="2" borderId="4" xfId="0" applyNumberFormat="1" applyFont="1" applyFill="1" applyBorder="1" applyProtection="1">
      <protection locked="0"/>
    </xf>
    <xf numFmtId="4" fontId="26" fillId="2" borderId="4" xfId="0" applyNumberFormat="1" applyFont="1" applyFill="1" applyBorder="1" applyProtection="1">
      <protection locked="0"/>
    </xf>
    <xf numFmtId="0" fontId="26" fillId="2" borderId="5" xfId="0" applyFont="1" applyFill="1" applyBorder="1" applyProtection="1">
      <protection locked="0"/>
    </xf>
    <xf numFmtId="10" fontId="26" fillId="2" borderId="5" xfId="0" applyNumberFormat="1" applyFont="1" applyFill="1" applyBorder="1" applyAlignment="1" applyProtection="1">
      <alignment horizontal="center"/>
      <protection locked="0"/>
    </xf>
    <xf numFmtId="3" fontId="26" fillId="2" borderId="5" xfId="0" applyNumberFormat="1" applyFont="1" applyFill="1" applyBorder="1" applyProtection="1">
      <protection locked="0"/>
    </xf>
    <xf numFmtId="4" fontId="26" fillId="2" borderId="5" xfId="0" applyNumberFormat="1" applyFont="1" applyFill="1" applyBorder="1" applyProtection="1">
      <protection locked="0"/>
    </xf>
    <xf numFmtId="4" fontId="12" fillId="2" borderId="44" xfId="0" applyNumberFormat="1" applyFont="1" applyFill="1" applyBorder="1" applyProtection="1">
      <protection locked="0"/>
    </xf>
    <xf numFmtId="4" fontId="12" fillId="2" borderId="45" xfId="0" applyNumberFormat="1" applyFont="1" applyFill="1" applyBorder="1" applyProtection="1">
      <protection locked="0"/>
    </xf>
    <xf numFmtId="4" fontId="15" fillId="2" borderId="43" xfId="0" applyNumberFormat="1" applyFont="1" applyFill="1" applyBorder="1" applyProtection="1">
      <protection locked="0"/>
    </xf>
    <xf numFmtId="4" fontId="12" fillId="2" borderId="154" xfId="0" applyNumberFormat="1" applyFont="1" applyFill="1" applyBorder="1" applyProtection="1">
      <protection locked="0"/>
    </xf>
    <xf numFmtId="4" fontId="12" fillId="2" borderId="36" xfId="0" applyNumberFormat="1" applyFont="1" applyFill="1" applyBorder="1" applyProtection="1">
      <protection locked="0"/>
    </xf>
    <xf numFmtId="4" fontId="12" fillId="2" borderId="133" xfId="0" applyNumberFormat="1" applyFont="1" applyFill="1" applyBorder="1" applyProtection="1">
      <protection locked="0"/>
    </xf>
    <xf numFmtId="4" fontId="12" fillId="2" borderId="141" xfId="0" applyNumberFormat="1" applyFont="1" applyFill="1" applyBorder="1" applyProtection="1">
      <protection locked="0"/>
    </xf>
    <xf numFmtId="4" fontId="12" fillId="2" borderId="37" xfId="0" applyNumberFormat="1" applyFont="1" applyFill="1" applyBorder="1" applyProtection="1">
      <protection locked="0"/>
    </xf>
    <xf numFmtId="4" fontId="12" fillId="2" borderId="134" xfId="0" applyNumberFormat="1" applyFont="1" applyFill="1" applyBorder="1" applyProtection="1">
      <protection locked="0"/>
    </xf>
    <xf numFmtId="4" fontId="12" fillId="2" borderId="143" xfId="0" applyNumberFormat="1" applyFont="1" applyFill="1" applyBorder="1" applyProtection="1">
      <protection locked="0"/>
    </xf>
    <xf numFmtId="4" fontId="15" fillId="2" borderId="30" xfId="0" applyNumberFormat="1" applyFont="1" applyFill="1" applyBorder="1" applyProtection="1">
      <protection locked="0"/>
    </xf>
    <xf numFmtId="4" fontId="15" fillId="2" borderId="132" xfId="0" applyNumberFormat="1" applyFont="1" applyFill="1" applyBorder="1" applyProtection="1">
      <protection locked="0"/>
    </xf>
    <xf numFmtId="4" fontId="15" fillId="2" borderId="139" xfId="0" applyNumberFormat="1" applyFont="1" applyFill="1" applyBorder="1" applyProtection="1">
      <protection locked="0"/>
    </xf>
    <xf numFmtId="4" fontId="12" fillId="2" borderId="146" xfId="0" applyNumberFormat="1" applyFont="1" applyFill="1" applyBorder="1" applyProtection="1">
      <protection locked="0"/>
    </xf>
    <xf numFmtId="4" fontId="12" fillId="2" borderId="147" xfId="0" applyNumberFormat="1" applyFont="1" applyFill="1" applyBorder="1" applyProtection="1">
      <protection locked="0"/>
    </xf>
    <xf numFmtId="4" fontId="12" fillId="2" borderId="148" xfId="0" applyNumberFormat="1" applyFont="1" applyFill="1" applyBorder="1" applyProtection="1">
      <protection locked="0"/>
    </xf>
    <xf numFmtId="4" fontId="12" fillId="2" borderId="52" xfId="0" applyNumberFormat="1" applyFont="1" applyFill="1" applyBorder="1" applyProtection="1">
      <protection locked="0"/>
    </xf>
    <xf numFmtId="4" fontId="12" fillId="2" borderId="54" xfId="0" applyNumberFormat="1" applyFont="1" applyFill="1" applyBorder="1" applyProtection="1">
      <protection locked="0"/>
    </xf>
    <xf numFmtId="4" fontId="15" fillId="2" borderId="50" xfId="0" applyNumberFormat="1" applyFont="1" applyFill="1" applyBorder="1" applyProtection="1">
      <protection locked="0"/>
    </xf>
    <xf numFmtId="4" fontId="30" fillId="2" borderId="42" xfId="0" applyNumberFormat="1" applyFont="1" applyFill="1" applyBorder="1" applyProtection="1">
      <protection locked="0"/>
    </xf>
    <xf numFmtId="4" fontId="30" fillId="2" borderId="49" xfId="0" applyNumberFormat="1" applyFont="1" applyFill="1" applyBorder="1" applyProtection="1"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3" fontId="12" fillId="2" borderId="36" xfId="0" applyNumberFormat="1" applyFont="1" applyFill="1" applyBorder="1" applyAlignment="1" applyProtection="1">
      <alignment horizontal="center" vertical="center"/>
      <protection locked="0"/>
    </xf>
    <xf numFmtId="4" fontId="12" fillId="2" borderId="36" xfId="0" applyNumberFormat="1" applyFont="1" applyFill="1" applyBorder="1" applyAlignment="1" applyProtection="1">
      <alignment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vertical="center"/>
      <protection locked="0"/>
    </xf>
    <xf numFmtId="3" fontId="12" fillId="2" borderId="37" xfId="0" applyNumberFormat="1" applyFont="1" applyFill="1" applyBorder="1" applyAlignment="1" applyProtection="1">
      <alignment horizontal="center" vertical="center"/>
      <protection locked="0"/>
    </xf>
    <xf numFmtId="4" fontId="12" fillId="2" borderId="37" xfId="0" applyNumberFormat="1" applyFont="1" applyFill="1" applyBorder="1" applyAlignment="1" applyProtection="1">
      <alignment vertical="center"/>
      <protection locked="0"/>
    </xf>
    <xf numFmtId="4" fontId="15" fillId="2" borderId="77" xfId="0" applyNumberFormat="1" applyFont="1" applyFill="1" applyBorder="1" applyAlignment="1" applyProtection="1">
      <alignment vertical="center"/>
      <protection locked="0"/>
    </xf>
    <xf numFmtId="4" fontId="11" fillId="2" borderId="81" xfId="0" applyNumberFormat="1" applyFont="1" applyFill="1" applyBorder="1" applyAlignment="1" applyProtection="1">
      <alignment vertical="center"/>
      <protection locked="0"/>
    </xf>
    <xf numFmtId="4" fontId="11" fillId="2" borderId="82" xfId="0" applyNumberFormat="1" applyFont="1" applyFill="1" applyBorder="1" applyAlignment="1" applyProtection="1">
      <alignment vertical="center"/>
      <protection locked="0"/>
    </xf>
    <xf numFmtId="4" fontId="11" fillId="2" borderId="83" xfId="0" applyNumberFormat="1" applyFont="1" applyFill="1" applyBorder="1" applyAlignment="1" applyProtection="1">
      <alignment vertical="center"/>
      <protection locked="0"/>
    </xf>
    <xf numFmtId="4" fontId="15" fillId="2" borderId="78" xfId="0" applyNumberFormat="1" applyFont="1" applyFill="1" applyBorder="1" applyAlignment="1" applyProtection="1">
      <alignment vertical="center"/>
      <protection locked="0"/>
    </xf>
    <xf numFmtId="4" fontId="11" fillId="2" borderId="84" xfId="0" applyNumberFormat="1" applyFont="1" applyFill="1" applyBorder="1" applyAlignment="1" applyProtection="1">
      <alignment vertical="center"/>
      <protection locked="0"/>
    </xf>
    <xf numFmtId="4" fontId="11" fillId="2" borderId="85" xfId="0" applyNumberFormat="1" applyFont="1" applyFill="1" applyBorder="1" applyAlignment="1" applyProtection="1">
      <alignment vertical="center"/>
      <protection locked="0"/>
    </xf>
    <xf numFmtId="4" fontId="11" fillId="2" borderId="86" xfId="0" applyNumberFormat="1" applyFont="1" applyFill="1" applyBorder="1" applyAlignment="1" applyProtection="1">
      <alignment vertical="center"/>
      <protection locked="0"/>
    </xf>
    <xf numFmtId="4" fontId="15" fillId="2" borderId="79" xfId="0" applyNumberFormat="1" applyFont="1" applyFill="1" applyBorder="1" applyAlignment="1" applyProtection="1">
      <alignment vertical="center"/>
      <protection locked="0"/>
    </xf>
    <xf numFmtId="4" fontId="11" fillId="2" borderId="87" xfId="0" applyNumberFormat="1" applyFont="1" applyFill="1" applyBorder="1" applyAlignment="1" applyProtection="1">
      <alignment vertical="center"/>
      <protection locked="0"/>
    </xf>
    <xf numFmtId="4" fontId="11" fillId="2" borderId="88" xfId="0" applyNumberFormat="1" applyFont="1" applyFill="1" applyBorder="1" applyAlignment="1" applyProtection="1">
      <alignment vertical="center"/>
      <protection locked="0"/>
    </xf>
    <xf numFmtId="4" fontId="11" fillId="2" borderId="89" xfId="0" applyNumberFormat="1" applyFont="1" applyFill="1" applyBorder="1" applyAlignment="1" applyProtection="1">
      <alignment vertical="center"/>
      <protection locked="0"/>
    </xf>
    <xf numFmtId="4" fontId="11" fillId="2" borderId="102" xfId="0" applyNumberFormat="1" applyFont="1" applyFill="1" applyBorder="1" applyAlignment="1" applyProtection="1">
      <alignment vertical="center"/>
      <protection locked="0"/>
    </xf>
    <xf numFmtId="4" fontId="11" fillId="2" borderId="103" xfId="0" applyNumberFormat="1" applyFont="1" applyFill="1" applyBorder="1" applyAlignment="1" applyProtection="1">
      <alignment vertical="center"/>
      <protection locked="0"/>
    </xf>
    <xf numFmtId="4" fontId="11" fillId="2" borderId="96" xfId="0" applyNumberFormat="1" applyFont="1" applyFill="1" applyBorder="1" applyAlignment="1" applyProtection="1">
      <alignment vertical="center"/>
      <protection locked="0"/>
    </xf>
    <xf numFmtId="4" fontId="11" fillId="2" borderId="97" xfId="0" applyNumberFormat="1" applyFont="1" applyFill="1" applyBorder="1" applyAlignment="1" applyProtection="1">
      <alignment vertical="center"/>
      <protection locked="0"/>
    </xf>
    <xf numFmtId="0" fontId="11" fillId="2" borderId="69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98" xfId="0" applyNumberFormat="1" applyFont="1" applyFill="1" applyBorder="1" applyAlignment="1" applyProtection="1">
      <alignment horizontal="left" vertical="center"/>
      <protection locked="0"/>
    </xf>
    <xf numFmtId="10" fontId="10" fillId="2" borderId="104" xfId="131" applyNumberFormat="1" applyFont="1" applyFill="1" applyBorder="1" applyAlignment="1" applyProtection="1">
      <alignment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10" fontId="10" fillId="2" borderId="68" xfId="131" applyNumberFormat="1" applyFont="1" applyFill="1" applyBorder="1" applyAlignment="1" applyProtection="1">
      <alignment vertical="center"/>
      <protection locked="0"/>
    </xf>
    <xf numFmtId="4" fontId="10" fillId="2" borderId="68" xfId="0" applyNumberFormat="1" applyFont="1" applyFill="1" applyBorder="1" applyAlignment="1" applyProtection="1">
      <alignment vertical="center"/>
      <protection locked="0"/>
    </xf>
    <xf numFmtId="10" fontId="10" fillId="2" borderId="98" xfId="131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10" fontId="10" fillId="2" borderId="71" xfId="131" applyNumberFormat="1" applyFont="1" applyFill="1" applyBorder="1" applyAlignment="1" applyProtection="1">
      <alignment vertical="center"/>
      <protection locked="0"/>
    </xf>
    <xf numFmtId="4" fontId="10" fillId="2" borderId="71" xfId="0" applyNumberFormat="1" applyFont="1" applyFill="1" applyBorder="1" applyAlignment="1" applyProtection="1">
      <alignment vertical="center"/>
      <protection locked="0"/>
    </xf>
    <xf numFmtId="10" fontId="15" fillId="2" borderId="75" xfId="131" applyNumberFormat="1" applyFont="1" applyFill="1" applyBorder="1" applyAlignment="1">
      <alignment vertical="center"/>
    </xf>
    <xf numFmtId="4" fontId="15" fillId="2" borderId="15" xfId="0" applyNumberFormat="1" applyFont="1" applyFill="1" applyBorder="1" applyAlignment="1" applyProtection="1">
      <alignment vertical="center"/>
      <protection locked="0"/>
    </xf>
    <xf numFmtId="4" fontId="15" fillId="2" borderId="105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/>
      <protection locked="0"/>
    </xf>
    <xf numFmtId="4" fontId="11" fillId="2" borderId="77" xfId="0" applyNumberFormat="1" applyFont="1" applyFill="1" applyBorder="1" applyAlignment="1" applyProtection="1">
      <alignment vertical="center"/>
      <protection locked="0"/>
    </xf>
    <xf numFmtId="4" fontId="11" fillId="2" borderId="65" xfId="0" applyNumberFormat="1" applyFont="1" applyFill="1" applyBorder="1" applyAlignment="1" applyProtection="1">
      <alignment horizontal="left" vertical="center"/>
      <protection locked="0"/>
    </xf>
    <xf numFmtId="4" fontId="11" fillId="2" borderId="101" xfId="0" applyNumberFormat="1" applyFont="1" applyFill="1" applyBorder="1" applyAlignment="1" applyProtection="1">
      <alignment vertical="center"/>
      <protection locked="0"/>
    </xf>
    <xf numFmtId="4" fontId="11" fillId="2" borderId="78" xfId="0" applyNumberFormat="1" applyFont="1" applyFill="1" applyBorder="1" applyAlignment="1" applyProtection="1">
      <alignment vertical="center"/>
      <protection locked="0"/>
    </xf>
    <xf numFmtId="4" fontId="11" fillId="2" borderId="95" xfId="0" applyNumberFormat="1" applyFont="1" applyFill="1" applyBorder="1" applyAlignment="1" applyProtection="1">
      <alignment vertical="center"/>
      <protection locked="0"/>
    </xf>
    <xf numFmtId="4" fontId="11" fillId="2" borderId="79" xfId="0" applyNumberFormat="1" applyFont="1" applyFill="1" applyBorder="1" applyAlignment="1" applyProtection="1">
      <alignment vertical="center"/>
      <protection locked="0"/>
    </xf>
    <xf numFmtId="0" fontId="11" fillId="2" borderId="100" xfId="0" applyFont="1" applyFill="1" applyBorder="1" applyAlignment="1" applyProtection="1">
      <alignment horizontal="left" vertical="center"/>
      <protection locked="0"/>
    </xf>
    <xf numFmtId="0" fontId="11" fillId="2" borderId="67" xfId="0" applyFont="1" applyFill="1" applyBorder="1" applyAlignment="1" applyProtection="1">
      <alignment horizontal="left" vertical="center"/>
      <protection locked="0"/>
    </xf>
    <xf numFmtId="0" fontId="11" fillId="2" borderId="70" xfId="0" applyFont="1" applyFill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63" xfId="0" applyNumberFormat="1" applyFont="1" applyFill="1" applyBorder="1" applyAlignment="1" applyProtection="1">
      <alignment vertical="center"/>
      <protection locked="0"/>
    </xf>
    <xf numFmtId="4" fontId="11" fillId="2" borderId="66" xfId="0" applyNumberFormat="1" applyFont="1" applyFill="1" applyBorder="1" applyAlignment="1" applyProtection="1">
      <alignment vertical="center"/>
      <protection locked="0"/>
    </xf>
    <xf numFmtId="0" fontId="11" fillId="2" borderId="101" xfId="0" applyFont="1" applyFill="1" applyBorder="1" applyAlignment="1" applyProtection="1">
      <alignment horizontal="left" vertical="center"/>
      <protection locked="0"/>
    </xf>
    <xf numFmtId="0" fontId="11" fillId="2" borderId="78" xfId="0" applyFont="1" applyFill="1" applyBorder="1" applyAlignment="1" applyProtection="1">
      <alignment horizontal="left" vertical="center"/>
      <protection locked="0"/>
    </xf>
    <xf numFmtId="0" fontId="11" fillId="2" borderId="79" xfId="0" applyFont="1" applyFill="1" applyBorder="1" applyAlignment="1" applyProtection="1">
      <alignment horizontal="left" vertical="center"/>
      <protection locked="0"/>
    </xf>
    <xf numFmtId="0" fontId="21" fillId="3" borderId="76" xfId="0" applyFont="1" applyFill="1" applyBorder="1" applyAlignment="1">
      <alignment horizontal="center" vertical="center"/>
    </xf>
    <xf numFmtId="4" fontId="15" fillId="2" borderId="72" xfId="0" applyNumberFormat="1" applyFont="1" applyFill="1" applyBorder="1" applyAlignment="1" applyProtection="1">
      <alignment vertical="center"/>
      <protection locked="0"/>
    </xf>
    <xf numFmtId="4" fontId="15" fillId="2" borderId="115" xfId="0" applyNumberFormat="1" applyFont="1" applyFill="1" applyBorder="1" applyAlignment="1" applyProtection="1">
      <alignment vertical="center"/>
      <protection locked="0"/>
    </xf>
    <xf numFmtId="4" fontId="15" fillId="2" borderId="91" xfId="0" applyNumberFormat="1" applyFont="1" applyFill="1" applyBorder="1" applyAlignment="1" applyProtection="1">
      <alignment vertical="center"/>
      <protection locked="0"/>
    </xf>
    <xf numFmtId="4" fontId="11" fillId="2" borderId="108" xfId="0" applyNumberFormat="1" applyFont="1" applyFill="1" applyBorder="1" applyAlignment="1" applyProtection="1">
      <alignment vertical="center"/>
      <protection locked="0"/>
    </xf>
    <xf numFmtId="4" fontId="11" fillId="2" borderId="109" xfId="0" applyNumberFormat="1" applyFont="1" applyFill="1" applyBorder="1" applyAlignment="1" applyProtection="1">
      <alignment vertical="center"/>
      <protection locked="0"/>
    </xf>
    <xf numFmtId="4" fontId="11" fillId="2" borderId="110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4" fontId="11" fillId="2" borderId="100" xfId="0" applyNumberFormat="1" applyFont="1" applyFill="1" applyBorder="1" applyAlignment="1" applyProtection="1">
      <alignment horizontal="left" vertical="center"/>
      <protection locked="0"/>
    </xf>
    <xf numFmtId="4" fontId="11" fillId="2" borderId="70" xfId="0" applyNumberFormat="1" applyFont="1" applyFill="1" applyBorder="1" applyAlignment="1" applyProtection="1">
      <alignment horizontal="left" vertical="center"/>
      <protection locked="0"/>
    </xf>
    <xf numFmtId="4" fontId="11" fillId="2" borderId="79" xfId="0" applyNumberFormat="1" applyFont="1" applyFill="1" applyBorder="1" applyAlignment="1" applyProtection="1">
      <alignment horizontal="left" vertical="center"/>
      <protection locked="0"/>
    </xf>
    <xf numFmtId="4" fontId="22" fillId="2" borderId="101" xfId="0" applyNumberFormat="1" applyFont="1" applyFill="1" applyBorder="1" applyAlignment="1" applyProtection="1">
      <alignment vertical="center"/>
      <protection locked="0"/>
    </xf>
    <xf numFmtId="4" fontId="22" fillId="2" borderId="42" xfId="0" applyNumberFormat="1" applyFont="1" applyFill="1" applyBorder="1" applyAlignment="1" applyProtection="1">
      <alignment vertical="center"/>
      <protection locked="0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69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3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3" xfId="0" applyFont="1" applyFill="1" applyBorder="1" applyProtection="1">
      <protection locked="0"/>
    </xf>
    <xf numFmtId="0" fontId="22" fillId="2" borderId="4" xfId="0" applyFont="1" applyFill="1" applyBorder="1" applyAlignment="1" applyProtection="1">
      <protection locked="0"/>
    </xf>
    <xf numFmtId="0" fontId="22" fillId="2" borderId="5" xfId="0" applyFont="1" applyFill="1" applyBorder="1" applyAlignment="1" applyProtection="1">
      <protection locked="0"/>
    </xf>
    <xf numFmtId="0" fontId="22" fillId="2" borderId="2" xfId="0" applyFont="1" applyFill="1" applyBorder="1" applyAlignment="1" applyProtection="1">
      <protection locked="0"/>
    </xf>
    <xf numFmtId="10" fontId="26" fillId="2" borderId="4" xfId="0" applyNumberFormat="1" applyFont="1" applyFill="1" applyBorder="1" applyProtection="1">
      <protection locked="0"/>
    </xf>
    <xf numFmtId="10" fontId="26" fillId="2" borderId="5" xfId="0" applyNumberFormat="1" applyFont="1" applyFill="1" applyBorder="1" applyProtection="1">
      <protection locked="0"/>
    </xf>
    <xf numFmtId="4" fontId="11" fillId="2" borderId="77" xfId="0" applyNumberFormat="1" applyFont="1" applyFill="1" applyBorder="1" applyAlignment="1" applyProtection="1">
      <alignment horizontal="left" vertical="center"/>
      <protection locked="0"/>
    </xf>
    <xf numFmtId="0" fontId="11" fillId="2" borderId="77" xfId="0" applyFont="1" applyFill="1" applyBorder="1" applyAlignment="1" applyProtection="1">
      <alignment horizontal="left" vertical="center"/>
      <protection locked="0"/>
    </xf>
    <xf numFmtId="4" fontId="11" fillId="2" borderId="78" xfId="0" applyNumberFormat="1" applyFont="1" applyFill="1" applyBorder="1" applyAlignment="1" applyProtection="1">
      <alignment horizontal="left" vertical="center"/>
      <protection locked="0"/>
    </xf>
    <xf numFmtId="4" fontId="11" fillId="2" borderId="72" xfId="0" applyNumberFormat="1" applyFont="1" applyFill="1" applyBorder="1" applyAlignment="1" applyProtection="1">
      <alignment horizontal="right" vertical="center"/>
      <protection locked="0"/>
    </xf>
    <xf numFmtId="4" fontId="11" fillId="2" borderId="90" xfId="0" applyNumberFormat="1" applyFont="1" applyFill="1" applyBorder="1" applyAlignment="1" applyProtection="1">
      <alignment horizontal="right" vertical="center"/>
      <protection locked="0"/>
    </xf>
    <xf numFmtId="4" fontId="11" fillId="2" borderId="91" xfId="0" applyNumberFormat="1" applyFont="1" applyFill="1" applyBorder="1" applyAlignment="1" applyProtection="1">
      <alignment horizontal="right" vertical="center"/>
      <protection locked="0"/>
    </xf>
    <xf numFmtId="4" fontId="11" fillId="2" borderId="92" xfId="0" applyNumberFormat="1" applyFont="1" applyFill="1" applyBorder="1" applyAlignment="1" applyProtection="1">
      <alignment horizontal="righ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11" fillId="2" borderId="63" xfId="0" applyFont="1" applyFill="1" applyBorder="1" applyAlignment="1" applyProtection="1">
      <alignment vertical="center"/>
      <protection locked="0"/>
    </xf>
    <xf numFmtId="0" fontId="11" fillId="2" borderId="65" xfId="0" applyFont="1" applyFill="1" applyBorder="1" applyAlignment="1" applyProtection="1">
      <alignment vertical="center"/>
      <protection locked="0"/>
    </xf>
    <xf numFmtId="0" fontId="11" fillId="2" borderId="66" xfId="0" applyFont="1" applyFill="1" applyBorder="1" applyAlignment="1" applyProtection="1">
      <alignment vertical="center"/>
      <protection locked="0"/>
    </xf>
    <xf numFmtId="0" fontId="11" fillId="2" borderId="68" xfId="0" applyFont="1" applyFill="1" applyBorder="1" applyAlignment="1" applyProtection="1">
      <alignment vertical="center"/>
      <protection locked="0"/>
    </xf>
    <xf numFmtId="0" fontId="11" fillId="2" borderId="69" xfId="0" applyFont="1" applyFill="1" applyBorder="1" applyAlignment="1" applyProtection="1">
      <alignment vertical="center"/>
      <protection locked="0"/>
    </xf>
    <xf numFmtId="0" fontId="11" fillId="2" borderId="71" xfId="0" applyFont="1" applyFill="1" applyBorder="1" applyAlignment="1" applyProtection="1">
      <alignment vertical="center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15" fillId="2" borderId="92" xfId="0" applyNumberFormat="1" applyFont="1" applyFill="1" applyBorder="1" applyAlignment="1" applyProtection="1">
      <alignment vertical="center"/>
      <protection locked="0"/>
    </xf>
    <xf numFmtId="4" fontId="11" fillId="2" borderId="114" xfId="0" applyNumberFormat="1" applyFont="1" applyFill="1" applyBorder="1" applyAlignment="1" applyProtection="1">
      <alignment horizontal="right" vertical="center"/>
      <protection locked="0"/>
    </xf>
    <xf numFmtId="4" fontId="11" fillId="2" borderId="86" xfId="0" applyNumberFormat="1" applyFont="1" applyFill="1" applyBorder="1" applyAlignment="1" applyProtection="1">
      <alignment horizontal="right" vertical="center"/>
      <protection locked="0"/>
    </xf>
    <xf numFmtId="4" fontId="11" fillId="2" borderId="89" xfId="0" applyNumberFormat="1" applyFont="1" applyFill="1" applyBorder="1" applyAlignment="1" applyProtection="1">
      <alignment horizontal="right"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horizontal="right" vertical="center"/>
      <protection locked="0"/>
    </xf>
    <xf numFmtId="4" fontId="9" fillId="2" borderId="88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9" fillId="2" borderId="108" xfId="0" applyNumberFormat="1" applyFont="1" applyFill="1" applyBorder="1" applyAlignment="1" applyProtection="1">
      <alignment horizontal="right" vertical="center"/>
      <protection locked="0"/>
    </xf>
    <xf numFmtId="4" fontId="9" fillId="2" borderId="103" xfId="0" applyNumberFormat="1" applyFont="1" applyFill="1" applyBorder="1" applyAlignment="1" applyProtection="1">
      <alignment horizontal="right"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0" fontId="11" fillId="2" borderId="101" xfId="0" applyFont="1" applyFill="1" applyBorder="1" applyAlignment="1" applyProtection="1">
      <alignment horizontal="center" vertical="center"/>
      <protection locked="0"/>
    </xf>
    <xf numFmtId="0" fontId="11" fillId="2" borderId="78" xfId="0" applyFont="1" applyFill="1" applyBorder="1" applyAlignment="1" applyProtection="1">
      <alignment horizontal="center" vertical="center"/>
      <protection locked="0"/>
    </xf>
    <xf numFmtId="0" fontId="11" fillId="2" borderId="79" xfId="0" applyFont="1" applyFill="1" applyBorder="1" applyAlignment="1" applyProtection="1">
      <alignment horizontal="center" vertical="center"/>
      <protection locked="0"/>
    </xf>
    <xf numFmtId="4" fontId="11" fillId="2" borderId="101" xfId="0" applyNumberFormat="1" applyFont="1" applyFill="1" applyBorder="1" applyAlignment="1" applyProtection="1">
      <alignment horizontal="right" vertical="center"/>
      <protection locked="0"/>
    </xf>
    <xf numFmtId="4" fontId="11" fillId="2" borderId="100" xfId="0" applyNumberFormat="1" applyFont="1" applyFill="1" applyBorder="1" applyAlignment="1" applyProtection="1">
      <alignment horizontal="right" vertical="center"/>
      <protection locked="0"/>
    </xf>
    <xf numFmtId="4" fontId="11" fillId="2" borderId="78" xfId="0" applyNumberFormat="1" applyFont="1" applyFill="1" applyBorder="1" applyAlignment="1" applyProtection="1">
      <alignment horizontal="right" vertical="center"/>
      <protection locked="0"/>
    </xf>
    <xf numFmtId="4" fontId="11" fillId="2" borderId="79" xfId="0" applyNumberFormat="1" applyFont="1" applyFill="1" applyBorder="1" applyAlignment="1" applyProtection="1">
      <alignment horizontal="right" vertical="center"/>
      <protection locked="0"/>
    </xf>
    <xf numFmtId="4" fontId="11" fillId="2" borderId="70" xfId="0" applyNumberFormat="1" applyFont="1" applyFill="1" applyBorder="1" applyAlignment="1" applyProtection="1">
      <alignment horizontal="right" vertical="center"/>
      <protection locked="0"/>
    </xf>
    <xf numFmtId="4" fontId="15" fillId="3" borderId="77" xfId="0" applyNumberFormat="1" applyFont="1" applyFill="1" applyBorder="1" applyAlignment="1" applyProtection="1">
      <alignment horizontal="right" vertical="center"/>
      <protection locked="0"/>
    </xf>
    <xf numFmtId="4" fontId="15" fillId="3" borderId="101" xfId="0" applyNumberFormat="1" applyFont="1" applyFill="1" applyBorder="1" applyAlignment="1" applyProtection="1">
      <alignment horizontal="right" vertical="center"/>
      <protection locked="0"/>
    </xf>
    <xf numFmtId="4" fontId="15" fillId="3" borderId="78" xfId="0" applyNumberFormat="1" applyFont="1" applyFill="1" applyBorder="1" applyAlignment="1" applyProtection="1">
      <alignment horizontal="right" vertical="center"/>
      <protection locked="0"/>
    </xf>
    <xf numFmtId="4" fontId="15" fillId="3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0" fontId="47" fillId="2" borderId="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center" vertical="center"/>
    </xf>
    <xf numFmtId="4" fontId="15" fillId="2" borderId="114" xfId="0" applyNumberFormat="1" applyFont="1" applyFill="1" applyBorder="1" applyAlignment="1">
      <alignment horizontal="right" vertical="center"/>
    </xf>
    <xf numFmtId="4" fontId="9" fillId="2" borderId="15" xfId="0" applyNumberFormat="1" applyFont="1" applyFill="1" applyBorder="1" applyAlignment="1" applyProtection="1">
      <alignment vertical="center"/>
      <protection locked="0"/>
    </xf>
    <xf numFmtId="0" fontId="11" fillId="2" borderId="63" xfId="0" applyFont="1" applyFill="1" applyBorder="1" applyAlignment="1" applyProtection="1">
      <protection locked="0"/>
    </xf>
    <xf numFmtId="0" fontId="11" fillId="2" borderId="64" xfId="0" applyFont="1" applyFill="1" applyBorder="1" applyAlignment="1" applyProtection="1">
      <protection locked="0"/>
    </xf>
    <xf numFmtId="0" fontId="11" fillId="2" borderId="65" xfId="0" applyFont="1" applyFill="1" applyBorder="1" applyAlignment="1" applyProtection="1">
      <protection locked="0"/>
    </xf>
    <xf numFmtId="0" fontId="11" fillId="2" borderId="66" xfId="0" applyFont="1" applyFill="1" applyBorder="1" applyAlignment="1" applyProtection="1">
      <protection locked="0"/>
    </xf>
    <xf numFmtId="0" fontId="11" fillId="2" borderId="67" xfId="0" applyFont="1" applyFill="1" applyBorder="1" applyAlignment="1" applyProtection="1">
      <protection locked="0"/>
    </xf>
    <xf numFmtId="0" fontId="11" fillId="2" borderId="68" xfId="0" applyFont="1" applyFill="1" applyBorder="1" applyAlignment="1" applyProtection="1">
      <protection locked="0"/>
    </xf>
    <xf numFmtId="0" fontId="11" fillId="2" borderId="69" xfId="0" applyFont="1" applyFill="1" applyBorder="1" applyAlignment="1" applyProtection="1">
      <protection locked="0"/>
    </xf>
    <xf numFmtId="0" fontId="11" fillId="2" borderId="70" xfId="0" applyFont="1" applyFill="1" applyBorder="1" applyAlignment="1" applyProtection="1">
      <protection locked="0"/>
    </xf>
    <xf numFmtId="0" fontId="11" fillId="2" borderId="71" xfId="0" applyFont="1" applyFill="1" applyBorder="1" applyAlignment="1" applyProtection="1"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11" fillId="2" borderId="114" xfId="0" applyNumberFormat="1" applyFont="1" applyFill="1" applyBorder="1" applyAlignment="1" applyProtection="1">
      <alignment horizontal="right" vertical="center"/>
      <protection locked="0"/>
    </xf>
    <xf numFmtId="165" fontId="11" fillId="2" borderId="86" xfId="0" applyNumberFormat="1" applyFont="1" applyFill="1" applyBorder="1" applyAlignment="1" applyProtection="1">
      <alignment horizontal="right" vertical="center"/>
      <protection locked="0"/>
    </xf>
    <xf numFmtId="165" fontId="11" fillId="2" borderId="89" xfId="0" applyNumberFormat="1" applyFont="1" applyFill="1" applyBorder="1" applyAlignment="1" applyProtection="1">
      <alignment horizontal="right" vertical="center"/>
      <protection locked="0"/>
    </xf>
    <xf numFmtId="4" fontId="15" fillId="2" borderId="15" xfId="0" applyNumberFormat="1" applyFont="1" applyFill="1" applyBorder="1" applyAlignment="1" applyProtection="1">
      <protection locked="0"/>
    </xf>
    <xf numFmtId="0" fontId="9" fillId="2" borderId="99" xfId="0" applyFont="1" applyFill="1" applyBorder="1" applyAlignment="1">
      <alignment horizontal="left" vertical="center"/>
    </xf>
    <xf numFmtId="4" fontId="11" fillId="2" borderId="101" xfId="0" applyNumberFormat="1" applyFont="1" applyFill="1" applyBorder="1" applyAlignment="1" applyProtection="1">
      <alignment vertical="center"/>
    </xf>
    <xf numFmtId="4" fontId="11" fillId="2" borderId="79" xfId="0" applyNumberFormat="1" applyFont="1" applyFill="1" applyBorder="1" applyAlignment="1" applyProtection="1">
      <alignment vertical="center"/>
    </xf>
    <xf numFmtId="0" fontId="48" fillId="0" borderId="9" xfId="0" applyFont="1" applyFill="1" applyBorder="1" applyAlignment="1" applyProtection="1">
      <alignment horizontal="left"/>
      <protection locked="0"/>
    </xf>
    <xf numFmtId="0" fontId="48" fillId="0" borderId="0" xfId="0" applyFont="1" applyFill="1" applyBorder="1" applyAlignment="1" applyProtection="1">
      <alignment horizontal="left"/>
      <protection locked="0"/>
    </xf>
    <xf numFmtId="0" fontId="48" fillId="0" borderId="10" xfId="0" applyFont="1" applyFill="1" applyBorder="1" applyAlignment="1" applyProtection="1">
      <alignment horizontal="left"/>
      <protection locked="0"/>
    </xf>
    <xf numFmtId="0" fontId="48" fillId="0" borderId="9" xfId="0" applyFont="1" applyFill="1" applyBorder="1" applyAlignment="1" applyProtection="1">
      <alignment horizontal="left" vertical="center"/>
      <protection locked="0"/>
    </xf>
    <xf numFmtId="0" fontId="48" fillId="0" borderId="0" xfId="0" applyFont="1" applyFill="1" applyBorder="1" applyAlignment="1" applyProtection="1">
      <alignment horizontal="left" vertical="center"/>
      <protection locked="0"/>
    </xf>
    <xf numFmtId="0" fontId="48" fillId="0" borderId="10" xfId="0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left"/>
    </xf>
    <xf numFmtId="0" fontId="11" fillId="2" borderId="0" xfId="0" applyFont="1" applyFill="1" applyBorder="1" applyAlignment="1" applyProtection="1">
      <alignment horizontal="left" vertical="center"/>
    </xf>
    <xf numFmtId="4" fontId="26" fillId="2" borderId="0" xfId="0" applyNumberFormat="1" applyFont="1" applyFill="1" applyAlignment="1" applyProtection="1">
      <alignment horizontal="left"/>
    </xf>
    <xf numFmtId="0" fontId="26" fillId="2" borderId="6" xfId="0" applyFont="1" applyFill="1" applyBorder="1" applyAlignment="1" applyProtection="1">
      <alignment horizontal="left"/>
    </xf>
    <xf numFmtId="0" fontId="26" fillId="2" borderId="7" xfId="0" applyFont="1" applyFill="1" applyBorder="1" applyAlignment="1" applyProtection="1">
      <alignment horizontal="left"/>
    </xf>
    <xf numFmtId="4" fontId="26" fillId="2" borderId="7" xfId="0" applyNumberFormat="1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26" fillId="2" borderId="9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4" fontId="26" fillId="2" borderId="0" xfId="0" applyNumberFormat="1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/>
    </xf>
    <xf numFmtId="0" fontId="20" fillId="2" borderId="9" xfId="0" applyFont="1" applyFill="1" applyBorder="1" applyAlignment="1" applyProtection="1">
      <alignment horizontal="left"/>
    </xf>
    <xf numFmtId="0" fontId="18" fillId="5" borderId="0" xfId="0" applyFont="1" applyFill="1" applyBorder="1" applyAlignment="1" applyProtection="1">
      <alignment horizontal="left" vertical="center"/>
    </xf>
    <xf numFmtId="4" fontId="18" fillId="5" borderId="0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</xf>
    <xf numFmtId="4" fontId="18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22" fillId="2" borderId="9" xfId="0" applyFont="1" applyFill="1" applyBorder="1" applyAlignment="1" applyProtection="1">
      <alignment horizontal="left"/>
    </xf>
    <xf numFmtId="0" fontId="22" fillId="3" borderId="57" xfId="0" applyFont="1" applyFill="1" applyBorder="1" applyAlignment="1" applyProtection="1">
      <alignment vertical="center"/>
    </xf>
    <xf numFmtId="0" fontId="22" fillId="3" borderId="59" xfId="0" applyFont="1" applyFill="1" applyBorder="1" applyAlignment="1" applyProtection="1">
      <alignment vertical="center"/>
    </xf>
    <xf numFmtId="4" fontId="21" fillId="3" borderId="16" xfId="0" applyNumberFormat="1" applyFont="1" applyFill="1" applyBorder="1" applyAlignment="1" applyProtection="1">
      <alignment horizontal="right" vertical="center"/>
    </xf>
    <xf numFmtId="1" fontId="21" fillId="3" borderId="17" xfId="0" applyNumberFormat="1" applyFont="1" applyFill="1" applyBorder="1" applyAlignment="1" applyProtection="1">
      <alignment horizontal="center" vertical="center"/>
    </xf>
    <xf numFmtId="1" fontId="18" fillId="3" borderId="18" xfId="0" applyNumberFormat="1" applyFont="1" applyFill="1" applyBorder="1" applyAlignment="1" applyProtection="1">
      <alignment horizontal="left" vertical="center"/>
    </xf>
    <xf numFmtId="1" fontId="21" fillId="3" borderId="17" xfId="0" applyNumberFormat="1" applyFont="1" applyFill="1" applyBorder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/>
    </xf>
    <xf numFmtId="0" fontId="27" fillId="2" borderId="9" xfId="0" applyFont="1" applyFill="1" applyBorder="1" applyAlignment="1" applyProtection="1">
      <alignment horizontal="center"/>
    </xf>
    <xf numFmtId="0" fontId="18" fillId="3" borderId="62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left"/>
    </xf>
    <xf numFmtId="0" fontId="15" fillId="2" borderId="16" xfId="0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horizontal="left" vertical="center"/>
    </xf>
    <xf numFmtId="0" fontId="15" fillId="2" borderId="15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1" fillId="2" borderId="63" xfId="0" applyFont="1" applyFill="1" applyBorder="1" applyAlignment="1" applyProtection="1">
      <alignment vertical="center"/>
    </xf>
    <xf numFmtId="0" fontId="11" fillId="2" borderId="65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69" xfId="0" applyFont="1" applyFill="1" applyBorder="1" applyAlignment="1" applyProtection="1">
      <alignment vertical="center"/>
    </xf>
    <xf numFmtId="0" fontId="11" fillId="2" borderId="71" xfId="0" applyFont="1" applyFill="1" applyBorder="1" applyAlignment="1" applyProtection="1">
      <alignment vertical="center"/>
    </xf>
    <xf numFmtId="0" fontId="11" fillId="2" borderId="68" xfId="0" applyFont="1" applyFill="1" applyBorder="1" applyAlignment="1" applyProtection="1">
      <alignment vertical="center"/>
    </xf>
    <xf numFmtId="0" fontId="49" fillId="2" borderId="9" xfId="0" applyFont="1" applyFill="1" applyBorder="1" applyAlignment="1" applyProtection="1">
      <alignment horizontal="left"/>
    </xf>
    <xf numFmtId="0" fontId="49" fillId="2" borderId="63" xfId="0" applyFont="1" applyFill="1" applyBorder="1" applyAlignment="1" applyProtection="1">
      <alignment vertical="center"/>
    </xf>
    <xf numFmtId="0" fontId="49" fillId="2" borderId="65" xfId="0" applyFont="1" applyFill="1" applyBorder="1" applyAlignment="1" applyProtection="1">
      <alignment vertical="center"/>
    </xf>
    <xf numFmtId="4" fontId="49" fillId="2" borderId="77" xfId="0" applyNumberFormat="1" applyFont="1" applyFill="1" applyBorder="1" applyAlignment="1" applyProtection="1">
      <alignment vertical="center"/>
    </xf>
    <xf numFmtId="4" fontId="49" fillId="2" borderId="77" xfId="0" applyNumberFormat="1" applyFont="1" applyFill="1" applyBorder="1" applyAlignment="1" applyProtection="1">
      <alignment horizontal="left" vertical="center"/>
    </xf>
    <xf numFmtId="0" fontId="49" fillId="2" borderId="77" xfId="0" applyFont="1" applyFill="1" applyBorder="1" applyAlignment="1" applyProtection="1">
      <alignment horizontal="left" vertical="center"/>
    </xf>
    <xf numFmtId="0" fontId="49" fillId="2" borderId="10" xfId="0" applyFont="1" applyFill="1" applyBorder="1" applyAlignment="1" applyProtection="1">
      <alignment horizontal="left"/>
    </xf>
    <xf numFmtId="0" fontId="49" fillId="2" borderId="0" xfId="0" applyFont="1" applyFill="1" applyAlignment="1" applyProtection="1">
      <alignment horizontal="left" vertical="center"/>
    </xf>
    <xf numFmtId="0" fontId="15" fillId="2" borderId="73" xfId="0" applyFont="1" applyFill="1" applyBorder="1" applyAlignment="1" applyProtection="1">
      <alignment vertical="center"/>
    </xf>
    <xf numFmtId="0" fontId="15" fillId="2" borderId="75" xfId="0" applyFont="1" applyFill="1" applyBorder="1" applyAlignment="1" applyProtection="1">
      <alignment vertical="center"/>
    </xf>
    <xf numFmtId="4" fontId="15" fillId="2" borderId="72" xfId="0" applyNumberFormat="1" applyFont="1" applyFill="1" applyBorder="1" applyAlignment="1" applyProtection="1">
      <alignment vertical="center"/>
    </xf>
    <xf numFmtId="4" fontId="15" fillId="2" borderId="72" xfId="0" applyNumberFormat="1" applyFont="1" applyFill="1" applyBorder="1" applyAlignment="1" applyProtection="1">
      <alignment horizontal="left" vertical="center"/>
    </xf>
    <xf numFmtId="0" fontId="15" fillId="2" borderId="72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horizontal="left" vertical="center"/>
    </xf>
    <xf numFmtId="4" fontId="27" fillId="3" borderId="76" xfId="0" applyNumberFormat="1" applyFont="1" applyFill="1" applyBorder="1" applyAlignment="1" applyProtection="1">
      <alignment horizontal="center" vertical="center"/>
    </xf>
    <xf numFmtId="1" fontId="18" fillId="3" borderId="80" xfId="0" applyNumberFormat="1" applyFont="1" applyFill="1" applyBorder="1" applyAlignment="1" applyProtection="1">
      <alignment horizontal="center" vertical="center"/>
    </xf>
    <xf numFmtId="4" fontId="15" fillId="2" borderId="73" xfId="0" applyNumberFormat="1" applyFont="1" applyFill="1" applyBorder="1" applyAlignment="1" applyProtection="1">
      <alignment horizontal="left" vertical="center"/>
    </xf>
    <xf numFmtId="4" fontId="15" fillId="2" borderId="74" xfId="0" applyNumberFormat="1" applyFont="1" applyFill="1" applyBorder="1" applyAlignment="1" applyProtection="1">
      <alignment horizontal="left" vertical="center"/>
    </xf>
    <xf numFmtId="4" fontId="15" fillId="2" borderId="75" xfId="0" applyNumberFormat="1" applyFont="1" applyFill="1" applyBorder="1" applyAlignment="1" applyProtection="1">
      <alignment horizontal="left" vertical="center"/>
    </xf>
    <xf numFmtId="4" fontId="15" fillId="2" borderId="16" xfId="0" applyNumberFormat="1" applyFont="1" applyFill="1" applyBorder="1" applyAlignment="1" applyProtection="1">
      <alignment horizontal="left" vertical="center"/>
    </xf>
    <xf numFmtId="4" fontId="15" fillId="2" borderId="17" xfId="0" applyNumberFormat="1" applyFont="1" applyFill="1" applyBorder="1" applyAlignment="1" applyProtection="1">
      <alignment horizontal="left" vertical="center"/>
    </xf>
    <xf numFmtId="4" fontId="15" fillId="2" borderId="18" xfId="0" applyNumberFormat="1" applyFont="1" applyFill="1" applyBorder="1" applyAlignment="1" applyProtection="1">
      <alignment horizontal="left" vertical="center"/>
    </xf>
    <xf numFmtId="0" fontId="10" fillId="2" borderId="99" xfId="0" applyFont="1" applyFill="1" applyBorder="1" applyAlignment="1" applyProtection="1">
      <alignment vertical="center"/>
    </xf>
    <xf numFmtId="0" fontId="11" fillId="2" borderId="104" xfId="0" applyFont="1" applyFill="1" applyBorder="1" applyAlignment="1" applyProtection="1">
      <alignment vertical="center"/>
    </xf>
    <xf numFmtId="0" fontId="10" fillId="2" borderId="66" xfId="0" applyFont="1" applyFill="1" applyBorder="1" applyAlignment="1" applyProtection="1">
      <alignment vertical="center"/>
    </xf>
    <xf numFmtId="0" fontId="10" fillId="2" borderId="93" xfId="0" applyFont="1" applyFill="1" applyBorder="1" applyAlignment="1" applyProtection="1">
      <alignment vertical="center"/>
    </xf>
    <xf numFmtId="0" fontId="11" fillId="2" borderId="98" xfId="0" applyFont="1" applyFill="1" applyBorder="1" applyAlignment="1" applyProtection="1">
      <alignment vertical="center"/>
    </xf>
    <xf numFmtId="0" fontId="15" fillId="2" borderId="10" xfId="0" applyFont="1" applyFill="1" applyBorder="1" applyAlignment="1" applyProtection="1">
      <alignment horizontal="left"/>
    </xf>
    <xf numFmtId="0" fontId="9" fillId="2" borderId="66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horizontal="left" vertical="center"/>
    </xf>
    <xf numFmtId="0" fontId="40" fillId="2" borderId="0" xfId="0" applyFont="1" applyFill="1" applyBorder="1" applyAlignment="1" applyProtection="1">
      <alignment vertical="center"/>
    </xf>
    <xf numFmtId="4" fontId="40" fillId="2" borderId="0" xfId="0" applyNumberFormat="1" applyFont="1" applyFill="1" applyBorder="1" applyAlignment="1" applyProtection="1">
      <alignment horizontal="left" vertical="center"/>
    </xf>
    <xf numFmtId="0" fontId="26" fillId="2" borderId="11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left"/>
    </xf>
    <xf numFmtId="0" fontId="26" fillId="2" borderId="13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0" fontId="25" fillId="2" borderId="0" xfId="0" applyFont="1" applyFill="1" applyAlignment="1" applyProtection="1">
      <alignment horizontal="right"/>
    </xf>
    <xf numFmtId="0" fontId="23" fillId="2" borderId="0" xfId="0" applyFont="1" applyFill="1" applyAlignment="1" applyProtection="1">
      <alignment horizontal="left"/>
    </xf>
    <xf numFmtId="0" fontId="11" fillId="2" borderId="156" xfId="0" applyFont="1" applyFill="1" applyBorder="1" applyAlignment="1" applyProtection="1">
      <alignment vertical="center"/>
      <protection locked="0"/>
    </xf>
    <xf numFmtId="0" fontId="11" fillId="2" borderId="157" xfId="0" applyFont="1" applyFill="1" applyBorder="1" applyAlignment="1" applyProtection="1">
      <alignment vertical="center"/>
      <protection locked="0"/>
    </xf>
    <xf numFmtId="4" fontId="11" fillId="2" borderId="158" xfId="0" applyNumberFormat="1" applyFont="1" applyFill="1" applyBorder="1" applyAlignment="1" applyProtection="1">
      <alignment horizontal="right" vertical="center"/>
      <protection locked="0"/>
    </xf>
    <xf numFmtId="4" fontId="11" fillId="2" borderId="156" xfId="0" applyNumberFormat="1" applyFont="1" applyFill="1" applyBorder="1" applyAlignment="1" applyProtection="1">
      <alignment horizontal="left" vertical="center"/>
      <protection locked="0"/>
    </xf>
    <xf numFmtId="4" fontId="11" fillId="2" borderId="159" xfId="0" applyNumberFormat="1" applyFont="1" applyFill="1" applyBorder="1" applyAlignment="1" applyProtection="1">
      <alignment horizontal="left" vertical="center"/>
      <protection locked="0"/>
    </xf>
    <xf numFmtId="4" fontId="11" fillId="2" borderId="157" xfId="0" applyNumberFormat="1" applyFont="1" applyFill="1" applyBorder="1" applyAlignment="1" applyProtection="1">
      <alignment horizontal="left" vertical="center"/>
      <protection locked="0"/>
    </xf>
    <xf numFmtId="4" fontId="11" fillId="2" borderId="67" xfId="0" applyNumberFormat="1" applyFont="1" applyFill="1" applyBorder="1" applyAlignment="1" applyProtection="1">
      <alignment horizontal="left" vertical="center"/>
      <protection locked="0"/>
    </xf>
    <xf numFmtId="4" fontId="11" fillId="2" borderId="63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93" xfId="0" applyNumberFormat="1" applyFont="1" applyFill="1" applyBorder="1" applyAlignment="1" applyProtection="1">
      <alignment horizontal="left" vertical="center"/>
      <protection locked="0"/>
    </xf>
    <xf numFmtId="4" fontId="11" fillId="2" borderId="94" xfId="0" applyNumberFormat="1" applyFont="1" applyFill="1" applyBorder="1" applyAlignment="1" applyProtection="1">
      <alignment horizontal="left" vertical="center"/>
      <protection locked="0"/>
    </xf>
    <xf numFmtId="4" fontId="30" fillId="2" borderId="29" xfId="0" applyNumberFormat="1" applyFont="1" applyFill="1" applyBorder="1" applyProtection="1">
      <protection locked="0"/>
    </xf>
    <xf numFmtId="4" fontId="30" fillId="2" borderId="131" xfId="0" applyNumberFormat="1" applyFont="1" applyFill="1" applyBorder="1" applyProtection="1">
      <protection locked="0"/>
    </xf>
    <xf numFmtId="4" fontId="30" fillId="2" borderId="61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0" fontId="46" fillId="2" borderId="0" xfId="0" applyFont="1" applyFill="1" applyBorder="1" applyAlignment="1">
      <alignment horizontal="right"/>
    </xf>
    <xf numFmtId="0" fontId="9" fillId="2" borderId="63" xfId="0" applyFont="1" applyFill="1" applyBorder="1" applyAlignment="1" applyProtection="1">
      <alignment vertical="center"/>
      <protection locked="0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>
      <alignment horizontal="right" wrapText="1"/>
    </xf>
    <xf numFmtId="4" fontId="9" fillId="2" borderId="104" xfId="0" applyNumberFormat="1" applyFont="1" applyFill="1" applyBorder="1" applyAlignment="1" applyProtection="1">
      <alignment horizontal="right" vertical="center"/>
      <protection locked="0"/>
    </xf>
    <xf numFmtId="4" fontId="9" fillId="2" borderId="68" xfId="0" applyNumberFormat="1" applyFont="1" applyFill="1" applyBorder="1" applyAlignment="1" applyProtection="1">
      <alignment horizontal="right" vertical="center"/>
      <protection locked="0"/>
    </xf>
    <xf numFmtId="4" fontId="9" fillId="2" borderId="7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26" fillId="2" borderId="0" xfId="0" applyFont="1" applyFill="1" applyProtection="1"/>
    <xf numFmtId="0" fontId="2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6" fillId="2" borderId="6" xfId="0" applyFont="1" applyFill="1" applyBorder="1" applyProtection="1"/>
    <xf numFmtId="0" fontId="26" fillId="2" borderId="7" xfId="0" applyFont="1" applyFill="1" applyBorder="1" applyProtection="1"/>
    <xf numFmtId="0" fontId="26" fillId="2" borderId="8" xfId="0" applyFont="1" applyFill="1" applyBorder="1" applyProtection="1"/>
    <xf numFmtId="0" fontId="26" fillId="2" borderId="9" xfId="0" applyFont="1" applyFill="1" applyBorder="1" applyProtection="1"/>
    <xf numFmtId="0" fontId="15" fillId="2" borderId="0" xfId="0" applyFont="1" applyFill="1" applyBorder="1" applyProtection="1"/>
    <xf numFmtId="0" fontId="26" fillId="2" borderId="10" xfId="0" applyFont="1" applyFill="1" applyBorder="1" applyProtection="1"/>
    <xf numFmtId="0" fontId="2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Protection="1"/>
    <xf numFmtId="0" fontId="27" fillId="2" borderId="0" xfId="0" applyFont="1" applyFill="1" applyBorder="1" applyAlignment="1" applyProtection="1">
      <alignment horizontal="center" vertical="center"/>
    </xf>
    <xf numFmtId="0" fontId="12" fillId="2" borderId="9" xfId="0" applyFont="1" applyFill="1" applyBorder="1" applyProtection="1"/>
    <xf numFmtId="0" fontId="15" fillId="4" borderId="0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0" xfId="0" applyFont="1" applyFill="1" applyProtection="1"/>
    <xf numFmtId="0" fontId="20" fillId="2" borderId="9" xfId="0" applyFont="1" applyFill="1" applyBorder="1" applyProtection="1"/>
    <xf numFmtId="0" fontId="18" fillId="5" borderId="0" xfId="0" applyFont="1" applyFill="1" applyBorder="1" applyAlignment="1" applyProtection="1">
      <alignment vertical="center"/>
    </xf>
    <xf numFmtId="0" fontId="20" fillId="2" borderId="10" xfId="0" applyFont="1" applyFill="1" applyBorder="1" applyProtection="1"/>
    <xf numFmtId="0" fontId="18" fillId="2" borderId="0" xfId="0" applyFont="1" applyFill="1" applyAlignment="1" applyProtection="1">
      <alignment vertical="center"/>
    </xf>
    <xf numFmtId="0" fontId="15" fillId="2" borderId="1" xfId="0" applyFont="1" applyFill="1" applyBorder="1" applyProtection="1"/>
    <xf numFmtId="0" fontId="34" fillId="2" borderId="1" xfId="0" applyNumberFormat="1" applyFont="1" applyFill="1" applyBorder="1" applyAlignment="1" applyProtection="1">
      <alignment horizontal="left"/>
    </xf>
    <xf numFmtId="0" fontId="26" fillId="2" borderId="1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50" fillId="2" borderId="0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horizontal="center" wrapText="1"/>
    </xf>
    <xf numFmtId="0" fontId="34" fillId="2" borderId="1" xfId="0" applyFont="1" applyFill="1" applyBorder="1" applyAlignment="1" applyProtection="1">
      <alignment horizont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34" fillId="2" borderId="1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wrapText="1"/>
    </xf>
    <xf numFmtId="0" fontId="26" fillId="2" borderId="0" xfId="0" applyFont="1" applyFill="1" applyAlignment="1" applyProtection="1">
      <alignment wrapText="1"/>
    </xf>
    <xf numFmtId="0" fontId="23" fillId="6" borderId="1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center" wrapText="1"/>
    </xf>
    <xf numFmtId="0" fontId="26" fillId="2" borderId="0" xfId="0" quotePrefix="1" applyFont="1" applyFill="1" applyBorder="1" applyAlignment="1" applyProtection="1">
      <alignment horizontal="left"/>
    </xf>
    <xf numFmtId="0" fontId="26" fillId="2" borderId="11" xfId="0" applyFont="1" applyFill="1" applyBorder="1" applyProtection="1"/>
    <xf numFmtId="0" fontId="26" fillId="2" borderId="12" xfId="0" applyFont="1" applyFill="1" applyBorder="1" applyProtection="1"/>
    <xf numFmtId="0" fontId="26" fillId="2" borderId="13" xfId="0" applyFont="1" applyFill="1" applyBorder="1" applyProtection="1"/>
    <xf numFmtId="0" fontId="23" fillId="2" borderId="0" xfId="0" applyFont="1" applyFill="1" applyBorder="1" applyProtection="1"/>
    <xf numFmtId="0" fontId="23" fillId="2" borderId="0" xfId="0" applyFont="1" applyFill="1" applyProtection="1"/>
    <xf numFmtId="3" fontId="26" fillId="2" borderId="4" xfId="0" applyNumberFormat="1" applyFont="1" applyFill="1" applyBorder="1" applyAlignment="1" applyProtection="1">
      <alignment horizontal="center"/>
      <protection locked="0"/>
    </xf>
    <xf numFmtId="3" fontId="26" fillId="2" borderId="5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Alignment="1" applyProtection="1">
      <alignment horizontal="center"/>
      <protection locked="0"/>
    </xf>
    <xf numFmtId="0" fontId="26" fillId="2" borderId="5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Protection="1"/>
    <xf numFmtId="0" fontId="8" fillId="2" borderId="0" xfId="0" applyFont="1" applyFill="1" applyBorder="1" applyProtection="1"/>
    <xf numFmtId="0" fontId="8" fillId="2" borderId="10" xfId="0" applyFont="1" applyFill="1" applyBorder="1" applyProtection="1"/>
    <xf numFmtId="0" fontId="8" fillId="2" borderId="0" xfId="0" applyFont="1" applyFill="1" applyProtection="1"/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15" fillId="3" borderId="15" xfId="0" applyNumberFormat="1" applyFont="1" applyFill="1" applyBorder="1" applyAlignment="1" applyProtection="1">
      <alignment horizontal="center" wrapText="1"/>
    </xf>
    <xf numFmtId="4" fontId="15" fillId="2" borderId="77" xfId="0" applyNumberFormat="1" applyFont="1" applyFill="1" applyBorder="1" applyProtection="1"/>
    <xf numFmtId="4" fontId="15" fillId="2" borderId="78" xfId="0" applyNumberFormat="1" applyFont="1" applyFill="1" applyBorder="1" applyProtection="1"/>
    <xf numFmtId="4" fontId="15" fillId="2" borderId="79" xfId="0" applyNumberFormat="1" applyFont="1" applyFill="1" applyBorder="1" applyProtection="1"/>
    <xf numFmtId="4" fontId="29" fillId="2" borderId="130" xfId="0" applyNumberFormat="1" applyFont="1" applyFill="1" applyBorder="1" applyAlignment="1" applyProtection="1">
      <alignment horizontal="center"/>
    </xf>
    <xf numFmtId="3" fontId="29" fillId="2" borderId="130" xfId="0" applyNumberFormat="1" applyFont="1" applyFill="1" applyBorder="1" applyAlignment="1" applyProtection="1">
      <alignment horizontal="center"/>
    </xf>
    <xf numFmtId="4" fontId="29" fillId="3" borderId="172" xfId="0" applyNumberFormat="1" applyFont="1" applyFill="1" applyBorder="1" applyProtection="1"/>
    <xf numFmtId="4" fontId="29" fillId="3" borderId="129" xfId="0" applyNumberFormat="1" applyFont="1" applyFill="1" applyBorder="1" applyProtection="1"/>
    <xf numFmtId="4" fontId="29" fillId="3" borderId="130" xfId="0" applyNumberFormat="1" applyFont="1" applyFill="1" applyBorder="1" applyProtection="1"/>
    <xf numFmtId="4" fontId="29" fillId="2" borderId="171" xfId="0" applyNumberFormat="1" applyFont="1" applyFill="1" applyBorder="1" applyProtection="1"/>
    <xf numFmtId="4" fontId="29" fillId="2" borderId="170" xfId="0" applyNumberFormat="1" applyFont="1" applyFill="1" applyBorder="1" applyProtection="1"/>
    <xf numFmtId="165" fontId="8" fillId="2" borderId="77" xfId="0" applyNumberFormat="1" applyFont="1" applyFill="1" applyBorder="1" applyAlignment="1" applyProtection="1">
      <alignment horizontal="center"/>
      <protection locked="0"/>
    </xf>
    <xf numFmtId="3" fontId="8" fillId="2" borderId="77" xfId="0" applyNumberFormat="1" applyFont="1" applyFill="1" applyBorder="1" applyAlignment="1" applyProtection="1">
      <alignment horizontal="center"/>
      <protection locked="0"/>
    </xf>
    <xf numFmtId="3" fontId="8" fillId="2" borderId="81" xfId="0" applyNumberFormat="1" applyFont="1" applyFill="1" applyBorder="1" applyAlignment="1" applyProtection="1">
      <alignment horizontal="center"/>
      <protection locked="0"/>
    </xf>
    <xf numFmtId="0" fontId="8" fillId="2" borderId="83" xfId="0" applyFont="1" applyFill="1" applyBorder="1" applyAlignment="1" applyProtection="1">
      <alignment horizontal="center"/>
      <protection locked="0"/>
    </xf>
    <xf numFmtId="4" fontId="8" fillId="2" borderId="77" xfId="0" applyNumberFormat="1" applyFont="1" applyFill="1" applyBorder="1" applyProtection="1">
      <protection locked="0"/>
    </xf>
    <xf numFmtId="165" fontId="8" fillId="2" borderId="78" xfId="0" applyNumberFormat="1" applyFont="1" applyFill="1" applyBorder="1" applyAlignment="1" applyProtection="1">
      <alignment horizontal="center" wrapText="1"/>
      <protection locked="0"/>
    </xf>
    <xf numFmtId="3" fontId="8" fillId="2" borderId="78" xfId="0" applyNumberFormat="1" applyFont="1" applyFill="1" applyBorder="1" applyAlignment="1" applyProtection="1">
      <alignment horizontal="center" wrapText="1"/>
      <protection locked="0"/>
    </xf>
    <xf numFmtId="3" fontId="8" fillId="2" borderId="84" xfId="0" applyNumberFormat="1" applyFont="1" applyFill="1" applyBorder="1" applyAlignment="1" applyProtection="1">
      <alignment horizontal="center" wrapText="1"/>
      <protection locked="0"/>
    </xf>
    <xf numFmtId="0" fontId="8" fillId="2" borderId="86" xfId="0" applyFont="1" applyFill="1" applyBorder="1" applyAlignment="1" applyProtection="1">
      <alignment horizontal="center" wrapText="1"/>
      <protection locked="0"/>
    </xf>
    <xf numFmtId="0" fontId="8" fillId="2" borderId="78" xfId="0" applyFont="1" applyFill="1" applyBorder="1" applyAlignment="1" applyProtection="1">
      <alignment horizontal="center" wrapText="1"/>
      <protection locked="0"/>
    </xf>
    <xf numFmtId="4" fontId="8" fillId="2" borderId="78" xfId="0" applyNumberFormat="1" applyFont="1" applyFill="1" applyBorder="1" applyAlignment="1" applyProtection="1">
      <alignment wrapText="1"/>
      <protection locked="0"/>
    </xf>
    <xf numFmtId="165" fontId="8" fillId="2" borderId="78" xfId="0" applyNumberFormat="1" applyFont="1" applyFill="1" applyBorder="1" applyAlignment="1" applyProtection="1">
      <alignment horizontal="center"/>
      <protection locked="0"/>
    </xf>
    <xf numFmtId="3" fontId="8" fillId="2" borderId="78" xfId="0" applyNumberFormat="1" applyFont="1" applyFill="1" applyBorder="1" applyAlignment="1" applyProtection="1">
      <alignment horizontal="center"/>
      <protection locked="0"/>
    </xf>
    <xf numFmtId="3" fontId="8" fillId="2" borderId="84" xfId="0" applyNumberFormat="1" applyFont="1" applyFill="1" applyBorder="1" applyAlignment="1" applyProtection="1">
      <alignment horizontal="center"/>
      <protection locked="0"/>
    </xf>
    <xf numFmtId="0" fontId="8" fillId="2" borderId="86" xfId="0" applyFont="1" applyFill="1" applyBorder="1" applyAlignment="1" applyProtection="1">
      <alignment horizontal="center"/>
      <protection locked="0"/>
    </xf>
    <xf numFmtId="0" fontId="8" fillId="2" borderId="78" xfId="0" applyFont="1" applyFill="1" applyBorder="1" applyAlignment="1" applyProtection="1">
      <alignment horizontal="center"/>
      <protection locked="0"/>
    </xf>
    <xf numFmtId="4" fontId="8" fillId="2" borderId="78" xfId="0" applyNumberFormat="1" applyFont="1" applyFill="1" applyBorder="1" applyProtection="1">
      <protection locked="0"/>
    </xf>
    <xf numFmtId="4" fontId="8" fillId="2" borderId="78" xfId="0" applyNumberFormat="1" applyFont="1" applyFill="1" applyBorder="1" applyAlignment="1" applyProtection="1">
      <alignment horizontal="left"/>
      <protection locked="0"/>
    </xf>
    <xf numFmtId="165" fontId="8" fillId="2" borderId="79" xfId="0" applyNumberFormat="1" applyFont="1" applyFill="1" applyBorder="1" applyAlignment="1" applyProtection="1">
      <alignment horizontal="center"/>
      <protection locked="0"/>
    </xf>
    <xf numFmtId="3" fontId="8" fillId="2" borderId="87" xfId="0" applyNumberFormat="1" applyFont="1" applyFill="1" applyBorder="1" applyAlignment="1" applyProtection="1">
      <alignment horizontal="center"/>
      <protection locked="0"/>
    </xf>
    <xf numFmtId="0" fontId="8" fillId="2" borderId="89" xfId="0" applyFont="1" applyFill="1" applyBorder="1" applyAlignment="1" applyProtection="1">
      <alignment horizontal="center"/>
      <protection locked="0"/>
    </xf>
    <xf numFmtId="0" fontId="8" fillId="2" borderId="79" xfId="0" applyFont="1" applyFill="1" applyBorder="1" applyAlignment="1" applyProtection="1">
      <alignment horizontal="center"/>
      <protection locked="0"/>
    </xf>
    <xf numFmtId="4" fontId="29" fillId="2" borderId="130" xfId="0" applyNumberFormat="1" applyFont="1" applyFill="1" applyBorder="1" applyProtection="1">
      <protection locked="0"/>
    </xf>
    <xf numFmtId="0" fontId="8" fillId="2" borderId="66" xfId="0" applyFont="1" applyFill="1" applyBorder="1" applyAlignment="1" applyProtection="1">
      <alignment horizontal="left"/>
      <protection locked="0"/>
    </xf>
    <xf numFmtId="0" fontId="8" fillId="2" borderId="68" xfId="0" applyFont="1" applyFill="1" applyBorder="1" applyAlignment="1" applyProtection="1">
      <alignment horizontal="left"/>
      <protection locked="0"/>
    </xf>
    <xf numFmtId="4" fontId="8" fillId="3" borderId="76" xfId="0" applyNumberFormat="1" applyFont="1" applyFill="1" applyBorder="1" applyProtection="1"/>
    <xf numFmtId="0" fontId="8" fillId="3" borderId="59" xfId="0" applyFont="1" applyFill="1" applyBorder="1" applyProtection="1"/>
    <xf numFmtId="4" fontId="8" fillId="3" borderId="42" xfId="0" applyNumberFormat="1" applyFont="1" applyFill="1" applyBorder="1" applyAlignment="1" applyProtection="1">
      <alignment wrapText="1"/>
    </xf>
    <xf numFmtId="0" fontId="8" fillId="3" borderId="61" xfId="0" applyFont="1" applyFill="1" applyBorder="1" applyAlignment="1" applyProtection="1">
      <alignment wrapText="1"/>
    </xf>
    <xf numFmtId="4" fontId="8" fillId="3" borderId="42" xfId="0" applyNumberFormat="1" applyFont="1" applyFill="1" applyBorder="1" applyProtection="1"/>
    <xf numFmtId="0" fontId="8" fillId="3" borderId="61" xfId="0" applyFont="1" applyFill="1" applyBorder="1" applyProtection="1"/>
    <xf numFmtId="4" fontId="8" fillId="3" borderId="42" xfId="0" applyNumberFormat="1" applyFont="1" applyFill="1" applyBorder="1" applyAlignment="1" applyProtection="1">
      <alignment horizontal="left"/>
    </xf>
    <xf numFmtId="0" fontId="8" fillId="3" borderId="61" xfId="0" applyFont="1" applyFill="1" applyBorder="1" applyAlignment="1" applyProtection="1">
      <alignment horizontal="left"/>
    </xf>
    <xf numFmtId="4" fontId="8" fillId="3" borderId="80" xfId="0" applyNumberFormat="1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  <protection locked="0"/>
    </xf>
    <xf numFmtId="4" fontId="11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0" xfId="0" quotePrefix="1" applyFont="1" applyFill="1" applyBorder="1" applyAlignment="1" applyProtection="1">
      <alignment vertical="center"/>
    </xf>
    <xf numFmtId="4" fontId="15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67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15" fillId="2" borderId="74" xfId="0" applyFont="1" applyFill="1" applyBorder="1" applyAlignment="1" applyProtection="1">
      <alignment vertical="center"/>
    </xf>
    <xf numFmtId="4" fontId="15" fillId="2" borderId="75" xfId="0" applyNumberFormat="1" applyFont="1" applyFill="1" applyBorder="1" applyAlignment="1" applyProtection="1">
      <alignment vertical="center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/>
    <xf numFmtId="4" fontId="53" fillId="2" borderId="101" xfId="0" applyNumberFormat="1" applyFont="1" applyFill="1" applyBorder="1" applyAlignment="1">
      <alignment vertical="center"/>
    </xf>
    <xf numFmtId="4" fontId="53" fillId="2" borderId="42" xfId="0" applyNumberFormat="1" applyFont="1" applyFill="1" applyBorder="1" applyAlignment="1">
      <alignment vertical="center"/>
    </xf>
    <xf numFmtId="4" fontId="36" fillId="2" borderId="15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5" fillId="3" borderId="33" xfId="0" quotePrefix="1" applyFont="1" applyFill="1" applyBorder="1" applyAlignment="1">
      <alignment horizontal="left" vertical="center"/>
    </xf>
    <xf numFmtId="0" fontId="52" fillId="2" borderId="0" xfId="0" applyFont="1" applyFill="1"/>
    <xf numFmtId="0" fontId="15" fillId="3" borderId="76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4" fontId="27" fillId="2" borderId="0" xfId="0" applyNumberFormat="1" applyFont="1" applyFill="1" applyBorder="1" applyAlignment="1">
      <alignment vertical="center"/>
    </xf>
    <xf numFmtId="0" fontId="26" fillId="2" borderId="0" xfId="0" quotePrefix="1" applyFont="1" applyFill="1" applyBorder="1" applyAlignment="1">
      <alignment horizontal="left" vertical="center"/>
    </xf>
    <xf numFmtId="0" fontId="26" fillId="2" borderId="0" xfId="0" quotePrefix="1" applyFont="1" applyFill="1" applyAlignment="1">
      <alignment horizontal="left" vertical="center"/>
    </xf>
    <xf numFmtId="4" fontId="26" fillId="2" borderId="0" xfId="0" applyNumberFormat="1" applyFont="1" applyFill="1" applyBorder="1" applyAlignment="1">
      <alignment horizontal="left" vertical="center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right"/>
      <protection locked="0"/>
    </xf>
    <xf numFmtId="0" fontId="15" fillId="2" borderId="63" xfId="0" applyFont="1" applyFill="1" applyBorder="1" applyAlignment="1" applyProtection="1">
      <alignment vertical="center"/>
    </xf>
    <xf numFmtId="0" fontId="15" fillId="2" borderId="65" xfId="0" applyFont="1" applyFill="1" applyBorder="1" applyAlignment="1" applyProtection="1">
      <alignment vertical="center"/>
    </xf>
    <xf numFmtId="4" fontId="15" fillId="2" borderId="77" xfId="0" applyNumberFormat="1" applyFont="1" applyFill="1" applyBorder="1" applyAlignment="1" applyProtection="1">
      <alignment horizontal="left" vertical="center"/>
      <protection locked="0"/>
    </xf>
    <xf numFmtId="0" fontId="15" fillId="2" borderId="77" xfId="0" applyFont="1" applyFill="1" applyBorder="1" applyAlignment="1" applyProtection="1">
      <alignment horizontal="left" vertical="center"/>
      <protection locked="0"/>
    </xf>
    <xf numFmtId="0" fontId="15" fillId="2" borderId="69" xfId="0" applyFont="1" applyFill="1" applyBorder="1" applyAlignment="1" applyProtection="1">
      <alignment vertical="center"/>
    </xf>
    <xf numFmtId="0" fontId="15" fillId="2" borderId="71" xfId="0" applyFont="1" applyFill="1" applyBorder="1" applyAlignment="1" applyProtection="1">
      <alignment vertical="center"/>
    </xf>
    <xf numFmtId="4" fontId="15" fillId="2" borderId="79" xfId="0" applyNumberFormat="1" applyFont="1" applyFill="1" applyBorder="1" applyAlignment="1" applyProtection="1">
      <alignment horizontal="left" vertical="center"/>
      <protection locked="0"/>
    </xf>
    <xf numFmtId="0" fontId="15" fillId="2" borderId="79" xfId="0" applyFont="1" applyFill="1" applyBorder="1" applyAlignment="1" applyProtection="1">
      <alignment horizontal="left" vertical="center"/>
      <protection locked="0"/>
    </xf>
    <xf numFmtId="4" fontId="15" fillId="2" borderId="77" xfId="0" applyNumberFormat="1" applyFont="1" applyFill="1" applyBorder="1" applyAlignment="1" applyProtection="1">
      <alignment vertical="center"/>
    </xf>
    <xf numFmtId="4" fontId="15" fillId="2" borderId="77" xfId="0" applyNumberFormat="1" applyFont="1" applyFill="1" applyBorder="1" applyAlignment="1" applyProtection="1">
      <alignment horizontal="left" vertical="center"/>
    </xf>
    <xf numFmtId="0" fontId="15" fillId="2" borderId="77" xfId="0" applyFont="1" applyFill="1" applyBorder="1" applyAlignment="1" applyProtection="1">
      <alignment horizontal="left" vertical="center"/>
    </xf>
    <xf numFmtId="0" fontId="15" fillId="2" borderId="66" xfId="0" applyFont="1" applyFill="1" applyBorder="1" applyAlignment="1" applyProtection="1">
      <alignment vertical="center"/>
    </xf>
    <xf numFmtId="0" fontId="15" fillId="2" borderId="68" xfId="0" applyFont="1" applyFill="1" applyBorder="1" applyAlignment="1" applyProtection="1">
      <alignment vertical="center"/>
    </xf>
    <xf numFmtId="4" fontId="15" fillId="2" borderId="78" xfId="0" applyNumberFormat="1" applyFont="1" applyFill="1" applyBorder="1" applyAlignment="1" applyProtection="1">
      <alignment vertical="center"/>
    </xf>
    <xf numFmtId="4" fontId="15" fillId="2" borderId="78" xfId="0" applyNumberFormat="1" applyFont="1" applyFill="1" applyBorder="1" applyAlignment="1" applyProtection="1">
      <alignment horizontal="left" vertical="center"/>
    </xf>
    <xf numFmtId="0" fontId="15" fillId="2" borderId="78" xfId="0" applyFont="1" applyFill="1" applyBorder="1" applyAlignment="1" applyProtection="1">
      <alignment horizontal="left" vertical="center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15" fillId="2" borderId="57" xfId="0" applyFont="1" applyFill="1" applyBorder="1" applyAlignment="1" applyProtection="1">
      <alignment vertical="center"/>
    </xf>
    <xf numFmtId="0" fontId="15" fillId="2" borderId="59" xfId="0" applyFont="1" applyFill="1" applyBorder="1" applyAlignment="1" applyProtection="1">
      <alignment vertical="center"/>
    </xf>
    <xf numFmtId="4" fontId="15" fillId="2" borderId="76" xfId="0" applyNumberFormat="1" applyFont="1" applyFill="1" applyBorder="1" applyAlignment="1" applyProtection="1">
      <alignment vertical="center"/>
      <protection locked="0"/>
    </xf>
    <xf numFmtId="4" fontId="15" fillId="2" borderId="76" xfId="0" applyNumberFormat="1" applyFont="1" applyFill="1" applyBorder="1" applyAlignment="1" applyProtection="1">
      <alignment horizontal="left" vertical="center"/>
      <protection locked="0"/>
    </xf>
    <xf numFmtId="0" fontId="15" fillId="2" borderId="76" xfId="0" applyFont="1" applyFill="1" applyBorder="1" applyAlignment="1" applyProtection="1">
      <alignment horizontal="left" vertical="center"/>
      <protection locked="0"/>
    </xf>
    <xf numFmtId="4" fontId="11" fillId="2" borderId="77" xfId="0" applyNumberFormat="1" applyFont="1" applyFill="1" applyBorder="1" applyAlignment="1" applyProtection="1">
      <alignment horizontal="right" vertical="center"/>
      <protection locked="0"/>
    </xf>
    <xf numFmtId="1" fontId="11" fillId="2" borderId="101" xfId="0" applyNumberFormat="1" applyFont="1" applyFill="1" applyBorder="1" applyAlignment="1" applyProtection="1">
      <alignment horizontal="center" vertical="center"/>
      <protection locked="0"/>
    </xf>
    <xf numFmtId="1" fontId="11" fillId="2" borderId="78" xfId="0" applyNumberFormat="1" applyFont="1" applyFill="1" applyBorder="1" applyAlignment="1" applyProtection="1">
      <alignment horizontal="center" vertical="center"/>
      <protection locked="0"/>
    </xf>
    <xf numFmtId="4" fontId="11" fillId="2" borderId="75" xfId="0" applyNumberFormat="1" applyFont="1" applyFill="1" applyBorder="1" applyAlignment="1" applyProtection="1">
      <alignment horizontal="left" vertical="center"/>
      <protection locked="0"/>
    </xf>
    <xf numFmtId="4" fontId="10" fillId="2" borderId="104" xfId="131" applyNumberFormat="1" applyFont="1" applyFill="1" applyBorder="1" applyAlignment="1" applyProtection="1">
      <alignment vertical="center"/>
      <protection locked="0"/>
    </xf>
    <xf numFmtId="4" fontId="10" fillId="2" borderId="68" xfId="131" applyNumberFormat="1" applyFont="1" applyFill="1" applyBorder="1" applyAlignment="1" applyProtection="1">
      <alignment vertical="center"/>
      <protection locked="0"/>
    </xf>
    <xf numFmtId="4" fontId="10" fillId="2" borderId="98" xfId="131" applyNumberFormat="1" applyFont="1" applyFill="1" applyBorder="1" applyAlignment="1" applyProtection="1">
      <alignment vertical="center"/>
      <protection locked="0"/>
    </xf>
    <xf numFmtId="4" fontId="10" fillId="2" borderId="71" xfId="131" applyNumberFormat="1" applyFont="1" applyFill="1" applyBorder="1" applyAlignment="1" applyProtection="1">
      <alignment vertical="center"/>
      <protection locked="0"/>
    </xf>
    <xf numFmtId="0" fontId="10" fillId="2" borderId="104" xfId="0" applyNumberFormat="1" applyFont="1" applyFill="1" applyBorder="1" applyAlignment="1" applyProtection="1">
      <alignment horizontal="left" vertical="center"/>
      <protection locked="0"/>
    </xf>
    <xf numFmtId="0" fontId="10" fillId="2" borderId="68" xfId="0" applyNumberFormat="1" applyFont="1" applyFill="1" applyBorder="1" applyAlignment="1" applyProtection="1">
      <alignment horizontal="left" vertical="center"/>
      <protection locked="0"/>
    </xf>
    <xf numFmtId="0" fontId="10" fillId="2" borderId="98" xfId="0" applyNumberFormat="1" applyFont="1" applyFill="1" applyBorder="1" applyAlignment="1" applyProtection="1">
      <alignment horizontal="left" vertical="center"/>
      <protection locked="0"/>
    </xf>
    <xf numFmtId="0" fontId="10" fillId="2" borderId="71" xfId="0" applyNumberFormat="1" applyFont="1" applyFill="1" applyBorder="1" applyAlignment="1" applyProtection="1">
      <alignment horizontal="left" vertical="center"/>
      <protection locked="0"/>
    </xf>
    <xf numFmtId="0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6" fillId="2" borderId="78" xfId="0" applyNumberFormat="1" applyFont="1" applyFill="1" applyBorder="1" applyAlignment="1" applyProtection="1">
      <alignment horizontal="center" vertical="center"/>
      <protection locked="0"/>
    </xf>
    <xf numFmtId="0" fontId="6" fillId="2" borderId="95" xfId="0" applyNumberFormat="1" applyFont="1" applyFill="1" applyBorder="1" applyAlignment="1" applyProtection="1">
      <alignment horizontal="center" vertical="center"/>
      <protection locked="0"/>
    </xf>
    <xf numFmtId="0" fontId="6" fillId="2" borderId="79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4" fontId="15" fillId="2" borderId="65" xfId="0" applyNumberFormat="1" applyFont="1" applyFill="1" applyBorder="1" applyAlignment="1" applyProtection="1">
      <alignment horizontal="center" vertical="center"/>
      <protection locked="0"/>
    </xf>
    <xf numFmtId="4" fontId="11" fillId="2" borderId="65" xfId="0" applyNumberFormat="1" applyFont="1" applyFill="1" applyBorder="1" applyAlignment="1" applyProtection="1">
      <alignment horizontal="center" vertical="center"/>
      <protection locked="0"/>
    </xf>
    <xf numFmtId="4" fontId="15" fillId="2" borderId="104" xfId="0" applyNumberFormat="1" applyFont="1" applyFill="1" applyBorder="1" applyAlignment="1" applyProtection="1">
      <alignment horizontal="center" vertical="center"/>
      <protection locked="0"/>
    </xf>
    <xf numFmtId="4" fontId="11" fillId="2" borderId="104" xfId="0" applyNumberFormat="1" applyFont="1" applyFill="1" applyBorder="1" applyAlignment="1" applyProtection="1">
      <alignment horizontal="center" vertical="center"/>
      <protection locked="0"/>
    </xf>
    <xf numFmtId="4" fontId="15" fillId="2" borderId="68" xfId="0" applyNumberFormat="1" applyFont="1" applyFill="1" applyBorder="1" applyAlignment="1" applyProtection="1">
      <alignment horizontal="center" vertical="center"/>
      <protection locked="0"/>
    </xf>
    <xf numFmtId="4" fontId="11" fillId="2" borderId="68" xfId="0" applyNumberFormat="1" applyFont="1" applyFill="1" applyBorder="1" applyAlignment="1" applyProtection="1">
      <alignment horizontal="center" vertical="center"/>
      <protection locked="0"/>
    </xf>
    <xf numFmtId="4" fontId="15" fillId="2" borderId="98" xfId="0" applyNumberFormat="1" applyFont="1" applyFill="1" applyBorder="1" applyAlignment="1" applyProtection="1">
      <alignment horizontal="center" vertical="center"/>
      <protection locked="0"/>
    </xf>
    <xf numFmtId="4" fontId="11" fillId="2" borderId="98" xfId="0" applyNumberFormat="1" applyFont="1" applyFill="1" applyBorder="1" applyAlignment="1" applyProtection="1">
      <alignment horizontal="center" vertical="center"/>
      <protection locked="0"/>
    </xf>
    <xf numFmtId="4" fontId="15" fillId="2" borderId="71" xfId="0" applyNumberFormat="1" applyFont="1" applyFill="1" applyBorder="1" applyAlignment="1" applyProtection="1">
      <alignment horizontal="center" vertical="center"/>
      <protection locked="0"/>
    </xf>
    <xf numFmtId="4" fontId="11" fillId="2" borderId="71" xfId="0" applyNumberFormat="1" applyFont="1" applyFill="1" applyBorder="1" applyAlignment="1" applyProtection="1">
      <alignment horizontal="center" vertical="center"/>
      <protection locked="0"/>
    </xf>
    <xf numFmtId="4" fontId="15" fillId="2" borderId="75" xfId="0" applyNumberFormat="1" applyFont="1" applyFill="1" applyBorder="1" applyAlignment="1">
      <alignment horizontal="center" vertical="center"/>
    </xf>
    <xf numFmtId="4" fontId="15" fillId="2" borderId="72" xfId="0" applyNumberFormat="1" applyFont="1" applyFill="1" applyBorder="1" applyAlignment="1">
      <alignment horizontal="center" vertical="center"/>
    </xf>
    <xf numFmtId="0" fontId="6" fillId="2" borderId="99" xfId="0" applyFont="1" applyFill="1" applyBorder="1" applyAlignment="1">
      <alignment horizontal="left" vertical="center"/>
    </xf>
    <xf numFmtId="4" fontId="11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102" xfId="0" applyNumberFormat="1" applyFont="1" applyFill="1" applyBorder="1" applyAlignment="1" applyProtection="1">
      <alignment horizontal="right" vertical="center"/>
      <protection locked="0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4" fontId="6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87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15" fillId="3" borderId="76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0" fontId="11" fillId="2" borderId="9" xfId="0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4" fontId="11" fillId="2" borderId="7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0" fontId="11" fillId="2" borderId="78" xfId="0" applyFont="1" applyFill="1" applyBorder="1" applyAlignment="1">
      <alignment vertical="center"/>
    </xf>
    <xf numFmtId="0" fontId="11" fillId="2" borderId="78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vertical="center"/>
    </xf>
    <xf numFmtId="0" fontId="11" fillId="3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vertical="center"/>
    </xf>
    <xf numFmtId="0" fontId="6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vertical="center"/>
    </xf>
    <xf numFmtId="0" fontId="11" fillId="2" borderId="79" xfId="0" applyFont="1" applyFill="1" applyBorder="1" applyAlignment="1">
      <alignment vertical="center"/>
    </xf>
    <xf numFmtId="0" fontId="11" fillId="3" borderId="79" xfId="0" applyFont="1" applyFill="1" applyBorder="1" applyAlignment="1">
      <alignment vertical="center"/>
    </xf>
    <xf numFmtId="0" fontId="11" fillId="2" borderId="7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43" fillId="7" borderId="0" xfId="0" applyFont="1" applyFill="1" applyBorder="1" applyAlignment="1">
      <alignment vertical="center"/>
    </xf>
    <xf numFmtId="0" fontId="55" fillId="7" borderId="0" xfId="0" applyFont="1" applyFill="1" applyBorder="1" applyAlignment="1">
      <alignment vertical="center"/>
    </xf>
    <xf numFmtId="0" fontId="5" fillId="2" borderId="6" xfId="0" applyFont="1" applyFill="1" applyBorder="1"/>
    <xf numFmtId="0" fontId="40" fillId="2" borderId="100" xfId="0" applyFont="1" applyFill="1" applyBorder="1" applyAlignment="1" applyProtection="1">
      <alignment horizontal="left" vertical="center"/>
      <protection locked="0"/>
    </xf>
    <xf numFmtId="4" fontId="40" fillId="2" borderId="100" xfId="0" applyNumberFormat="1" applyFont="1" applyFill="1" applyBorder="1" applyAlignment="1" applyProtection="1">
      <alignment horizontal="left" vertical="center"/>
      <protection locked="0"/>
    </xf>
    <xf numFmtId="4" fontId="18" fillId="2" borderId="100" xfId="0" applyNumberFormat="1" applyFont="1" applyFill="1" applyBorder="1" applyAlignment="1" applyProtection="1">
      <alignment horizontal="left" vertical="center"/>
      <protection locked="0"/>
    </xf>
    <xf numFmtId="0" fontId="40" fillId="2" borderId="67" xfId="0" applyFont="1" applyFill="1" applyBorder="1" applyAlignment="1" applyProtection="1">
      <alignment horizontal="left" vertical="center"/>
      <protection locked="0"/>
    </xf>
    <xf numFmtId="4" fontId="40" fillId="2" borderId="67" xfId="0" applyNumberFormat="1" applyFont="1" applyFill="1" applyBorder="1" applyAlignment="1" applyProtection="1">
      <alignment horizontal="left" vertical="center"/>
      <protection locked="0"/>
    </xf>
    <xf numFmtId="4" fontId="18" fillId="2" borderId="67" xfId="0" applyNumberFormat="1" applyFont="1" applyFill="1" applyBorder="1" applyAlignment="1" applyProtection="1">
      <alignment horizontal="left" vertical="center"/>
      <protection locked="0"/>
    </xf>
    <xf numFmtId="0" fontId="26" fillId="2" borderId="12" xfId="0" applyFont="1" applyFill="1" applyBorder="1" applyAlignment="1">
      <alignment horizontal="left"/>
    </xf>
    <xf numFmtId="4" fontId="11" fillId="2" borderId="65" xfId="0" applyNumberFormat="1" applyFont="1" applyFill="1" applyBorder="1" applyAlignment="1" applyProtection="1">
      <alignment vertical="center"/>
      <protection locked="0"/>
    </xf>
    <xf numFmtId="4" fontId="11" fillId="2" borderId="104" xfId="0" applyNumberFormat="1" applyFont="1" applyFill="1" applyBorder="1" applyAlignment="1" applyProtection="1">
      <alignment vertical="center"/>
      <protection locked="0"/>
    </xf>
    <xf numFmtId="4" fontId="11" fillId="2" borderId="68" xfId="0" applyNumberFormat="1" applyFont="1" applyFill="1" applyBorder="1" applyAlignment="1" applyProtection="1">
      <alignment vertical="center"/>
      <protection locked="0"/>
    </xf>
    <xf numFmtId="4" fontId="11" fillId="2" borderId="98" xfId="0" applyNumberFormat="1" applyFont="1" applyFill="1" applyBorder="1" applyAlignment="1" applyProtection="1">
      <alignment vertical="center"/>
      <protection locked="0"/>
    </xf>
    <xf numFmtId="4" fontId="11" fillId="2" borderId="71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36" fillId="3" borderId="76" xfId="132" applyFont="1" applyFill="1" applyBorder="1" applyAlignment="1">
      <alignment horizontal="center" vertical="center" wrapText="1"/>
    </xf>
    <xf numFmtId="0" fontId="36" fillId="3" borderId="15" xfId="132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6" fillId="3" borderId="80" xfId="132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0" fillId="2" borderId="0" xfId="0" applyFont="1" applyFill="1" applyBorder="1" applyAlignment="1" applyProtection="1">
      <alignment horizontal="left" vertical="center"/>
      <protection locked="0"/>
    </xf>
    <xf numFmtId="4" fontId="40" fillId="2" borderId="0" xfId="0" applyNumberFormat="1" applyFont="1" applyFill="1" applyBorder="1" applyAlignment="1" applyProtection="1">
      <alignment horizontal="left" vertical="center"/>
      <protection locked="0"/>
    </xf>
    <xf numFmtId="4" fontId="18" fillId="2" borderId="0" xfId="0" applyNumberFormat="1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0" fontId="40" fillId="2" borderId="0" xfId="0" quotePrefix="1" applyFont="1" applyFill="1" applyBorder="1" applyAlignment="1" applyProtection="1">
      <alignment horizontal="left" vertical="center"/>
      <protection locked="0"/>
    </xf>
    <xf numFmtId="3" fontId="37" fillId="2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>
      <alignment horizontal="left"/>
    </xf>
    <xf numFmtId="0" fontId="40" fillId="0" borderId="0" xfId="0" quotePrefix="1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4" fontId="40" fillId="0" borderId="0" xfId="0" applyNumberFormat="1" applyFont="1" applyFill="1" applyBorder="1" applyAlignment="1" applyProtection="1">
      <alignment horizontal="left" vertical="center"/>
      <protection locked="0"/>
    </xf>
    <xf numFmtId="4" fontId="18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0" fontId="11" fillId="2" borderId="0" xfId="0" applyFont="1" applyFill="1" applyBorder="1" applyAlignment="1" applyProtection="1">
      <protection locked="0"/>
    </xf>
    <xf numFmtId="0" fontId="27" fillId="2" borderId="0" xfId="0" applyFont="1" applyFill="1" applyBorder="1" applyAlignment="1" applyProtection="1">
      <protection locked="0"/>
    </xf>
    <xf numFmtId="0" fontId="23" fillId="0" borderId="0" xfId="0" applyFont="1"/>
    <xf numFmtId="0" fontId="58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3" fontId="26" fillId="2" borderId="4" xfId="0" quotePrefix="1" applyNumberFormat="1" applyFont="1" applyFill="1" applyBorder="1" applyAlignment="1" applyProtection="1">
      <alignment horizontal="center"/>
      <protection locked="0"/>
    </xf>
    <xf numFmtId="0" fontId="3" fillId="2" borderId="77" xfId="0" quotePrefix="1" applyFont="1" applyFill="1" applyBorder="1" applyAlignment="1" applyProtection="1">
      <alignment horizont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68" xfId="0" applyFont="1" applyFill="1" applyBorder="1" applyAlignment="1" applyProtection="1">
      <alignment vertical="center"/>
      <protection locked="0"/>
    </xf>
    <xf numFmtId="0" fontId="3" fillId="2" borderId="78" xfId="0" applyFont="1" applyFill="1" applyBorder="1" applyAlignment="1" applyProtection="1">
      <alignment horizontal="left" vertical="center"/>
      <protection locked="0"/>
    </xf>
    <xf numFmtId="0" fontId="3" fillId="2" borderId="156" xfId="0" applyFont="1" applyFill="1" applyBorder="1" applyAlignment="1" applyProtection="1">
      <alignment vertical="center"/>
      <protection locked="0"/>
    </xf>
    <xf numFmtId="0" fontId="59" fillId="3" borderId="78" xfId="0" applyFont="1" applyFill="1" applyBorder="1" applyAlignment="1">
      <alignment vertical="center"/>
    </xf>
    <xf numFmtId="0" fontId="58" fillId="2" borderId="78" xfId="0" applyFont="1" applyFill="1" applyBorder="1" applyAlignment="1">
      <alignment horizontal="center" vertical="center"/>
    </xf>
    <xf numFmtId="0" fontId="2" fillId="2" borderId="63" xfId="0" applyFont="1" applyFill="1" applyBorder="1" applyAlignment="1" applyProtection="1">
      <alignment vertical="center"/>
      <protection locked="0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1" fontId="17" fillId="3" borderId="0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1" fontId="17" fillId="3" borderId="0" xfId="0" applyNumberFormat="1" applyFont="1" applyFill="1" applyBorder="1" applyAlignment="1" applyProtection="1">
      <alignment horizontal="center" vertical="center"/>
    </xf>
    <xf numFmtId="0" fontId="26" fillId="2" borderId="12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0" fontId="26" fillId="2" borderId="1" xfId="0" applyFont="1" applyFill="1" applyBorder="1" applyAlignment="1" applyProtection="1">
      <alignment horizontal="left" wrapText="1"/>
    </xf>
    <xf numFmtId="0" fontId="26" fillId="2" borderId="4" xfId="0" applyFont="1" applyFill="1" applyBorder="1" applyAlignment="1" applyProtection="1">
      <alignment horizontal="left"/>
      <protection locked="0"/>
    </xf>
    <xf numFmtId="0" fontId="26" fillId="2" borderId="1" xfId="0" applyFont="1" applyFill="1" applyBorder="1" applyAlignment="1" applyProtection="1">
      <alignment horizontal="right"/>
    </xf>
    <xf numFmtId="0" fontId="23" fillId="6" borderId="1" xfId="0" applyFont="1" applyFill="1" applyBorder="1" applyAlignment="1" applyProtection="1">
      <alignment horizontal="right"/>
    </xf>
    <xf numFmtId="0" fontId="8" fillId="2" borderId="66" xfId="0" applyFont="1" applyFill="1" applyBorder="1" applyAlignment="1" applyProtection="1">
      <alignment horizontal="left"/>
      <protection locked="0"/>
    </xf>
    <xf numFmtId="0" fontId="8" fillId="2" borderId="68" xfId="0" applyFont="1" applyFill="1" applyBorder="1" applyAlignment="1" applyProtection="1">
      <alignment horizontal="left"/>
      <protection locked="0"/>
    </xf>
    <xf numFmtId="0" fontId="15" fillId="3" borderId="16" xfId="0" applyNumberFormat="1" applyFont="1" applyFill="1" applyBorder="1" applyAlignment="1" applyProtection="1">
      <alignment horizontal="center" wrapText="1"/>
    </xf>
    <xf numFmtId="0" fontId="15" fillId="3" borderId="18" xfId="0" applyNumberFormat="1" applyFont="1" applyFill="1" applyBorder="1" applyAlignment="1" applyProtection="1">
      <alignment horizontal="center" wrapText="1"/>
    </xf>
    <xf numFmtId="0" fontId="3" fillId="2" borderId="63" xfId="0" applyFont="1" applyFill="1" applyBorder="1" applyAlignment="1" applyProtection="1">
      <alignment horizontal="left"/>
      <protection locked="0"/>
    </xf>
    <xf numFmtId="0" fontId="8" fillId="2" borderId="65" xfId="0" applyFont="1" applyFill="1" applyBorder="1" applyAlignment="1" applyProtection="1">
      <alignment horizontal="left"/>
      <protection locked="0"/>
    </xf>
    <xf numFmtId="0" fontId="8" fillId="2" borderId="168" xfId="0" applyFont="1" applyFill="1" applyBorder="1" applyAlignment="1" applyProtection="1">
      <alignment horizontal="left"/>
      <protection locked="0"/>
    </xf>
    <xf numFmtId="0" fontId="8" fillId="2" borderId="169" xfId="0" applyFont="1" applyFill="1" applyBorder="1" applyAlignment="1" applyProtection="1">
      <alignment horizontal="left"/>
      <protection locked="0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 vertical="center" wrapText="1"/>
    </xf>
    <xf numFmtId="4" fontId="27" fillId="3" borderId="57" xfId="0" applyNumberFormat="1" applyFont="1" applyFill="1" applyBorder="1" applyAlignment="1" applyProtection="1">
      <alignment horizontal="center" vertical="center"/>
    </xf>
    <xf numFmtId="4" fontId="27" fillId="3" borderId="58" xfId="0" applyNumberFormat="1" applyFont="1" applyFill="1" applyBorder="1" applyAlignment="1" applyProtection="1">
      <alignment horizontal="center" vertical="center"/>
    </xf>
    <xf numFmtId="4" fontId="27" fillId="3" borderId="59" xfId="0" applyNumberFormat="1" applyFont="1" applyFill="1" applyBorder="1" applyAlignment="1" applyProtection="1">
      <alignment horizontal="center" vertical="center"/>
    </xf>
    <xf numFmtId="4" fontId="27" fillId="3" borderId="6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1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4" fontId="27" fillId="3" borderId="76" xfId="0" applyNumberFormat="1" applyFont="1" applyFill="1" applyBorder="1" applyAlignment="1" applyProtection="1">
      <alignment horizontal="center" vertical="center"/>
    </xf>
    <xf numFmtId="4" fontId="27" fillId="3" borderId="80" xfId="0" applyNumberFormat="1" applyFont="1" applyFill="1" applyBorder="1" applyAlignment="1" applyProtection="1">
      <alignment horizontal="center" vertical="center"/>
    </xf>
    <xf numFmtId="0" fontId="18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8" fillId="2" borderId="63" xfId="0" applyFont="1" applyFill="1" applyBorder="1" applyAlignment="1" applyProtection="1">
      <alignment horizontal="left" vertical="center"/>
    </xf>
    <xf numFmtId="0" fontId="8" fillId="2" borderId="64" xfId="0" applyFont="1" applyFill="1" applyBorder="1" applyAlignment="1" applyProtection="1">
      <alignment horizontal="left" vertical="center"/>
    </xf>
    <xf numFmtId="0" fontId="8" fillId="2" borderId="65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8" fillId="2" borderId="67" xfId="0" applyFont="1" applyFill="1" applyBorder="1" applyAlignment="1" applyProtection="1">
      <alignment horizontal="left" vertical="center"/>
    </xf>
    <xf numFmtId="0" fontId="8" fillId="2" borderId="68" xfId="0" applyFont="1" applyFill="1" applyBorder="1" applyAlignment="1" applyProtection="1">
      <alignment horizontal="left" vertical="center"/>
    </xf>
    <xf numFmtId="4" fontId="21" fillId="3" borderId="31" xfId="0" applyNumberFormat="1" applyFont="1" applyFill="1" applyBorder="1" applyAlignment="1">
      <alignment horizontal="center" vertical="center"/>
    </xf>
    <xf numFmtId="4" fontId="21" fillId="3" borderId="32" xfId="0" applyNumberFormat="1" applyFont="1" applyFill="1" applyBorder="1" applyAlignment="1">
      <alignment horizontal="center" vertical="center"/>
    </xf>
    <xf numFmtId="4" fontId="21" fillId="3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35" fillId="3" borderId="76" xfId="132" applyFont="1" applyFill="1" applyBorder="1" applyAlignment="1">
      <alignment horizontal="center" wrapText="1"/>
    </xf>
    <xf numFmtId="0" fontId="35" fillId="3" borderId="80" xfId="132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1" fillId="2" borderId="66" xfId="0" applyFont="1" applyFill="1" applyBorder="1" applyAlignment="1" applyProtection="1">
      <alignment horizontal="left" vertical="center"/>
      <protection locked="0"/>
    </xf>
    <xf numFmtId="0" fontId="11" fillId="2" borderId="68" xfId="0" applyFont="1" applyFill="1" applyBorder="1" applyAlignment="1" applyProtection="1">
      <alignment horizontal="left" vertical="center"/>
      <protection locked="0"/>
    </xf>
    <xf numFmtId="0" fontId="11" fillId="2" borderId="69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0" fontId="11" fillId="2" borderId="156" xfId="0" applyFont="1" applyFill="1" applyBorder="1" applyAlignment="1" applyProtection="1">
      <alignment horizontal="left" vertical="center"/>
      <protection locked="0"/>
    </xf>
    <xf numFmtId="0" fontId="11" fillId="2" borderId="157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36" fillId="3" borderId="16" xfId="132" applyFont="1" applyFill="1" applyBorder="1" applyAlignment="1">
      <alignment horizontal="center" vertical="center" wrapText="1"/>
    </xf>
    <xf numFmtId="0" fontId="36" fillId="3" borderId="18" xfId="132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2" borderId="68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left" vertical="center"/>
    </xf>
    <xf numFmtId="0" fontId="15" fillId="2" borderId="74" xfId="0" applyFont="1" applyFill="1" applyBorder="1" applyAlignment="1">
      <alignment horizontal="left" vertical="center"/>
    </xf>
    <xf numFmtId="0" fontId="15" fillId="2" borderId="7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/>
    </xf>
    <xf numFmtId="0" fontId="36" fillId="3" borderId="57" xfId="132" applyFont="1" applyFill="1" applyBorder="1" applyAlignment="1">
      <alignment horizontal="center" wrapText="1"/>
    </xf>
    <xf numFmtId="0" fontId="36" fillId="3" borderId="58" xfId="132" applyFont="1" applyFill="1" applyBorder="1" applyAlignment="1">
      <alignment horizontal="center" wrapText="1"/>
    </xf>
    <xf numFmtId="0" fontId="36" fillId="3" borderId="59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36" fillId="3" borderId="16" xfId="132" applyFont="1" applyFill="1" applyBorder="1" applyAlignment="1">
      <alignment horizontal="center" wrapText="1"/>
    </xf>
    <xf numFmtId="0" fontId="36" fillId="3" borderId="17" xfId="132" applyFont="1" applyFill="1" applyBorder="1" applyAlignment="1">
      <alignment horizontal="center" wrapText="1"/>
    </xf>
    <xf numFmtId="0" fontId="36" fillId="3" borderId="18" xfId="132" applyFont="1" applyFill="1" applyBorder="1" applyAlignment="1">
      <alignment horizontal="center" wrapText="1"/>
    </xf>
    <xf numFmtId="0" fontId="15" fillId="2" borderId="73" xfId="0" applyFont="1" applyFill="1" applyBorder="1" applyAlignment="1">
      <alignment horizontal="left"/>
    </xf>
    <xf numFmtId="0" fontId="15" fillId="2" borderId="75" xfId="0" applyFont="1" applyFill="1" applyBorder="1" applyAlignment="1">
      <alignment horizontal="left"/>
    </xf>
    <xf numFmtId="0" fontId="15" fillId="3" borderId="6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2" borderId="74" xfId="0" applyFont="1" applyFill="1" applyBorder="1" applyAlignment="1">
      <alignment horizontal="left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4" fontId="15" fillId="2" borderId="73" xfId="0" applyNumberFormat="1" applyFont="1" applyFill="1" applyBorder="1" applyAlignment="1">
      <alignment horizontal="left"/>
    </xf>
    <xf numFmtId="4" fontId="15" fillId="2" borderId="75" xfId="0" applyNumberFormat="1" applyFont="1" applyFill="1" applyBorder="1" applyAlignment="1">
      <alignment horizontal="left"/>
    </xf>
    <xf numFmtId="4" fontId="11" fillId="2" borderId="99" xfId="0" applyNumberFormat="1" applyFont="1" applyFill="1" applyBorder="1" applyAlignment="1" applyProtection="1">
      <alignment horizontal="left" vertical="center"/>
      <protection locked="0"/>
    </xf>
    <xf numFmtId="4" fontId="11" fillId="2" borderId="104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left" vertical="center"/>
      <protection locked="0"/>
    </xf>
    <xf numFmtId="4" fontId="11" fillId="2" borderId="69" xfId="0" applyNumberFormat="1" applyFont="1" applyFill="1" applyBorder="1" applyAlignment="1" applyProtection="1">
      <alignment horizontal="left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45" fillId="6" borderId="120" xfId="0" applyFont="1" applyFill="1" applyBorder="1" applyAlignment="1">
      <alignment horizontal="left"/>
    </xf>
    <xf numFmtId="0" fontId="45" fillId="6" borderId="121" xfId="0" applyFont="1" applyFill="1" applyBorder="1" applyAlignment="1">
      <alignment horizontal="left"/>
    </xf>
    <xf numFmtId="0" fontId="44" fillId="6" borderId="120" xfId="0" applyFont="1" applyFill="1" applyBorder="1" applyAlignment="1">
      <alignment horizontal="left"/>
    </xf>
    <xf numFmtId="0" fontId="44" fillId="6" borderId="121" xfId="0" applyFont="1" applyFill="1" applyBorder="1" applyAlignment="1">
      <alignment horizontal="left"/>
    </xf>
  </cellXfs>
  <cellStyles count="7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46" zoomScale="108" workbookViewId="0">
      <selection activeCell="F27" sqref="F27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33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33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34" t="s">
        <v>817</v>
      </c>
      <c r="E13" s="1035"/>
      <c r="F13" s="1035"/>
      <c r="G13" s="1035"/>
      <c r="H13" s="1035"/>
      <c r="I13" s="1035"/>
      <c r="J13" s="1035"/>
      <c r="K13" s="1035"/>
      <c r="L13" s="1035"/>
      <c r="M13" s="1036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7"/>
      <c r="E16" s="1037"/>
      <c r="F16" s="1037"/>
      <c r="G16" s="1037"/>
      <c r="H16" s="1037"/>
      <c r="I16" s="1037"/>
      <c r="J16" s="1037"/>
      <c r="K16" s="1037"/>
      <c r="L16" s="1037"/>
      <c r="M16" s="1037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9" t="s">
        <v>719</v>
      </c>
      <c r="D21" s="859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15" t="s">
        <v>44</v>
      </c>
      <c r="D25" s="1015" t="s">
        <v>45</v>
      </c>
      <c r="E25" s="1015"/>
      <c r="F25" s="1015"/>
      <c r="G25" s="1016" t="s">
        <v>815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637</v>
      </c>
      <c r="D34" s="2" t="s">
        <v>64</v>
      </c>
      <c r="N34" s="9"/>
    </row>
    <row r="35" spans="2:14" s="2" customFormat="1" ht="25.15" customHeight="1">
      <c r="B35" s="8"/>
      <c r="C35" s="397" t="s">
        <v>638</v>
      </c>
      <c r="D35" s="2" t="s">
        <v>65</v>
      </c>
      <c r="N35" s="9"/>
    </row>
    <row r="36" spans="2:14" s="2" customFormat="1" ht="25.15" customHeight="1">
      <c r="B36" s="8"/>
      <c r="C36" s="397" t="s">
        <v>639</v>
      </c>
      <c r="D36" s="2" t="s">
        <v>66</v>
      </c>
      <c r="N36" s="9"/>
    </row>
    <row r="37" spans="2:14" s="2" customFormat="1" ht="25.15" customHeight="1">
      <c r="B37" s="8"/>
      <c r="C37" s="397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4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J73" sqref="J73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33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33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055"/>
      <c r="N9" s="1055"/>
      <c r="O9" s="1055"/>
      <c r="P9" s="1055"/>
      <c r="Q9" s="1055"/>
      <c r="R9" s="1055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077" t="s">
        <v>730</v>
      </c>
      <c r="J13" s="1078"/>
      <c r="K13" s="1078"/>
      <c r="L13" s="1078"/>
      <c r="M13" s="1079"/>
      <c r="N13" s="382"/>
      <c r="O13" s="383"/>
      <c r="P13" s="384" t="s">
        <v>330</v>
      </c>
      <c r="Q13" s="385">
        <f>ejercicio-1</f>
        <v>2017</v>
      </c>
      <c r="R13" s="870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4"/>
      <c r="D16" s="1025" t="s">
        <v>831</v>
      </c>
      <c r="E16" s="465">
        <v>2018</v>
      </c>
      <c r="F16" s="465">
        <v>2018</v>
      </c>
      <c r="G16" s="466">
        <v>6000</v>
      </c>
      <c r="H16" s="466">
        <v>0</v>
      </c>
      <c r="I16" s="466">
        <v>6000</v>
      </c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7"/>
      <c r="D17" s="468"/>
      <c r="E17" s="469"/>
      <c r="F17" s="469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7"/>
      <c r="D18" s="468"/>
      <c r="E18" s="469"/>
      <c r="F18" s="469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7"/>
      <c r="D19" s="468"/>
      <c r="E19" s="469"/>
      <c r="F19" s="469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7"/>
      <c r="D20" s="468"/>
      <c r="E20" s="469"/>
      <c r="F20" s="469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7"/>
      <c r="D21" s="468"/>
      <c r="E21" s="469"/>
      <c r="F21" s="469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7"/>
      <c r="D22" s="468"/>
      <c r="E22" s="469"/>
      <c r="F22" s="469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7"/>
      <c r="D23" s="468"/>
      <c r="E23" s="469"/>
      <c r="F23" s="469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7"/>
      <c r="D24" s="468"/>
      <c r="E24" s="469"/>
      <c r="F24" s="469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080" t="s">
        <v>331</v>
      </c>
      <c r="D46" s="1081"/>
      <c r="E46" s="119">
        <f>MIN(E16:E45)</f>
        <v>2018</v>
      </c>
      <c r="F46" s="119">
        <f>MAX(F16:F45)</f>
        <v>2018</v>
      </c>
      <c r="G46" s="120">
        <f t="shared" ref="G46:R46" si="0">SUM(G16:G45)</f>
        <v>6000</v>
      </c>
      <c r="H46" s="120">
        <f t="shared" si="0"/>
        <v>0</v>
      </c>
      <c r="I46" s="120">
        <f t="shared" si="0"/>
        <v>6000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63"/>
      <c r="D47" s="863"/>
      <c r="E47" s="864"/>
      <c r="F47" s="864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5" t="s">
        <v>721</v>
      </c>
      <c r="D48" s="863"/>
      <c r="E48" s="864"/>
      <c r="F48" s="864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6" t="s">
        <v>722</v>
      </c>
      <c r="D49" s="863"/>
      <c r="E49" s="864"/>
      <c r="F49" s="867">
        <f>ejercicio-1</f>
        <v>2017</v>
      </c>
      <c r="G49" s="868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9" t="s">
        <v>724</v>
      </c>
      <c r="D50" s="863"/>
      <c r="E50" s="864"/>
      <c r="F50" s="864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6" t="s">
        <v>727</v>
      </c>
      <c r="D51" s="863"/>
      <c r="E51" s="864"/>
      <c r="F51" s="864"/>
      <c r="G51" s="867">
        <f>ejercicio-1</f>
        <v>2017</v>
      </c>
      <c r="H51" s="868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6" t="s">
        <v>729</v>
      </c>
      <c r="D52" s="863"/>
      <c r="E52" s="864"/>
      <c r="F52" s="864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6" t="s">
        <v>733</v>
      </c>
      <c r="D53" s="863"/>
      <c r="E53" s="864"/>
      <c r="F53" s="864"/>
      <c r="G53" s="867">
        <f>ejercicio-1</f>
        <v>2017</v>
      </c>
      <c r="H53" s="868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63"/>
      <c r="D54" s="863"/>
      <c r="E54" s="864"/>
      <c r="F54" s="864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54"/>
      <c r="D55" s="1054"/>
      <c r="E55" s="1054"/>
      <c r="F55" s="1054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G60" sqref="G6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3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3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055"/>
      <c r="N9" s="1055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082"/>
      <c r="D13" s="1083"/>
      <c r="E13" s="193" t="s">
        <v>355</v>
      </c>
      <c r="F13" s="1086" t="s">
        <v>345</v>
      </c>
      <c r="G13" s="1087"/>
      <c r="H13" s="1087"/>
      <c r="I13" s="1087"/>
      <c r="J13" s="1087"/>
      <c r="K13" s="1087"/>
      <c r="L13" s="1088"/>
      <c r="M13" s="193" t="s">
        <v>356</v>
      </c>
      <c r="N13" s="1084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85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338</v>
      </c>
      <c r="D15" s="152"/>
      <c r="E15" s="471">
        <v>0</v>
      </c>
      <c r="F15" s="472">
        <v>4561.29</v>
      </c>
      <c r="G15" s="473"/>
      <c r="H15" s="473"/>
      <c r="I15" s="473">
        <v>-610.96</v>
      </c>
      <c r="J15" s="473"/>
      <c r="K15" s="473"/>
      <c r="L15" s="474"/>
      <c r="M15" s="167">
        <f>SUM(E15:L15)</f>
        <v>3950.33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341</v>
      </c>
      <c r="D16" s="154"/>
      <c r="E16" s="475">
        <v>0</v>
      </c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0</v>
      </c>
      <c r="N16" s="883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339</v>
      </c>
      <c r="D17" s="154"/>
      <c r="E17" s="475">
        <v>19775.759999999998</v>
      </c>
      <c r="F17" s="476">
        <v>17764.95</v>
      </c>
      <c r="G17" s="477"/>
      <c r="H17" s="477"/>
      <c r="I17" s="477">
        <v>-13436.57</v>
      </c>
      <c r="J17" s="477"/>
      <c r="K17" s="477"/>
      <c r="L17" s="478"/>
      <c r="M17" s="171">
        <f t="shared" si="0"/>
        <v>24104.14</v>
      </c>
      <c r="N17" s="883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342</v>
      </c>
      <c r="D18" s="154"/>
      <c r="E18" s="475">
        <v>0</v>
      </c>
      <c r="F18" s="476"/>
      <c r="G18" s="477"/>
      <c r="H18" s="477"/>
      <c r="I18" s="477"/>
      <c r="J18" s="477"/>
      <c r="K18" s="477"/>
      <c r="L18" s="478"/>
      <c r="M18" s="171">
        <f t="shared" si="0"/>
        <v>0</v>
      </c>
      <c r="N18" s="883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340</v>
      </c>
      <c r="D19" s="156"/>
      <c r="E19" s="479">
        <v>0</v>
      </c>
      <c r="F19" s="480"/>
      <c r="G19" s="481"/>
      <c r="H19" s="481"/>
      <c r="I19" s="481"/>
      <c r="J19" s="481"/>
      <c r="K19" s="481"/>
      <c r="L19" s="482"/>
      <c r="M19" s="172">
        <f t="shared" si="0"/>
        <v>0</v>
      </c>
      <c r="N19" s="884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343</v>
      </c>
      <c r="D20" s="158"/>
      <c r="E20" s="170">
        <f>SUM(E15:E19)</f>
        <v>19775.759999999998</v>
      </c>
      <c r="F20" s="170">
        <f t="shared" ref="F20:M20" si="1">SUM(F15:F19)</f>
        <v>22326.240000000002</v>
      </c>
      <c r="G20" s="170">
        <f t="shared" si="1"/>
        <v>0</v>
      </c>
      <c r="H20" s="170">
        <f t="shared" si="1"/>
        <v>0</v>
      </c>
      <c r="I20" s="170">
        <f t="shared" si="1"/>
        <v>-14047.529999999999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28054.47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344</v>
      </c>
      <c r="D22" s="162"/>
      <c r="E22" s="550">
        <v>20127.990000000002</v>
      </c>
      <c r="F22" s="551">
        <f>2548775.27-20127.99</f>
        <v>2528647.2799999998</v>
      </c>
      <c r="G22" s="552"/>
      <c r="H22" s="552"/>
      <c r="I22" s="552"/>
      <c r="J22" s="552"/>
      <c r="K22" s="552"/>
      <c r="L22" s="553"/>
      <c r="M22" s="170">
        <f>SUM(E22:L22)</f>
        <v>2548775.27</v>
      </c>
      <c r="N22" s="913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082"/>
      <c r="D24" s="1083"/>
      <c r="E24" s="193" t="s">
        <v>355</v>
      </c>
      <c r="F24" s="1086" t="s">
        <v>345</v>
      </c>
      <c r="G24" s="1087"/>
      <c r="H24" s="1087"/>
      <c r="I24" s="1087"/>
      <c r="J24" s="1087"/>
      <c r="K24" s="1087"/>
      <c r="L24" s="1088"/>
      <c r="M24" s="193" t="s">
        <v>356</v>
      </c>
      <c r="N24" s="1084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85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338</v>
      </c>
      <c r="D26" s="152"/>
      <c r="E26" s="167">
        <f>+M15</f>
        <v>3950.33</v>
      </c>
      <c r="F26" s="472"/>
      <c r="G26" s="473"/>
      <c r="H26" s="473"/>
      <c r="I26" s="473">
        <v>-1505.23</v>
      </c>
      <c r="J26" s="473"/>
      <c r="K26" s="473"/>
      <c r="L26" s="474"/>
      <c r="M26" s="167">
        <f>SUM(E26:L26)</f>
        <v>2445.1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6"/>
      <c r="G27" s="477"/>
      <c r="H27" s="477"/>
      <c r="I27" s="477"/>
      <c r="J27" s="477"/>
      <c r="K27" s="477"/>
      <c r="L27" s="478"/>
      <c r="M27" s="171">
        <f t="shared" ref="M27:M30" si="2">SUM(E27:L27)</f>
        <v>0</v>
      </c>
      <c r="N27" s="883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339</v>
      </c>
      <c r="D28" s="154"/>
      <c r="E28" s="171">
        <f>+M17</f>
        <v>24104.14</v>
      </c>
      <c r="F28" s="476">
        <v>6000</v>
      </c>
      <c r="G28" s="477"/>
      <c r="H28" s="477"/>
      <c r="I28" s="477">
        <v>-15199.48</v>
      </c>
      <c r="J28" s="477"/>
      <c r="K28" s="477"/>
      <c r="L28" s="478"/>
      <c r="M28" s="171">
        <f t="shared" si="2"/>
        <v>14904.66</v>
      </c>
      <c r="N28" s="883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6"/>
      <c r="G29" s="477"/>
      <c r="H29" s="477"/>
      <c r="I29" s="477"/>
      <c r="J29" s="477"/>
      <c r="K29" s="477"/>
      <c r="L29" s="478"/>
      <c r="M29" s="171">
        <f t="shared" si="2"/>
        <v>0</v>
      </c>
      <c r="N29" s="883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80"/>
      <c r="G30" s="481"/>
      <c r="H30" s="481"/>
      <c r="I30" s="481"/>
      <c r="J30" s="481"/>
      <c r="K30" s="481"/>
      <c r="L30" s="482"/>
      <c r="M30" s="172">
        <f t="shared" si="2"/>
        <v>0</v>
      </c>
      <c r="N30" s="884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343</v>
      </c>
      <c r="D31" s="158"/>
      <c r="E31" s="170">
        <f>SUM(E26:E30)</f>
        <v>28054.47</v>
      </c>
      <c r="F31" s="170">
        <f t="shared" ref="F31" si="3">SUM(F26:F30)</f>
        <v>6000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-16704.71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17349.759999999998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344</v>
      </c>
      <c r="D33" s="162"/>
      <c r="E33" s="170">
        <f>+M22</f>
        <v>2548775.27</v>
      </c>
      <c r="F33" s="551">
        <v>8331530.8700000001</v>
      </c>
      <c r="G33" s="552"/>
      <c r="H33" s="552"/>
      <c r="I33" s="552"/>
      <c r="J33" s="552"/>
      <c r="K33" s="552">
        <v>-1754389</v>
      </c>
      <c r="L33" s="553"/>
      <c r="M33" s="170">
        <f>SUM(E33:L33)</f>
        <v>9125917.1400000006</v>
      </c>
      <c r="N33" s="913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54"/>
      <c r="D46" s="1054"/>
      <c r="E46" s="1054"/>
      <c r="F46" s="1054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70" zoomScaleNormal="70" zoomScalePageLayoutView="125" workbookViewId="0">
      <selection activeCell="R72" sqref="R72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33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33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055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086" t="s">
        <v>345</v>
      </c>
      <c r="H15" s="1087"/>
      <c r="I15" s="1087"/>
      <c r="J15" s="193" t="s">
        <v>356</v>
      </c>
      <c r="K15" s="193" t="s">
        <v>366</v>
      </c>
      <c r="L15" s="193" t="s">
        <v>367</v>
      </c>
      <c r="M15" s="1084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85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96" t="s">
        <v>368</v>
      </c>
      <c r="D17" s="1096"/>
      <c r="E17" s="1096"/>
      <c r="F17" s="1096"/>
      <c r="G17" s="1096"/>
      <c r="H17" s="1096"/>
      <c r="I17" s="1096"/>
      <c r="J17" s="1096"/>
      <c r="K17" s="1096"/>
      <c r="L17" s="1096"/>
      <c r="M17" s="1096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093"/>
      <c r="D18" s="1094"/>
      <c r="E18" s="922"/>
      <c r="F18" s="483"/>
      <c r="G18" s="484"/>
      <c r="H18" s="484"/>
      <c r="I18" s="484"/>
      <c r="J18" s="180">
        <f t="shared" ref="J18:J24" si="0">SUM(F18:I18)</f>
        <v>0</v>
      </c>
      <c r="K18" s="491"/>
      <c r="L18" s="492"/>
      <c r="M18" s="918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089"/>
      <c r="D19" s="1090"/>
      <c r="E19" s="923"/>
      <c r="F19" s="476"/>
      <c r="G19" s="477"/>
      <c r="H19" s="477"/>
      <c r="I19" s="477"/>
      <c r="J19" s="171">
        <f t="shared" si="0"/>
        <v>0</v>
      </c>
      <c r="K19" s="493"/>
      <c r="L19" s="494"/>
      <c r="M19" s="919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089"/>
      <c r="D20" s="1090"/>
      <c r="E20" s="923"/>
      <c r="F20" s="476"/>
      <c r="G20" s="477"/>
      <c r="H20" s="477"/>
      <c r="I20" s="477"/>
      <c r="J20" s="171">
        <f t="shared" si="0"/>
        <v>0</v>
      </c>
      <c r="K20" s="493"/>
      <c r="L20" s="494"/>
      <c r="M20" s="919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089"/>
      <c r="D21" s="1090"/>
      <c r="E21" s="923"/>
      <c r="F21" s="476"/>
      <c r="G21" s="477"/>
      <c r="H21" s="477"/>
      <c r="I21" s="477"/>
      <c r="J21" s="171">
        <f t="shared" si="0"/>
        <v>0</v>
      </c>
      <c r="K21" s="493"/>
      <c r="L21" s="494"/>
      <c r="M21" s="919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089"/>
      <c r="D22" s="1090"/>
      <c r="E22" s="924"/>
      <c r="F22" s="485"/>
      <c r="G22" s="486"/>
      <c r="H22" s="486"/>
      <c r="I22" s="486"/>
      <c r="J22" s="171">
        <f t="shared" si="0"/>
        <v>0</v>
      </c>
      <c r="K22" s="495"/>
      <c r="L22" s="496"/>
      <c r="M22" s="920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089"/>
      <c r="D23" s="1090"/>
      <c r="E23" s="924"/>
      <c r="F23" s="485"/>
      <c r="G23" s="486"/>
      <c r="H23" s="486"/>
      <c r="I23" s="486"/>
      <c r="J23" s="171">
        <f t="shared" si="0"/>
        <v>0</v>
      </c>
      <c r="K23" s="495"/>
      <c r="L23" s="496"/>
      <c r="M23" s="920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7"/>
      <c r="D24" s="488"/>
      <c r="E24" s="925"/>
      <c r="F24" s="480"/>
      <c r="G24" s="481"/>
      <c r="H24" s="481"/>
      <c r="I24" s="481"/>
      <c r="J24" s="172">
        <f t="shared" si="0"/>
        <v>0</v>
      </c>
      <c r="K24" s="497"/>
      <c r="L24" s="498"/>
      <c r="M24" s="921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97" t="s">
        <v>369</v>
      </c>
      <c r="D26" s="1097"/>
      <c r="E26" s="1097"/>
      <c r="F26" s="1097"/>
      <c r="G26" s="1097"/>
      <c r="H26" s="1097"/>
      <c r="I26" s="1097"/>
      <c r="J26" s="1097"/>
      <c r="K26" s="1097"/>
      <c r="L26" s="1097"/>
      <c r="M26" s="1097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093"/>
      <c r="D27" s="1094"/>
      <c r="E27" s="922"/>
      <c r="F27" s="483"/>
      <c r="G27" s="484"/>
      <c r="H27" s="484"/>
      <c r="I27" s="484"/>
      <c r="J27" s="180">
        <f t="shared" ref="J27:J33" si="1">SUM(F27:I27)</f>
        <v>0</v>
      </c>
      <c r="K27" s="491"/>
      <c r="L27" s="492"/>
      <c r="M27" s="918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089"/>
      <c r="D28" s="1090"/>
      <c r="E28" s="923"/>
      <c r="F28" s="476"/>
      <c r="G28" s="477"/>
      <c r="H28" s="477"/>
      <c r="I28" s="477"/>
      <c r="J28" s="171">
        <f t="shared" si="1"/>
        <v>0</v>
      </c>
      <c r="K28" s="493"/>
      <c r="L28" s="494"/>
      <c r="M28" s="919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089"/>
      <c r="D29" s="1090"/>
      <c r="E29" s="923"/>
      <c r="F29" s="476"/>
      <c r="G29" s="477"/>
      <c r="H29" s="477"/>
      <c r="I29" s="477"/>
      <c r="J29" s="171">
        <f t="shared" si="1"/>
        <v>0</v>
      </c>
      <c r="K29" s="493"/>
      <c r="L29" s="494"/>
      <c r="M29" s="919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089"/>
      <c r="D30" s="1090"/>
      <c r="E30" s="923"/>
      <c r="F30" s="476"/>
      <c r="G30" s="477"/>
      <c r="H30" s="477"/>
      <c r="I30" s="477"/>
      <c r="J30" s="171">
        <f t="shared" si="1"/>
        <v>0</v>
      </c>
      <c r="K30" s="493"/>
      <c r="L30" s="494"/>
      <c r="M30" s="919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089"/>
      <c r="D31" s="1090"/>
      <c r="E31" s="924"/>
      <c r="F31" s="485"/>
      <c r="G31" s="486"/>
      <c r="H31" s="486"/>
      <c r="I31" s="486"/>
      <c r="J31" s="171">
        <f t="shared" si="1"/>
        <v>0</v>
      </c>
      <c r="K31" s="495"/>
      <c r="L31" s="496"/>
      <c r="M31" s="920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089"/>
      <c r="D32" s="1090"/>
      <c r="E32" s="924"/>
      <c r="F32" s="485"/>
      <c r="G32" s="486"/>
      <c r="H32" s="486"/>
      <c r="I32" s="486"/>
      <c r="J32" s="171">
        <f t="shared" si="1"/>
        <v>0</v>
      </c>
      <c r="K32" s="495"/>
      <c r="L32" s="496"/>
      <c r="M32" s="920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091"/>
      <c r="D33" s="1092"/>
      <c r="E33" s="925"/>
      <c r="F33" s="480"/>
      <c r="G33" s="481"/>
      <c r="H33" s="481"/>
      <c r="I33" s="481"/>
      <c r="J33" s="172">
        <f t="shared" si="1"/>
        <v>0</v>
      </c>
      <c r="K33" s="497"/>
      <c r="L33" s="498"/>
      <c r="M33" s="921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086" t="s">
        <v>345</v>
      </c>
      <c r="H39" s="1087"/>
      <c r="I39" s="1087"/>
      <c r="J39" s="193" t="s">
        <v>356</v>
      </c>
      <c r="K39" s="193" t="s">
        <v>366</v>
      </c>
      <c r="L39" s="193" t="s">
        <v>367</v>
      </c>
      <c r="M39" s="1084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85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96" t="s">
        <v>372</v>
      </c>
      <c r="D41" s="1096"/>
      <c r="E41" s="1096"/>
      <c r="F41" s="1096"/>
      <c r="G41" s="1096"/>
      <c r="H41" s="1096"/>
      <c r="I41" s="1096"/>
      <c r="J41" s="1096"/>
      <c r="K41" s="1096"/>
      <c r="L41" s="1096"/>
      <c r="M41" s="1096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093"/>
      <c r="D42" s="1094"/>
      <c r="E42" s="922"/>
      <c r="F42" s="483"/>
      <c r="G42" s="484"/>
      <c r="H42" s="484"/>
      <c r="I42" s="484"/>
      <c r="J42" s="180">
        <f t="shared" ref="J42:J48" si="2">SUM(F42:I42)</f>
        <v>0</v>
      </c>
      <c r="K42" s="491"/>
      <c r="L42" s="914"/>
      <c r="M42" s="918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089"/>
      <c r="D43" s="1090"/>
      <c r="E43" s="923"/>
      <c r="F43" s="476"/>
      <c r="G43" s="477"/>
      <c r="H43" s="477"/>
      <c r="I43" s="477"/>
      <c r="J43" s="171">
        <f t="shared" si="2"/>
        <v>0</v>
      </c>
      <c r="K43" s="493"/>
      <c r="L43" s="915"/>
      <c r="M43" s="919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089"/>
      <c r="D44" s="1090"/>
      <c r="E44" s="923"/>
      <c r="F44" s="476"/>
      <c r="G44" s="477"/>
      <c r="H44" s="477"/>
      <c r="I44" s="477"/>
      <c r="J44" s="171">
        <f t="shared" si="2"/>
        <v>0</v>
      </c>
      <c r="K44" s="493"/>
      <c r="L44" s="915"/>
      <c r="M44" s="919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089"/>
      <c r="D45" s="1090"/>
      <c r="E45" s="923"/>
      <c r="F45" s="476"/>
      <c r="G45" s="477"/>
      <c r="H45" s="477"/>
      <c r="I45" s="477"/>
      <c r="J45" s="171">
        <f t="shared" si="2"/>
        <v>0</v>
      </c>
      <c r="K45" s="493"/>
      <c r="L45" s="915"/>
      <c r="M45" s="919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089"/>
      <c r="D46" s="1090"/>
      <c r="E46" s="924"/>
      <c r="F46" s="485"/>
      <c r="G46" s="486"/>
      <c r="H46" s="486"/>
      <c r="I46" s="486"/>
      <c r="J46" s="171">
        <f t="shared" si="2"/>
        <v>0</v>
      </c>
      <c r="K46" s="495"/>
      <c r="L46" s="916"/>
      <c r="M46" s="920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089"/>
      <c r="D47" s="1090"/>
      <c r="E47" s="924"/>
      <c r="F47" s="485"/>
      <c r="G47" s="486"/>
      <c r="H47" s="486"/>
      <c r="I47" s="486"/>
      <c r="J47" s="171">
        <f t="shared" si="2"/>
        <v>0</v>
      </c>
      <c r="K47" s="495"/>
      <c r="L47" s="916"/>
      <c r="M47" s="920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091"/>
      <c r="D48" s="1092"/>
      <c r="E48" s="925"/>
      <c r="F48" s="480"/>
      <c r="G48" s="481"/>
      <c r="H48" s="481"/>
      <c r="I48" s="481"/>
      <c r="J48" s="172">
        <f t="shared" si="2"/>
        <v>0</v>
      </c>
      <c r="K48" s="497"/>
      <c r="L48" s="917"/>
      <c r="M48" s="921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097" t="s">
        <v>373</v>
      </c>
      <c r="D50" s="1097"/>
      <c r="E50" s="1097"/>
      <c r="F50" s="1097"/>
      <c r="G50" s="1097"/>
      <c r="H50" s="1097"/>
      <c r="I50" s="1097"/>
      <c r="J50" s="1097"/>
      <c r="K50" s="1097"/>
      <c r="L50" s="1097"/>
      <c r="M50" s="1097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093"/>
      <c r="D51" s="1094"/>
      <c r="E51" s="922"/>
      <c r="F51" s="483"/>
      <c r="G51" s="484"/>
      <c r="H51" s="484"/>
      <c r="I51" s="484"/>
      <c r="J51" s="180">
        <f t="shared" ref="J51:J57" si="3">SUM(F51:I51)</f>
        <v>0</v>
      </c>
      <c r="K51" s="491"/>
      <c r="L51" s="492"/>
      <c r="M51" s="918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089"/>
      <c r="D52" s="1090"/>
      <c r="E52" s="923"/>
      <c r="F52" s="476"/>
      <c r="G52" s="477"/>
      <c r="H52" s="477"/>
      <c r="I52" s="477"/>
      <c r="J52" s="171">
        <f t="shared" si="3"/>
        <v>0</v>
      </c>
      <c r="K52" s="493"/>
      <c r="L52" s="494"/>
      <c r="M52" s="919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089"/>
      <c r="D53" s="1090"/>
      <c r="E53" s="923"/>
      <c r="F53" s="476"/>
      <c r="G53" s="477"/>
      <c r="H53" s="477"/>
      <c r="I53" s="477"/>
      <c r="J53" s="171">
        <f t="shared" si="3"/>
        <v>0</v>
      </c>
      <c r="K53" s="493"/>
      <c r="L53" s="494"/>
      <c r="M53" s="919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089"/>
      <c r="D54" s="1090"/>
      <c r="E54" s="923"/>
      <c r="F54" s="476"/>
      <c r="G54" s="477"/>
      <c r="H54" s="477"/>
      <c r="I54" s="477"/>
      <c r="J54" s="171">
        <f t="shared" si="3"/>
        <v>0</v>
      </c>
      <c r="K54" s="493"/>
      <c r="L54" s="494"/>
      <c r="M54" s="919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089"/>
      <c r="D55" s="1090"/>
      <c r="E55" s="924"/>
      <c r="F55" s="485"/>
      <c r="G55" s="486"/>
      <c r="H55" s="486"/>
      <c r="I55" s="486"/>
      <c r="J55" s="171">
        <f t="shared" si="3"/>
        <v>0</v>
      </c>
      <c r="K55" s="495"/>
      <c r="L55" s="496"/>
      <c r="M55" s="920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089"/>
      <c r="D56" s="1090"/>
      <c r="E56" s="924"/>
      <c r="F56" s="485"/>
      <c r="G56" s="486"/>
      <c r="H56" s="486"/>
      <c r="I56" s="486"/>
      <c r="J56" s="171">
        <f t="shared" si="3"/>
        <v>0</v>
      </c>
      <c r="K56" s="495"/>
      <c r="L56" s="496"/>
      <c r="M56" s="920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091"/>
      <c r="D57" s="1092"/>
      <c r="E57" s="925"/>
      <c r="F57" s="480"/>
      <c r="G57" s="481"/>
      <c r="H57" s="481"/>
      <c r="I57" s="481"/>
      <c r="J57" s="172">
        <f t="shared" si="3"/>
        <v>0</v>
      </c>
      <c r="K57" s="497"/>
      <c r="L57" s="498"/>
      <c r="M57" s="921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54"/>
      <c r="D71" s="1054"/>
      <c r="E71" s="1054"/>
      <c r="F71" s="1054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70" zoomScaleNormal="70" zoomScalePageLayoutView="125" workbookViewId="0">
      <selection activeCell="Y39" sqref="Y3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27.77734375" style="91" customWidth="1"/>
    <col min="6" max="9" width="15.21875" style="91" customWidth="1"/>
    <col min="10" max="12" width="9.77734375" style="91" customWidth="1"/>
    <col min="13" max="13" width="3.21875" style="90" customWidth="1"/>
    <col min="14" max="16384" width="10.777343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33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33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83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83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7" customFormat="1" ht="36" customHeight="1">
      <c r="B15" s="988"/>
      <c r="C15" s="1102" t="s">
        <v>781</v>
      </c>
      <c r="D15" s="1103"/>
      <c r="E15" s="989"/>
      <c r="F15" s="1100" t="s">
        <v>787</v>
      </c>
      <c r="G15" s="1101"/>
      <c r="H15" s="1100" t="s">
        <v>786</v>
      </c>
      <c r="I15" s="1101"/>
      <c r="J15" s="990"/>
      <c r="K15" s="990"/>
      <c r="L15" s="990"/>
      <c r="M15" s="991"/>
      <c r="O15" s="992"/>
      <c r="P15" s="993"/>
      <c r="Q15" s="993"/>
      <c r="R15" s="993"/>
      <c r="S15" s="993"/>
      <c r="T15" s="993"/>
      <c r="U15" s="993"/>
      <c r="V15" s="993"/>
      <c r="W15" s="993"/>
      <c r="X15" s="993"/>
      <c r="Y15" s="993"/>
      <c r="Z15" s="993"/>
      <c r="AA15" s="993"/>
      <c r="AB15" s="994"/>
    </row>
    <row r="16" spans="2:28" s="995" customFormat="1" ht="22.9" customHeight="1">
      <c r="B16" s="996"/>
      <c r="C16" s="1098" t="s">
        <v>782</v>
      </c>
      <c r="D16" s="1099"/>
      <c r="E16" s="997" t="s">
        <v>384</v>
      </c>
      <c r="F16" s="990">
        <f>ejercicio-1</f>
        <v>2017</v>
      </c>
      <c r="G16" s="990">
        <f>ejercicio</f>
        <v>2018</v>
      </c>
      <c r="H16" s="990">
        <f>ejercicio-1</f>
        <v>2017</v>
      </c>
      <c r="I16" s="990">
        <f>ejercicio</f>
        <v>2018</v>
      </c>
      <c r="J16" s="990" t="s">
        <v>386</v>
      </c>
      <c r="K16" s="990" t="s">
        <v>388</v>
      </c>
      <c r="L16" s="990" t="s">
        <v>387</v>
      </c>
      <c r="M16" s="998"/>
      <c r="O16" s="992"/>
      <c r="P16" s="993"/>
      <c r="Q16" s="993"/>
      <c r="R16" s="993"/>
      <c r="S16" s="993"/>
      <c r="T16" s="993"/>
      <c r="U16" s="993"/>
      <c r="V16" s="993"/>
      <c r="W16" s="993"/>
      <c r="X16" s="993"/>
      <c r="Y16" s="993"/>
      <c r="Z16" s="993"/>
      <c r="AA16" s="993"/>
      <c r="AB16" s="994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14" t="s">
        <v>660</v>
      </c>
      <c r="D18" s="1115"/>
      <c r="E18" s="1116"/>
      <c r="F18" s="501"/>
      <c r="G18" s="500"/>
      <c r="H18" s="846"/>
      <c r="I18" s="846"/>
      <c r="J18" s="846"/>
      <c r="K18" s="846"/>
      <c r="L18" s="846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6"/>
      <c r="K19" s="926"/>
      <c r="L19" s="926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723"/>
      <c r="D20" s="559"/>
      <c r="E20" s="564"/>
      <c r="F20" s="472"/>
      <c r="G20" s="503"/>
      <c r="H20" s="982"/>
      <c r="I20" s="982"/>
      <c r="J20" s="927"/>
      <c r="K20" s="927"/>
      <c r="L20" s="928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560"/>
      <c r="D21" s="561"/>
      <c r="E21" s="554"/>
      <c r="F21" s="483"/>
      <c r="G21" s="505"/>
      <c r="H21" s="983"/>
      <c r="I21" s="983"/>
      <c r="J21" s="929"/>
      <c r="K21" s="929"/>
      <c r="L21" s="930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560"/>
      <c r="D22" s="561"/>
      <c r="E22" s="554"/>
      <c r="F22" s="483"/>
      <c r="G22" s="505"/>
      <c r="H22" s="983"/>
      <c r="I22" s="983"/>
      <c r="J22" s="929"/>
      <c r="K22" s="929"/>
      <c r="L22" s="930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560"/>
      <c r="D23" s="561"/>
      <c r="E23" s="554"/>
      <c r="F23" s="483"/>
      <c r="G23" s="505"/>
      <c r="H23" s="983"/>
      <c r="I23" s="983"/>
      <c r="J23" s="929"/>
      <c r="K23" s="929"/>
      <c r="L23" s="930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560"/>
      <c r="D24" s="561"/>
      <c r="E24" s="555"/>
      <c r="F24" s="476"/>
      <c r="G24" s="506"/>
      <c r="H24" s="984"/>
      <c r="I24" s="984"/>
      <c r="J24" s="931"/>
      <c r="K24" s="931"/>
      <c r="L24" s="932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60"/>
      <c r="D25" s="561"/>
      <c r="E25" s="555"/>
      <c r="F25" s="476"/>
      <c r="G25" s="506"/>
      <c r="H25" s="984"/>
      <c r="I25" s="984"/>
      <c r="J25" s="931"/>
      <c r="K25" s="931"/>
      <c r="L25" s="932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60"/>
      <c r="D26" s="561"/>
      <c r="E26" s="555"/>
      <c r="F26" s="476"/>
      <c r="G26" s="506"/>
      <c r="H26" s="984"/>
      <c r="I26" s="984"/>
      <c r="J26" s="931"/>
      <c r="K26" s="931"/>
      <c r="L26" s="932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60"/>
      <c r="D27" s="561"/>
      <c r="E27" s="556"/>
      <c r="F27" s="485"/>
      <c r="G27" s="507"/>
      <c r="H27" s="985"/>
      <c r="I27" s="985"/>
      <c r="J27" s="933"/>
      <c r="K27" s="933"/>
      <c r="L27" s="934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60"/>
      <c r="D28" s="561"/>
      <c r="E28" s="556"/>
      <c r="F28" s="485"/>
      <c r="G28" s="507"/>
      <c r="H28" s="985"/>
      <c r="I28" s="985"/>
      <c r="J28" s="933"/>
      <c r="K28" s="933"/>
      <c r="L28" s="934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2"/>
      <c r="D29" s="563"/>
      <c r="E29" s="557"/>
      <c r="F29" s="480"/>
      <c r="G29" s="508"/>
      <c r="H29" s="986"/>
      <c r="I29" s="986"/>
      <c r="J29" s="935"/>
      <c r="K29" s="935"/>
      <c r="L29" s="936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7"/>
      <c r="K30" s="938"/>
      <c r="L30" s="937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04"/>
      <c r="D31" s="1104"/>
      <c r="E31" s="1104"/>
      <c r="F31" s="1104"/>
      <c r="G31" s="1104"/>
      <c r="H31" s="1104"/>
      <c r="I31" s="1104"/>
      <c r="J31" s="1104"/>
      <c r="K31" s="1104"/>
      <c r="L31" s="1104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05" t="s">
        <v>390</v>
      </c>
      <c r="D32" s="1106"/>
      <c r="E32" s="1107"/>
      <c r="F32" s="513"/>
      <c r="G32" s="503"/>
      <c r="H32" s="846"/>
      <c r="I32" s="846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08" t="s">
        <v>391</v>
      </c>
      <c r="D33" s="1109"/>
      <c r="E33" s="1110"/>
      <c r="F33" s="514"/>
      <c r="G33" s="506"/>
      <c r="H33" s="846"/>
      <c r="I33" s="846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392</v>
      </c>
      <c r="D34" s="154"/>
      <c r="E34" s="171"/>
      <c r="F34" s="514"/>
      <c r="G34" s="508"/>
      <c r="H34" s="846"/>
      <c r="I34" s="846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02" t="s">
        <v>781</v>
      </c>
      <c r="D38" s="1103"/>
      <c r="E38" s="989"/>
      <c r="F38" s="1100" t="s">
        <v>790</v>
      </c>
      <c r="G38" s="1101"/>
      <c r="H38" s="1100" t="s">
        <v>791</v>
      </c>
      <c r="I38" s="1101"/>
      <c r="J38" s="990"/>
      <c r="K38" s="990"/>
      <c r="L38" s="990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098" t="s">
        <v>782</v>
      </c>
      <c r="D39" s="1099"/>
      <c r="E39" s="997" t="s">
        <v>384</v>
      </c>
      <c r="F39" s="990">
        <f>ejercicio-1</f>
        <v>2017</v>
      </c>
      <c r="G39" s="990">
        <f>ejercicio</f>
        <v>2018</v>
      </c>
      <c r="H39" s="990">
        <f>ejercicio-1</f>
        <v>2017</v>
      </c>
      <c r="I39" s="990">
        <f>ejercicio</f>
        <v>2018</v>
      </c>
      <c r="J39" s="990" t="s">
        <v>386</v>
      </c>
      <c r="K39" s="990" t="s">
        <v>388</v>
      </c>
      <c r="L39" s="990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558"/>
      <c r="D40" s="559"/>
      <c r="E40" s="564"/>
      <c r="F40" s="472"/>
      <c r="G40" s="503"/>
      <c r="H40" s="982"/>
      <c r="I40" s="982"/>
      <c r="J40" s="927"/>
      <c r="K40" s="927"/>
      <c r="L40" s="928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560"/>
      <c r="D41" s="561"/>
      <c r="E41" s="554"/>
      <c r="F41" s="483"/>
      <c r="G41" s="505"/>
      <c r="H41" s="983"/>
      <c r="I41" s="983"/>
      <c r="J41" s="929"/>
      <c r="K41" s="929"/>
      <c r="L41" s="930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560"/>
      <c r="D42" s="561"/>
      <c r="E42" s="554"/>
      <c r="F42" s="483"/>
      <c r="G42" s="505"/>
      <c r="H42" s="983"/>
      <c r="I42" s="983"/>
      <c r="J42" s="929"/>
      <c r="K42" s="929"/>
      <c r="L42" s="930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560"/>
      <c r="D43" s="561"/>
      <c r="E43" s="554"/>
      <c r="F43" s="483"/>
      <c r="G43" s="505"/>
      <c r="H43" s="983"/>
      <c r="I43" s="983"/>
      <c r="J43" s="929"/>
      <c r="K43" s="929"/>
      <c r="L43" s="930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560"/>
      <c r="D44" s="561"/>
      <c r="E44" s="555"/>
      <c r="F44" s="476"/>
      <c r="G44" s="506"/>
      <c r="H44" s="984"/>
      <c r="I44" s="984"/>
      <c r="J44" s="931"/>
      <c r="K44" s="931"/>
      <c r="L44" s="932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560"/>
      <c r="D45" s="561"/>
      <c r="E45" s="555"/>
      <c r="F45" s="476"/>
      <c r="G45" s="506"/>
      <c r="H45" s="984"/>
      <c r="I45" s="984"/>
      <c r="J45" s="931"/>
      <c r="K45" s="931"/>
      <c r="L45" s="932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560"/>
      <c r="D46" s="561"/>
      <c r="E46" s="555"/>
      <c r="F46" s="476"/>
      <c r="G46" s="506"/>
      <c r="H46" s="984"/>
      <c r="I46" s="984"/>
      <c r="J46" s="931"/>
      <c r="K46" s="931"/>
      <c r="L46" s="932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560"/>
      <c r="D47" s="561"/>
      <c r="E47" s="556"/>
      <c r="F47" s="485"/>
      <c r="G47" s="507"/>
      <c r="H47" s="985"/>
      <c r="I47" s="985"/>
      <c r="J47" s="933"/>
      <c r="K47" s="933"/>
      <c r="L47" s="934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" customHeight="1">
      <c r="B48" s="110"/>
      <c r="C48" s="560"/>
      <c r="D48" s="561"/>
      <c r="E48" s="556"/>
      <c r="F48" s="485"/>
      <c r="G48" s="507"/>
      <c r="H48" s="985"/>
      <c r="I48" s="985"/>
      <c r="J48" s="933"/>
      <c r="K48" s="933"/>
      <c r="L48" s="934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" customHeight="1">
      <c r="B49" s="110"/>
      <c r="C49" s="562"/>
      <c r="D49" s="563"/>
      <c r="E49" s="557"/>
      <c r="F49" s="480"/>
      <c r="G49" s="508"/>
      <c r="H49" s="986"/>
      <c r="I49" s="986"/>
      <c r="J49" s="935"/>
      <c r="K49" s="935"/>
      <c r="L49" s="936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" customHeight="1" thickBot="1">
      <c r="B50" s="110"/>
      <c r="C50" s="1111" t="s">
        <v>389</v>
      </c>
      <c r="D50" s="1112"/>
      <c r="E50" s="1113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02" t="s">
        <v>781</v>
      </c>
      <c r="D53" s="1103"/>
      <c r="E53" s="989"/>
      <c r="F53" s="1100" t="s">
        <v>792</v>
      </c>
      <c r="G53" s="1101"/>
      <c r="H53" s="1100" t="s">
        <v>793</v>
      </c>
      <c r="I53" s="1101"/>
      <c r="J53" s="990"/>
      <c r="K53" s="990"/>
      <c r="L53" s="990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1098" t="s">
        <v>782</v>
      </c>
      <c r="D54" s="1099"/>
      <c r="E54" s="997" t="s">
        <v>384</v>
      </c>
      <c r="F54" s="990">
        <f>ejercicio-1</f>
        <v>2017</v>
      </c>
      <c r="G54" s="990">
        <f>ejercicio</f>
        <v>2018</v>
      </c>
      <c r="H54" s="990">
        <f>ejercicio-1</f>
        <v>2017</v>
      </c>
      <c r="I54" s="990">
        <f>ejercicio</f>
        <v>2018</v>
      </c>
      <c r="J54" s="990" t="s">
        <v>386</v>
      </c>
      <c r="K54" s="990" t="s">
        <v>388</v>
      </c>
      <c r="L54" s="990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" customHeight="1">
      <c r="B55" s="110"/>
      <c r="C55" s="1031" t="s">
        <v>837</v>
      </c>
      <c r="D55" s="559"/>
      <c r="E55" s="1032" t="s">
        <v>826</v>
      </c>
      <c r="F55" s="472">
        <v>109592</v>
      </c>
      <c r="G55" s="503">
        <v>66770</v>
      </c>
      <c r="H55" s="982"/>
      <c r="I55" s="982"/>
      <c r="J55" s="927"/>
      <c r="K55" s="927"/>
      <c r="L55" s="928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" customHeight="1">
      <c r="B56" s="110"/>
      <c r="C56" s="560"/>
      <c r="D56" s="561"/>
      <c r="E56" s="554"/>
      <c r="F56" s="483"/>
      <c r="G56" s="505"/>
      <c r="H56" s="983"/>
      <c r="I56" s="983"/>
      <c r="J56" s="929"/>
      <c r="K56" s="929"/>
      <c r="L56" s="930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560"/>
      <c r="D57" s="561"/>
      <c r="E57" s="554"/>
      <c r="F57" s="483"/>
      <c r="G57" s="505"/>
      <c r="H57" s="983"/>
      <c r="I57" s="983"/>
      <c r="J57" s="929"/>
      <c r="K57" s="929"/>
      <c r="L57" s="930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560"/>
      <c r="D58" s="561"/>
      <c r="E58" s="554"/>
      <c r="F58" s="483"/>
      <c r="G58" s="505"/>
      <c r="H58" s="983"/>
      <c r="I58" s="983"/>
      <c r="J58" s="929"/>
      <c r="K58" s="929"/>
      <c r="L58" s="930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560"/>
      <c r="D59" s="561"/>
      <c r="E59" s="555"/>
      <c r="F59" s="476"/>
      <c r="G59" s="506"/>
      <c r="H59" s="984"/>
      <c r="I59" s="984"/>
      <c r="J59" s="931"/>
      <c r="K59" s="931"/>
      <c r="L59" s="932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560"/>
      <c r="D60" s="561"/>
      <c r="E60" s="555"/>
      <c r="F60" s="476"/>
      <c r="G60" s="506"/>
      <c r="H60" s="984"/>
      <c r="I60" s="984"/>
      <c r="J60" s="931"/>
      <c r="K60" s="931"/>
      <c r="L60" s="932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560"/>
      <c r="D61" s="561"/>
      <c r="E61" s="555"/>
      <c r="F61" s="476"/>
      <c r="G61" s="506"/>
      <c r="H61" s="984"/>
      <c r="I61" s="984"/>
      <c r="J61" s="931"/>
      <c r="K61" s="931"/>
      <c r="L61" s="932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560"/>
      <c r="D62" s="561"/>
      <c r="E62" s="556"/>
      <c r="F62" s="485"/>
      <c r="G62" s="507"/>
      <c r="H62" s="985"/>
      <c r="I62" s="985"/>
      <c r="J62" s="933"/>
      <c r="K62" s="933"/>
      <c r="L62" s="934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560"/>
      <c r="D63" s="561"/>
      <c r="E63" s="556"/>
      <c r="F63" s="485"/>
      <c r="G63" s="507"/>
      <c r="H63" s="985"/>
      <c r="I63" s="985"/>
      <c r="J63" s="933"/>
      <c r="K63" s="933"/>
      <c r="L63" s="934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562"/>
      <c r="D64" s="563"/>
      <c r="E64" s="557"/>
      <c r="F64" s="480"/>
      <c r="G64" s="508"/>
      <c r="H64" s="986"/>
      <c r="I64" s="986"/>
      <c r="J64" s="935"/>
      <c r="K64" s="935"/>
      <c r="L64" s="936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" customHeight="1" thickBot="1">
      <c r="B65" s="110"/>
      <c r="C65" s="1111" t="s">
        <v>389</v>
      </c>
      <c r="D65" s="1112"/>
      <c r="E65" s="1113"/>
      <c r="F65" s="170">
        <f>SUM(F55:F64)</f>
        <v>109592</v>
      </c>
      <c r="G65" s="170">
        <f>SUM(G55:G64)</f>
        <v>66770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>
      <c r="B68" s="110"/>
      <c r="C68" s="1086" t="s">
        <v>781</v>
      </c>
      <c r="D68" s="1088"/>
      <c r="E68" s="990" t="s">
        <v>384</v>
      </c>
      <c r="F68" s="990">
        <f>ejercicio-1</f>
        <v>2017</v>
      </c>
      <c r="G68" s="990">
        <f>ejercicio</f>
        <v>2018</v>
      </c>
      <c r="H68" s="990" t="s">
        <v>386</v>
      </c>
      <c r="I68" s="990" t="s">
        <v>388</v>
      </c>
      <c r="J68" s="990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" customHeight="1">
      <c r="B69" s="110"/>
      <c r="C69" s="558"/>
      <c r="D69" s="559"/>
      <c r="E69" s="564"/>
      <c r="F69" s="472"/>
      <c r="G69" s="503"/>
      <c r="H69" s="927"/>
      <c r="I69" s="927"/>
      <c r="J69" s="928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" customHeight="1">
      <c r="B70" s="110"/>
      <c r="C70" s="560"/>
      <c r="D70" s="561"/>
      <c r="E70" s="554"/>
      <c r="F70" s="483"/>
      <c r="G70" s="505"/>
      <c r="H70" s="929"/>
      <c r="I70" s="929"/>
      <c r="J70" s="930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560"/>
      <c r="D71" s="561"/>
      <c r="E71" s="554"/>
      <c r="F71" s="483"/>
      <c r="G71" s="505"/>
      <c r="H71" s="929"/>
      <c r="I71" s="929"/>
      <c r="J71" s="930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560"/>
      <c r="D72" s="561"/>
      <c r="E72" s="554"/>
      <c r="F72" s="483"/>
      <c r="G72" s="505"/>
      <c r="H72" s="929"/>
      <c r="I72" s="929"/>
      <c r="J72" s="930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60"/>
      <c r="D73" s="561"/>
      <c r="E73" s="555"/>
      <c r="F73" s="476"/>
      <c r="G73" s="506"/>
      <c r="H73" s="931"/>
      <c r="I73" s="931"/>
      <c r="J73" s="932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60"/>
      <c r="D74" s="561"/>
      <c r="E74" s="555"/>
      <c r="F74" s="476"/>
      <c r="G74" s="506"/>
      <c r="H74" s="931"/>
      <c r="I74" s="931"/>
      <c r="J74" s="932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60"/>
      <c r="D75" s="561"/>
      <c r="E75" s="555"/>
      <c r="F75" s="476"/>
      <c r="G75" s="506"/>
      <c r="H75" s="931"/>
      <c r="I75" s="931"/>
      <c r="J75" s="932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60"/>
      <c r="D76" s="561"/>
      <c r="E76" s="556"/>
      <c r="F76" s="485"/>
      <c r="G76" s="507"/>
      <c r="H76" s="933"/>
      <c r="I76" s="933"/>
      <c r="J76" s="934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60"/>
      <c r="D77" s="561"/>
      <c r="E77" s="556"/>
      <c r="F77" s="485"/>
      <c r="G77" s="507"/>
      <c r="H77" s="933"/>
      <c r="I77" s="933"/>
      <c r="J77" s="934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2"/>
      <c r="D78" s="563"/>
      <c r="E78" s="557"/>
      <c r="F78" s="480"/>
      <c r="G78" s="508"/>
      <c r="H78" s="935"/>
      <c r="I78" s="935"/>
      <c r="J78" s="936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 thickBot="1">
      <c r="B79" s="110"/>
      <c r="C79" s="1111" t="s">
        <v>807</v>
      </c>
      <c r="D79" s="1112"/>
      <c r="E79" s="1113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8">
      <c r="B82" s="110"/>
      <c r="C82" s="975"/>
      <c r="D82" s="975"/>
      <c r="E82" s="976"/>
      <c r="F82" s="976"/>
      <c r="G82" s="976"/>
      <c r="H82" s="976"/>
      <c r="I82" s="976"/>
      <c r="J82" s="976"/>
      <c r="K82" s="976"/>
      <c r="L82" s="977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8">
      <c r="B83" s="110"/>
      <c r="C83" s="978"/>
      <c r="D83" s="978"/>
      <c r="E83" s="979"/>
      <c r="F83" s="979"/>
      <c r="G83" s="979"/>
      <c r="H83" s="979"/>
      <c r="I83" s="979"/>
      <c r="J83" s="979"/>
      <c r="K83" s="979"/>
      <c r="L83" s="980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8">
      <c r="B84" s="110"/>
      <c r="C84" s="978"/>
      <c r="D84" s="978"/>
      <c r="E84" s="979"/>
      <c r="F84" s="979"/>
      <c r="G84" s="979"/>
      <c r="H84" s="979"/>
      <c r="I84" s="979"/>
      <c r="J84" s="979"/>
      <c r="K84" s="979"/>
      <c r="L84" s="980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8"/>
      <c r="D85" s="978"/>
      <c r="E85" s="979"/>
      <c r="F85" s="979"/>
      <c r="G85" s="979"/>
      <c r="H85" s="979"/>
      <c r="I85" s="979"/>
      <c r="J85" s="979"/>
      <c r="K85" s="979"/>
      <c r="L85" s="980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8"/>
      <c r="D86" s="978"/>
      <c r="E86" s="979"/>
      <c r="F86" s="979"/>
      <c r="G86" s="979"/>
      <c r="H86" s="979"/>
      <c r="I86" s="979"/>
      <c r="J86" s="979"/>
      <c r="K86" s="979"/>
      <c r="L86" s="980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8"/>
      <c r="D87" s="978"/>
      <c r="E87" s="979"/>
      <c r="F87" s="979"/>
      <c r="G87" s="979"/>
      <c r="H87" s="979"/>
      <c r="I87" s="979"/>
      <c r="J87" s="979"/>
      <c r="K87" s="979"/>
      <c r="L87" s="980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8"/>
      <c r="D88" s="978"/>
      <c r="E88" s="979"/>
      <c r="F88" s="979"/>
      <c r="G88" s="979"/>
      <c r="H88" s="979"/>
      <c r="I88" s="979"/>
      <c r="J88" s="979"/>
      <c r="K88" s="979"/>
      <c r="L88" s="980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8"/>
      <c r="D89" s="978"/>
      <c r="E89" s="979"/>
      <c r="F89" s="979"/>
      <c r="G89" s="979"/>
      <c r="H89" s="979"/>
      <c r="I89" s="979"/>
      <c r="J89" s="979"/>
      <c r="K89" s="979"/>
      <c r="L89" s="980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8"/>
      <c r="D90" s="978"/>
      <c r="E90" s="979"/>
      <c r="F90" s="979"/>
      <c r="G90" s="979"/>
      <c r="H90" s="979"/>
      <c r="I90" s="979"/>
      <c r="J90" s="979"/>
      <c r="K90" s="979"/>
      <c r="L90" s="980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8"/>
      <c r="D91" s="978"/>
      <c r="E91" s="979"/>
      <c r="F91" s="979"/>
      <c r="G91" s="979"/>
      <c r="H91" s="979"/>
      <c r="I91" s="979"/>
      <c r="J91" s="979"/>
      <c r="K91" s="979"/>
      <c r="L91" s="980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8">
      <c r="B92" s="110"/>
      <c r="C92" s="1002" t="s">
        <v>785</v>
      </c>
      <c r="D92" s="999"/>
      <c r="E92" s="1000"/>
      <c r="F92" s="1000"/>
      <c r="G92" s="1000"/>
      <c r="H92" s="1000"/>
      <c r="I92" s="1000"/>
      <c r="J92" s="1000"/>
      <c r="K92" s="1000"/>
      <c r="L92" s="1001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8">
      <c r="B93" s="110"/>
      <c r="C93" s="1003" t="s">
        <v>799</v>
      </c>
      <c r="D93" s="999"/>
      <c r="E93" s="1000"/>
      <c r="F93" s="1000"/>
      <c r="G93" s="1000"/>
      <c r="H93" s="1000"/>
      <c r="I93" s="1000"/>
      <c r="J93" s="1000"/>
      <c r="K93" s="1000"/>
      <c r="L93" s="1001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8">
      <c r="B94" s="110"/>
      <c r="C94" s="1003" t="s">
        <v>797</v>
      </c>
      <c r="D94" s="999"/>
      <c r="E94" s="1000"/>
      <c r="F94" s="1004">
        <f>ejercicio-1</f>
        <v>2017</v>
      </c>
      <c r="G94" s="1000" t="s">
        <v>798</v>
      </c>
      <c r="H94" s="1000"/>
      <c r="I94" s="1000"/>
      <c r="J94" s="1004">
        <f>ejercicio</f>
        <v>2018</v>
      </c>
      <c r="K94" s="1000"/>
      <c r="L94" s="1001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8">
      <c r="B95" s="110"/>
      <c r="C95" s="1003" t="s">
        <v>801</v>
      </c>
      <c r="D95" s="999"/>
      <c r="E95" s="1000"/>
      <c r="F95" s="1000"/>
      <c r="G95" s="1000"/>
      <c r="H95" s="1000"/>
      <c r="I95" s="1000"/>
      <c r="J95" s="1000"/>
      <c r="K95" s="1000"/>
      <c r="L95" s="1001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8">
      <c r="B96" s="110"/>
      <c r="C96" s="999" t="s">
        <v>800</v>
      </c>
      <c r="D96" s="999"/>
      <c r="E96" s="1000"/>
      <c r="F96" s="1000"/>
      <c r="G96" s="1000"/>
      <c r="H96" s="1000"/>
      <c r="I96" s="1000"/>
      <c r="J96" s="1000"/>
      <c r="K96" s="1000"/>
      <c r="L96" s="1001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8">
      <c r="B97" s="110"/>
      <c r="C97" s="1003" t="s">
        <v>802</v>
      </c>
      <c r="D97" s="999"/>
      <c r="E97" s="1000"/>
      <c r="F97" s="1000"/>
      <c r="G97" s="1000"/>
      <c r="H97" s="1000"/>
      <c r="I97" s="1000"/>
      <c r="J97" s="1000"/>
      <c r="K97" s="1000"/>
      <c r="L97" s="1001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8">
      <c r="B98" s="110"/>
      <c r="C98" s="999" t="s">
        <v>788</v>
      </c>
      <c r="D98" s="999"/>
      <c r="E98" s="1000"/>
      <c r="F98" s="1000"/>
      <c r="G98" s="1000"/>
      <c r="H98" s="1000"/>
      <c r="I98" s="1000"/>
      <c r="J98" s="1000"/>
      <c r="K98" s="1000"/>
      <c r="L98" s="1001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999" t="s">
        <v>808</v>
      </c>
      <c r="D99" s="999"/>
      <c r="E99" s="1000"/>
      <c r="F99" s="1000"/>
      <c r="G99" s="1000"/>
      <c r="H99" s="1000"/>
      <c r="I99" s="1000"/>
      <c r="J99" s="1000"/>
      <c r="K99" s="1000"/>
      <c r="L99" s="1001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999" t="s">
        <v>789</v>
      </c>
      <c r="D100" s="999"/>
      <c r="E100" s="1000"/>
      <c r="F100" s="1000"/>
      <c r="G100" s="1000"/>
      <c r="H100" s="1000"/>
      <c r="I100" s="1000"/>
      <c r="J100" s="1000"/>
      <c r="K100" s="1000"/>
      <c r="L100" s="1001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1003" t="s">
        <v>803</v>
      </c>
      <c r="D101" s="999"/>
      <c r="E101" s="1000"/>
      <c r="F101" s="1000"/>
      <c r="G101" s="1000"/>
      <c r="H101" s="1000"/>
      <c r="I101" s="1000"/>
      <c r="J101" s="1000"/>
      <c r="K101" s="1000"/>
      <c r="L101" s="1001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1003" t="s">
        <v>810</v>
      </c>
      <c r="D102" s="999"/>
      <c r="E102" s="1000"/>
      <c r="F102" s="1000"/>
      <c r="G102" s="1000"/>
      <c r="H102" s="1000"/>
      <c r="I102" s="1000"/>
      <c r="J102" s="1000"/>
      <c r="K102" s="1000"/>
      <c r="L102" s="1001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999" t="s">
        <v>794</v>
      </c>
      <c r="D103" s="999"/>
      <c r="E103" s="1000"/>
      <c r="F103" s="1000"/>
      <c r="G103" s="1000"/>
      <c r="H103" s="1000"/>
      <c r="I103" s="1000"/>
      <c r="J103" s="1000"/>
      <c r="K103" s="1000"/>
      <c r="L103" s="1001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1003" t="s">
        <v>804</v>
      </c>
      <c r="D104" s="999"/>
      <c r="E104" s="1000"/>
      <c r="F104" s="1000"/>
      <c r="G104" s="1000"/>
      <c r="H104" s="1000"/>
      <c r="I104" s="1000"/>
      <c r="J104" s="1000"/>
      <c r="K104" s="1000"/>
      <c r="L104" s="1001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11" customFormat="1" ht="18">
      <c r="B105" s="1005"/>
      <c r="C105" s="1006" t="s">
        <v>809</v>
      </c>
      <c r="D105" s="1007"/>
      <c r="E105" s="1008"/>
      <c r="F105" s="1008"/>
      <c r="G105" s="1008"/>
      <c r="H105" s="1008"/>
      <c r="I105" s="1008"/>
      <c r="J105" s="1008"/>
      <c r="K105" s="1008"/>
      <c r="L105" s="1009"/>
      <c r="M105" s="1010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999" t="s">
        <v>795</v>
      </c>
      <c r="D106" s="999"/>
      <c r="E106" s="1000"/>
      <c r="F106" s="1000"/>
      <c r="G106" s="1000"/>
      <c r="H106" s="1000"/>
      <c r="I106" s="1000"/>
      <c r="J106" s="1000"/>
      <c r="K106" s="1000"/>
      <c r="L106" s="1001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1003" t="s">
        <v>805</v>
      </c>
      <c r="D107" s="999"/>
      <c r="E107" s="1000"/>
      <c r="F107" s="1000"/>
      <c r="G107" s="1000"/>
      <c r="H107" s="1000"/>
      <c r="I107" s="1000"/>
      <c r="J107" s="1000"/>
      <c r="K107" s="1000"/>
      <c r="L107" s="1001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8">
      <c r="B108" s="110"/>
      <c r="C108" s="999" t="s">
        <v>796</v>
      </c>
      <c r="D108" s="999"/>
      <c r="E108" s="1000"/>
      <c r="F108" s="1000"/>
      <c r="G108" s="1000"/>
      <c r="H108" s="1000"/>
      <c r="I108" s="1000"/>
      <c r="J108" s="1000"/>
      <c r="K108" s="1000"/>
      <c r="L108" s="1001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" customHeight="1" thickBot="1">
      <c r="B109" s="114"/>
      <c r="C109" s="1054"/>
      <c r="D109" s="1054"/>
      <c r="E109" s="1054"/>
      <c r="F109" s="1054"/>
      <c r="G109" s="57"/>
      <c r="H109" s="981"/>
      <c r="I109" s="981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  <mergeCell ref="C54:D54"/>
    <mergeCell ref="C68:D68"/>
    <mergeCell ref="F38:G38"/>
    <mergeCell ref="H38:I38"/>
    <mergeCell ref="C39:D39"/>
    <mergeCell ref="C53:D53"/>
    <mergeCell ref="F53:G53"/>
    <mergeCell ref="H53:I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25" workbookViewId="0">
      <selection activeCell="M100" sqref="M10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33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33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055"/>
      <c r="N9" s="1055"/>
      <c r="O9" s="1055"/>
      <c r="P9" s="1055"/>
      <c r="Q9" s="1055"/>
      <c r="R9" s="1055"/>
      <c r="S9" s="1055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8" t="s">
        <v>645</v>
      </c>
      <c r="N15" s="193" t="s">
        <v>634</v>
      </c>
      <c r="O15" s="193" t="s">
        <v>633</v>
      </c>
      <c r="P15" s="872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5"/>
      <c r="D17" s="509"/>
      <c r="E17" s="577"/>
      <c r="F17" s="577"/>
      <c r="G17" s="515"/>
      <c r="H17" s="577"/>
      <c r="I17" s="577"/>
      <c r="J17" s="577"/>
      <c r="K17" s="589"/>
      <c r="L17" s="589"/>
      <c r="M17" s="881"/>
      <c r="N17" s="881"/>
      <c r="O17" s="881"/>
      <c r="P17" s="731"/>
      <c r="Q17" s="585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5"/>
      <c r="D18" s="509"/>
      <c r="E18" s="577"/>
      <c r="F18" s="577"/>
      <c r="G18" s="515"/>
      <c r="H18" s="577"/>
      <c r="I18" s="577"/>
      <c r="J18" s="577"/>
      <c r="K18" s="589"/>
      <c r="L18" s="589"/>
      <c r="M18" s="589"/>
      <c r="N18" s="589"/>
      <c r="O18" s="589"/>
      <c r="P18" s="731"/>
      <c r="Q18" s="586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5"/>
      <c r="D19" s="509"/>
      <c r="E19" s="577" t="s">
        <v>619</v>
      </c>
      <c r="F19" s="577"/>
      <c r="G19" s="515"/>
      <c r="H19" s="577"/>
      <c r="I19" s="577"/>
      <c r="J19" s="577"/>
      <c r="K19" s="589"/>
      <c r="L19" s="589"/>
      <c r="M19" s="589"/>
      <c r="N19" s="589"/>
      <c r="O19" s="589"/>
      <c r="P19" s="731"/>
      <c r="Q19" s="586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5"/>
      <c r="D20" s="509"/>
      <c r="E20" s="577"/>
      <c r="F20" s="577"/>
      <c r="G20" s="515"/>
      <c r="H20" s="577"/>
      <c r="I20" s="577"/>
      <c r="J20" s="577"/>
      <c r="K20" s="589"/>
      <c r="L20" s="589"/>
      <c r="M20" s="589"/>
      <c r="N20" s="589"/>
      <c r="O20" s="589"/>
      <c r="P20" s="731"/>
      <c r="Q20" s="586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5"/>
      <c r="D21" s="509"/>
      <c r="E21" s="577"/>
      <c r="F21" s="577"/>
      <c r="G21" s="515"/>
      <c r="H21" s="577"/>
      <c r="I21" s="577"/>
      <c r="J21" s="577"/>
      <c r="K21" s="589"/>
      <c r="L21" s="589"/>
      <c r="M21" s="589"/>
      <c r="N21" s="589"/>
      <c r="O21" s="589"/>
      <c r="P21" s="731"/>
      <c r="Q21" s="586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5"/>
      <c r="D22" s="509"/>
      <c r="E22" s="577"/>
      <c r="F22" s="577"/>
      <c r="G22" s="515"/>
      <c r="H22" s="577"/>
      <c r="I22" s="577"/>
      <c r="J22" s="577"/>
      <c r="K22" s="589"/>
      <c r="L22" s="589"/>
      <c r="M22" s="589"/>
      <c r="N22" s="589"/>
      <c r="O22" s="589"/>
      <c r="P22" s="731"/>
      <c r="Q22" s="586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5"/>
      <c r="D23" s="509"/>
      <c r="E23" s="577"/>
      <c r="F23" s="577"/>
      <c r="G23" s="515"/>
      <c r="H23" s="577"/>
      <c r="I23" s="577"/>
      <c r="J23" s="577"/>
      <c r="K23" s="589"/>
      <c r="L23" s="589"/>
      <c r="M23" s="589"/>
      <c r="N23" s="589"/>
      <c r="O23" s="589"/>
      <c r="P23" s="731"/>
      <c r="Q23" s="586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5"/>
      <c r="D24" s="509"/>
      <c r="E24" s="577"/>
      <c r="F24" s="577"/>
      <c r="G24" s="515"/>
      <c r="H24" s="577"/>
      <c r="I24" s="577"/>
      <c r="J24" s="577"/>
      <c r="K24" s="589"/>
      <c r="L24" s="589"/>
      <c r="M24" s="589"/>
      <c r="N24" s="589"/>
      <c r="O24" s="589"/>
      <c r="P24" s="731"/>
      <c r="Q24" s="586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5"/>
      <c r="D25" s="509"/>
      <c r="E25" s="577"/>
      <c r="F25" s="577"/>
      <c r="G25" s="515"/>
      <c r="H25" s="577"/>
      <c r="I25" s="577"/>
      <c r="J25" s="577"/>
      <c r="K25" s="589"/>
      <c r="L25" s="589"/>
      <c r="M25" s="589"/>
      <c r="N25" s="589"/>
      <c r="O25" s="589"/>
      <c r="P25" s="731"/>
      <c r="Q25" s="586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5"/>
      <c r="D26" s="509"/>
      <c r="E26" s="577"/>
      <c r="F26" s="577"/>
      <c r="G26" s="515"/>
      <c r="H26" s="577"/>
      <c r="I26" s="577"/>
      <c r="J26" s="577"/>
      <c r="K26" s="589"/>
      <c r="L26" s="589"/>
      <c r="M26" s="589"/>
      <c r="N26" s="589"/>
      <c r="O26" s="589"/>
      <c r="P26" s="731"/>
      <c r="Q26" s="586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5"/>
      <c r="D27" s="509"/>
      <c r="E27" s="577"/>
      <c r="F27" s="577"/>
      <c r="G27" s="515"/>
      <c r="H27" s="577"/>
      <c r="I27" s="577"/>
      <c r="J27" s="577"/>
      <c r="K27" s="589"/>
      <c r="L27" s="589"/>
      <c r="M27" s="589"/>
      <c r="N27" s="589"/>
      <c r="O27" s="589"/>
      <c r="P27" s="731"/>
      <c r="Q27" s="586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5"/>
      <c r="D28" s="509"/>
      <c r="E28" s="577"/>
      <c r="F28" s="577"/>
      <c r="G28" s="515"/>
      <c r="H28" s="577"/>
      <c r="I28" s="577"/>
      <c r="J28" s="577"/>
      <c r="K28" s="589"/>
      <c r="L28" s="589"/>
      <c r="M28" s="589"/>
      <c r="N28" s="589"/>
      <c r="O28" s="589"/>
      <c r="P28" s="731"/>
      <c r="Q28" s="586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5"/>
      <c r="D29" s="509"/>
      <c r="E29" s="577"/>
      <c r="F29" s="577"/>
      <c r="G29" s="515"/>
      <c r="H29" s="577"/>
      <c r="I29" s="577"/>
      <c r="J29" s="577"/>
      <c r="K29" s="589"/>
      <c r="L29" s="589"/>
      <c r="M29" s="589"/>
      <c r="N29" s="589"/>
      <c r="O29" s="589"/>
      <c r="P29" s="731"/>
      <c r="Q29" s="586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5"/>
      <c r="D30" s="509"/>
      <c r="E30" s="577"/>
      <c r="F30" s="577"/>
      <c r="G30" s="515"/>
      <c r="H30" s="577"/>
      <c r="I30" s="577"/>
      <c r="J30" s="577"/>
      <c r="K30" s="589"/>
      <c r="L30" s="589"/>
      <c r="M30" s="589"/>
      <c r="N30" s="589"/>
      <c r="O30" s="589"/>
      <c r="P30" s="731"/>
      <c r="Q30" s="586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5"/>
      <c r="D31" s="509"/>
      <c r="E31" s="577"/>
      <c r="F31" s="577"/>
      <c r="G31" s="515"/>
      <c r="H31" s="577"/>
      <c r="I31" s="577"/>
      <c r="J31" s="577"/>
      <c r="K31" s="589"/>
      <c r="L31" s="589"/>
      <c r="M31" s="589"/>
      <c r="N31" s="589"/>
      <c r="O31" s="589"/>
      <c r="P31" s="731"/>
      <c r="Q31" s="586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5"/>
      <c r="D32" s="509"/>
      <c r="E32" s="577"/>
      <c r="F32" s="577"/>
      <c r="G32" s="515"/>
      <c r="H32" s="577"/>
      <c r="I32" s="577"/>
      <c r="J32" s="577"/>
      <c r="K32" s="589"/>
      <c r="L32" s="589"/>
      <c r="M32" s="589"/>
      <c r="N32" s="589"/>
      <c r="O32" s="589"/>
      <c r="P32" s="731"/>
      <c r="Q32" s="586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5"/>
      <c r="D33" s="509"/>
      <c r="E33" s="577"/>
      <c r="F33" s="577"/>
      <c r="G33" s="515"/>
      <c r="H33" s="577"/>
      <c r="I33" s="577"/>
      <c r="J33" s="577"/>
      <c r="K33" s="589"/>
      <c r="L33" s="589"/>
      <c r="M33" s="589"/>
      <c r="N33" s="589"/>
      <c r="O33" s="589"/>
      <c r="P33" s="731"/>
      <c r="Q33" s="586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5"/>
      <c r="D34" s="509"/>
      <c r="E34" s="577"/>
      <c r="F34" s="577"/>
      <c r="G34" s="515"/>
      <c r="H34" s="577"/>
      <c r="I34" s="577"/>
      <c r="J34" s="577"/>
      <c r="K34" s="589"/>
      <c r="L34" s="589"/>
      <c r="M34" s="589"/>
      <c r="N34" s="589"/>
      <c r="O34" s="589"/>
      <c r="P34" s="731"/>
      <c r="Q34" s="586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5"/>
      <c r="D35" s="509"/>
      <c r="E35" s="577"/>
      <c r="F35" s="577"/>
      <c r="G35" s="515"/>
      <c r="H35" s="577"/>
      <c r="I35" s="577"/>
      <c r="J35" s="577"/>
      <c r="K35" s="589"/>
      <c r="L35" s="589"/>
      <c r="M35" s="589"/>
      <c r="N35" s="589"/>
      <c r="O35" s="589"/>
      <c r="P35" s="731"/>
      <c r="Q35" s="586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5"/>
      <c r="D36" s="509"/>
      <c r="E36" s="577"/>
      <c r="F36" s="577"/>
      <c r="G36" s="515"/>
      <c r="H36" s="577"/>
      <c r="I36" s="577"/>
      <c r="J36" s="577"/>
      <c r="K36" s="589"/>
      <c r="L36" s="589"/>
      <c r="M36" s="589"/>
      <c r="N36" s="589"/>
      <c r="O36" s="589"/>
      <c r="P36" s="731"/>
      <c r="Q36" s="586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5"/>
      <c r="D37" s="509"/>
      <c r="E37" s="577"/>
      <c r="F37" s="577"/>
      <c r="G37" s="515"/>
      <c r="H37" s="577"/>
      <c r="I37" s="577"/>
      <c r="J37" s="577"/>
      <c r="K37" s="589"/>
      <c r="L37" s="589"/>
      <c r="M37" s="589"/>
      <c r="N37" s="589"/>
      <c r="O37" s="589"/>
      <c r="P37" s="731"/>
      <c r="Q37" s="586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5"/>
      <c r="D38" s="509"/>
      <c r="E38" s="577"/>
      <c r="F38" s="577"/>
      <c r="G38" s="515"/>
      <c r="H38" s="577"/>
      <c r="I38" s="577"/>
      <c r="J38" s="577"/>
      <c r="K38" s="589"/>
      <c r="L38" s="589"/>
      <c r="M38" s="589"/>
      <c r="N38" s="589"/>
      <c r="O38" s="589"/>
      <c r="P38" s="731"/>
      <c r="Q38" s="586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5"/>
      <c r="D39" s="509"/>
      <c r="E39" s="577"/>
      <c r="F39" s="577"/>
      <c r="G39" s="515"/>
      <c r="H39" s="577"/>
      <c r="I39" s="577"/>
      <c r="J39" s="577"/>
      <c r="K39" s="589"/>
      <c r="L39" s="589"/>
      <c r="M39" s="589"/>
      <c r="N39" s="589"/>
      <c r="O39" s="589"/>
      <c r="P39" s="731"/>
      <c r="Q39" s="586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5"/>
      <c r="D40" s="510"/>
      <c r="E40" s="578"/>
      <c r="F40" s="578"/>
      <c r="G40" s="516"/>
      <c r="H40" s="578"/>
      <c r="I40" s="578"/>
      <c r="J40" s="578"/>
      <c r="K40" s="590"/>
      <c r="L40" s="590"/>
      <c r="M40" s="590"/>
      <c r="N40" s="590"/>
      <c r="O40" s="590"/>
      <c r="P40" s="732"/>
      <c r="Q40" s="587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7"/>
      <c r="D41" s="511"/>
      <c r="E41" s="579"/>
      <c r="F41" s="579"/>
      <c r="G41" s="517"/>
      <c r="H41" s="579"/>
      <c r="I41" s="579"/>
      <c r="J41" s="579"/>
      <c r="K41" s="591"/>
      <c r="L41" s="591"/>
      <c r="M41" s="591"/>
      <c r="N41" s="591"/>
      <c r="O41" s="591"/>
      <c r="P41" s="733"/>
      <c r="Q41" s="588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17" t="s">
        <v>424</v>
      </c>
      <c r="I42" s="1118"/>
      <c r="J42" s="1119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63"/>
      <c r="I43" s="863"/>
      <c r="J43" s="863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63"/>
      <c r="I44" s="863"/>
      <c r="J44" s="863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743</v>
      </c>
      <c r="D45" s="734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4"/>
      <c r="D46" s="734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8" t="s">
        <v>645</v>
      </c>
      <c r="N47" s="193" t="s">
        <v>634</v>
      </c>
      <c r="O47" s="193" t="s">
        <v>633</v>
      </c>
      <c r="P47" s="872" t="s">
        <v>689</v>
      </c>
      <c r="Q47" s="193" t="s">
        <v>632</v>
      </c>
      <c r="R47" s="1102" t="s">
        <v>742</v>
      </c>
      <c r="S47" s="1103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5"/>
      <c r="D49" s="509"/>
      <c r="E49" s="577"/>
      <c r="F49" s="577"/>
      <c r="G49" s="515"/>
      <c r="H49" s="577"/>
      <c r="I49" s="577"/>
      <c r="J49" s="873"/>
      <c r="K49" s="589"/>
      <c r="L49" s="589"/>
      <c r="M49" s="881"/>
      <c r="N49" s="881"/>
      <c r="O49" s="881"/>
      <c r="P49" s="731"/>
      <c r="Q49" s="585">
        <f>L49+M49-N49</f>
        <v>0</v>
      </c>
      <c r="R49" s="941"/>
      <c r="S49" s="942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5"/>
      <c r="D50" s="509"/>
      <c r="E50" s="577"/>
      <c r="F50" s="577"/>
      <c r="G50" s="515"/>
      <c r="H50" s="577"/>
      <c r="I50" s="577"/>
      <c r="J50" s="577"/>
      <c r="K50" s="589"/>
      <c r="L50" s="589"/>
      <c r="M50" s="589"/>
      <c r="N50" s="589"/>
      <c r="O50" s="589"/>
      <c r="P50" s="731"/>
      <c r="Q50" s="586">
        <f t="shared" ref="Q50:Q73" si="2">L50+M50-N50</f>
        <v>0</v>
      </c>
      <c r="R50" s="943"/>
      <c r="S50" s="944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5"/>
      <c r="D51" s="509"/>
      <c r="E51" s="577" t="s">
        <v>619</v>
      </c>
      <c r="F51" s="577"/>
      <c r="G51" s="515"/>
      <c r="H51" s="577"/>
      <c r="I51" s="577"/>
      <c r="J51" s="577"/>
      <c r="K51" s="589"/>
      <c r="L51" s="589"/>
      <c r="M51" s="589"/>
      <c r="N51" s="589"/>
      <c r="O51" s="589"/>
      <c r="P51" s="731"/>
      <c r="Q51" s="586">
        <f t="shared" si="2"/>
        <v>0</v>
      </c>
      <c r="R51" s="943"/>
      <c r="S51" s="944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5"/>
      <c r="D52" s="509"/>
      <c r="E52" s="577"/>
      <c r="F52" s="577"/>
      <c r="G52" s="515"/>
      <c r="H52" s="577"/>
      <c r="I52" s="577"/>
      <c r="J52" s="577"/>
      <c r="K52" s="589"/>
      <c r="L52" s="589"/>
      <c r="M52" s="589"/>
      <c r="N52" s="589"/>
      <c r="O52" s="589"/>
      <c r="P52" s="731"/>
      <c r="Q52" s="586">
        <f t="shared" si="2"/>
        <v>0</v>
      </c>
      <c r="R52" s="943"/>
      <c r="S52" s="944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5"/>
      <c r="D53" s="509"/>
      <c r="E53" s="577"/>
      <c r="F53" s="577"/>
      <c r="G53" s="515"/>
      <c r="H53" s="577"/>
      <c r="I53" s="577"/>
      <c r="J53" s="577"/>
      <c r="K53" s="589"/>
      <c r="L53" s="589"/>
      <c r="M53" s="589"/>
      <c r="N53" s="589"/>
      <c r="O53" s="589"/>
      <c r="P53" s="731"/>
      <c r="Q53" s="586">
        <f t="shared" si="2"/>
        <v>0</v>
      </c>
      <c r="R53" s="943"/>
      <c r="S53" s="944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5"/>
      <c r="D54" s="509"/>
      <c r="E54" s="577"/>
      <c r="F54" s="577"/>
      <c r="G54" s="515"/>
      <c r="H54" s="577"/>
      <c r="I54" s="577"/>
      <c r="J54" s="577"/>
      <c r="K54" s="589"/>
      <c r="L54" s="589"/>
      <c r="M54" s="589"/>
      <c r="N54" s="589"/>
      <c r="O54" s="589"/>
      <c r="P54" s="731"/>
      <c r="Q54" s="586">
        <f t="shared" si="2"/>
        <v>0</v>
      </c>
      <c r="R54" s="943"/>
      <c r="S54" s="944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5"/>
      <c r="D55" s="509"/>
      <c r="E55" s="577"/>
      <c r="F55" s="577"/>
      <c r="G55" s="515"/>
      <c r="H55" s="577"/>
      <c r="I55" s="577"/>
      <c r="J55" s="577"/>
      <c r="K55" s="589"/>
      <c r="L55" s="589"/>
      <c r="M55" s="589"/>
      <c r="N55" s="589"/>
      <c r="O55" s="589"/>
      <c r="P55" s="731"/>
      <c r="Q55" s="586">
        <f t="shared" si="2"/>
        <v>0</v>
      </c>
      <c r="R55" s="943"/>
      <c r="S55" s="944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5"/>
      <c r="D56" s="509"/>
      <c r="E56" s="577"/>
      <c r="F56" s="577"/>
      <c r="G56" s="515"/>
      <c r="H56" s="577"/>
      <c r="I56" s="577"/>
      <c r="J56" s="577"/>
      <c r="K56" s="589"/>
      <c r="L56" s="589"/>
      <c r="M56" s="589"/>
      <c r="N56" s="589"/>
      <c r="O56" s="589"/>
      <c r="P56" s="731"/>
      <c r="Q56" s="586">
        <f t="shared" si="2"/>
        <v>0</v>
      </c>
      <c r="R56" s="943"/>
      <c r="S56" s="944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5"/>
      <c r="D57" s="509"/>
      <c r="E57" s="577"/>
      <c r="F57" s="577"/>
      <c r="G57" s="515"/>
      <c r="H57" s="577"/>
      <c r="I57" s="577"/>
      <c r="J57" s="577"/>
      <c r="K57" s="589"/>
      <c r="L57" s="589"/>
      <c r="M57" s="589"/>
      <c r="N57" s="589"/>
      <c r="O57" s="589"/>
      <c r="P57" s="731"/>
      <c r="Q57" s="586">
        <f t="shared" si="2"/>
        <v>0</v>
      </c>
      <c r="R57" s="943"/>
      <c r="S57" s="944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5"/>
      <c r="D58" s="509"/>
      <c r="E58" s="577"/>
      <c r="F58" s="577"/>
      <c r="G58" s="515"/>
      <c r="H58" s="577"/>
      <c r="I58" s="577"/>
      <c r="J58" s="577"/>
      <c r="K58" s="589"/>
      <c r="L58" s="589"/>
      <c r="M58" s="589"/>
      <c r="N58" s="589"/>
      <c r="O58" s="589"/>
      <c r="P58" s="731"/>
      <c r="Q58" s="586">
        <f t="shared" si="2"/>
        <v>0</v>
      </c>
      <c r="R58" s="943"/>
      <c r="S58" s="944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5"/>
      <c r="D59" s="509"/>
      <c r="E59" s="577"/>
      <c r="F59" s="577"/>
      <c r="G59" s="515"/>
      <c r="H59" s="577"/>
      <c r="I59" s="577"/>
      <c r="J59" s="577"/>
      <c r="K59" s="589"/>
      <c r="L59" s="589"/>
      <c r="M59" s="589"/>
      <c r="N59" s="589"/>
      <c r="O59" s="589"/>
      <c r="P59" s="731"/>
      <c r="Q59" s="586">
        <f t="shared" si="2"/>
        <v>0</v>
      </c>
      <c r="R59" s="943"/>
      <c r="S59" s="944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5"/>
      <c r="D60" s="509"/>
      <c r="E60" s="577"/>
      <c r="F60" s="577"/>
      <c r="G60" s="515"/>
      <c r="H60" s="577"/>
      <c r="I60" s="577"/>
      <c r="J60" s="577"/>
      <c r="K60" s="589"/>
      <c r="L60" s="589"/>
      <c r="M60" s="589"/>
      <c r="N60" s="589"/>
      <c r="O60" s="589"/>
      <c r="P60" s="731"/>
      <c r="Q60" s="586">
        <f t="shared" si="2"/>
        <v>0</v>
      </c>
      <c r="R60" s="943"/>
      <c r="S60" s="944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5"/>
      <c r="D61" s="509"/>
      <c r="E61" s="577"/>
      <c r="F61" s="577"/>
      <c r="G61" s="515"/>
      <c r="H61" s="577"/>
      <c r="I61" s="577"/>
      <c r="J61" s="577"/>
      <c r="K61" s="589"/>
      <c r="L61" s="589"/>
      <c r="M61" s="589"/>
      <c r="N61" s="589"/>
      <c r="O61" s="589"/>
      <c r="P61" s="731"/>
      <c r="Q61" s="586">
        <f t="shared" si="2"/>
        <v>0</v>
      </c>
      <c r="R61" s="943"/>
      <c r="S61" s="944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5"/>
      <c r="D62" s="509"/>
      <c r="E62" s="577"/>
      <c r="F62" s="577"/>
      <c r="G62" s="515"/>
      <c r="H62" s="577"/>
      <c r="I62" s="577"/>
      <c r="J62" s="577"/>
      <c r="K62" s="589"/>
      <c r="L62" s="589"/>
      <c r="M62" s="589"/>
      <c r="N62" s="589"/>
      <c r="O62" s="589"/>
      <c r="P62" s="731"/>
      <c r="Q62" s="586">
        <f t="shared" si="2"/>
        <v>0</v>
      </c>
      <c r="R62" s="943"/>
      <c r="S62" s="944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5"/>
      <c r="D63" s="509"/>
      <c r="E63" s="577"/>
      <c r="F63" s="577"/>
      <c r="G63" s="515"/>
      <c r="H63" s="577"/>
      <c r="I63" s="577"/>
      <c r="J63" s="577"/>
      <c r="K63" s="589"/>
      <c r="L63" s="589"/>
      <c r="M63" s="589"/>
      <c r="N63" s="589"/>
      <c r="O63" s="589"/>
      <c r="P63" s="731"/>
      <c r="Q63" s="586">
        <f t="shared" si="2"/>
        <v>0</v>
      </c>
      <c r="R63" s="943"/>
      <c r="S63" s="944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5"/>
      <c r="D64" s="509"/>
      <c r="E64" s="577"/>
      <c r="F64" s="577"/>
      <c r="G64" s="515"/>
      <c r="H64" s="577"/>
      <c r="I64" s="577"/>
      <c r="J64" s="577"/>
      <c r="K64" s="589"/>
      <c r="L64" s="589"/>
      <c r="M64" s="589"/>
      <c r="N64" s="589"/>
      <c r="O64" s="589"/>
      <c r="P64" s="731"/>
      <c r="Q64" s="586">
        <f t="shared" si="2"/>
        <v>0</v>
      </c>
      <c r="R64" s="943"/>
      <c r="S64" s="944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5"/>
      <c r="D65" s="509"/>
      <c r="E65" s="577"/>
      <c r="F65" s="577"/>
      <c r="G65" s="515"/>
      <c r="H65" s="577"/>
      <c r="I65" s="577"/>
      <c r="J65" s="577"/>
      <c r="K65" s="589"/>
      <c r="L65" s="589"/>
      <c r="M65" s="589"/>
      <c r="N65" s="589"/>
      <c r="O65" s="589"/>
      <c r="P65" s="731"/>
      <c r="Q65" s="586">
        <f t="shared" si="2"/>
        <v>0</v>
      </c>
      <c r="R65" s="943"/>
      <c r="S65" s="944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5"/>
      <c r="D66" s="509"/>
      <c r="E66" s="577"/>
      <c r="F66" s="577"/>
      <c r="G66" s="515"/>
      <c r="H66" s="577"/>
      <c r="I66" s="577"/>
      <c r="J66" s="577"/>
      <c r="K66" s="589"/>
      <c r="L66" s="589"/>
      <c r="M66" s="589"/>
      <c r="N66" s="589"/>
      <c r="O66" s="589"/>
      <c r="P66" s="731"/>
      <c r="Q66" s="586">
        <f t="shared" si="2"/>
        <v>0</v>
      </c>
      <c r="R66" s="943"/>
      <c r="S66" s="944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5"/>
      <c r="D67" s="509"/>
      <c r="E67" s="577"/>
      <c r="F67" s="577"/>
      <c r="G67" s="515"/>
      <c r="H67" s="577"/>
      <c r="I67" s="577"/>
      <c r="J67" s="577"/>
      <c r="K67" s="589"/>
      <c r="L67" s="589"/>
      <c r="M67" s="589"/>
      <c r="N67" s="589"/>
      <c r="O67" s="589"/>
      <c r="P67" s="731"/>
      <c r="Q67" s="586">
        <f t="shared" si="2"/>
        <v>0</v>
      </c>
      <c r="R67" s="943"/>
      <c r="S67" s="944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5"/>
      <c r="D68" s="509"/>
      <c r="E68" s="577"/>
      <c r="F68" s="577"/>
      <c r="G68" s="515"/>
      <c r="H68" s="577"/>
      <c r="I68" s="577"/>
      <c r="J68" s="577"/>
      <c r="K68" s="589"/>
      <c r="L68" s="589"/>
      <c r="M68" s="589"/>
      <c r="N68" s="589"/>
      <c r="O68" s="589"/>
      <c r="P68" s="731"/>
      <c r="Q68" s="586">
        <f t="shared" si="2"/>
        <v>0</v>
      </c>
      <c r="R68" s="943"/>
      <c r="S68" s="944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5"/>
      <c r="D69" s="509"/>
      <c r="E69" s="577"/>
      <c r="F69" s="577"/>
      <c r="G69" s="515"/>
      <c r="H69" s="577"/>
      <c r="I69" s="577"/>
      <c r="J69" s="577"/>
      <c r="K69" s="589"/>
      <c r="L69" s="589"/>
      <c r="M69" s="589"/>
      <c r="N69" s="589"/>
      <c r="O69" s="589"/>
      <c r="P69" s="731"/>
      <c r="Q69" s="586">
        <f t="shared" si="2"/>
        <v>0</v>
      </c>
      <c r="R69" s="943"/>
      <c r="S69" s="944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5"/>
      <c r="D70" s="509"/>
      <c r="E70" s="577"/>
      <c r="F70" s="577"/>
      <c r="G70" s="515"/>
      <c r="H70" s="577"/>
      <c r="I70" s="577"/>
      <c r="J70" s="577"/>
      <c r="K70" s="589"/>
      <c r="L70" s="589"/>
      <c r="M70" s="589"/>
      <c r="N70" s="589"/>
      <c r="O70" s="589"/>
      <c r="P70" s="731"/>
      <c r="Q70" s="586">
        <f t="shared" si="2"/>
        <v>0</v>
      </c>
      <c r="R70" s="943"/>
      <c r="S70" s="944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5"/>
      <c r="D71" s="509"/>
      <c r="E71" s="577"/>
      <c r="F71" s="577"/>
      <c r="G71" s="515"/>
      <c r="H71" s="577"/>
      <c r="I71" s="577"/>
      <c r="J71" s="577"/>
      <c r="K71" s="589"/>
      <c r="L71" s="589"/>
      <c r="M71" s="589"/>
      <c r="N71" s="589"/>
      <c r="O71" s="589"/>
      <c r="P71" s="731"/>
      <c r="Q71" s="586">
        <f t="shared" si="2"/>
        <v>0</v>
      </c>
      <c r="R71" s="943"/>
      <c r="S71" s="944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5"/>
      <c r="D72" s="510"/>
      <c r="E72" s="578"/>
      <c r="F72" s="578"/>
      <c r="G72" s="516"/>
      <c r="H72" s="578"/>
      <c r="I72" s="578"/>
      <c r="J72" s="578"/>
      <c r="K72" s="590"/>
      <c r="L72" s="590"/>
      <c r="M72" s="590"/>
      <c r="N72" s="590"/>
      <c r="O72" s="590"/>
      <c r="P72" s="732"/>
      <c r="Q72" s="587">
        <f t="shared" si="2"/>
        <v>0</v>
      </c>
      <c r="R72" s="943"/>
      <c r="S72" s="944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7"/>
      <c r="D73" s="511"/>
      <c r="E73" s="579"/>
      <c r="F73" s="579"/>
      <c r="G73" s="517"/>
      <c r="H73" s="579"/>
      <c r="I73" s="579"/>
      <c r="J73" s="579"/>
      <c r="K73" s="591"/>
      <c r="L73" s="591"/>
      <c r="M73" s="591"/>
      <c r="N73" s="591"/>
      <c r="O73" s="591"/>
      <c r="P73" s="733"/>
      <c r="Q73" s="588">
        <f t="shared" si="2"/>
        <v>0</v>
      </c>
      <c r="R73" s="945"/>
      <c r="S73" s="946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17" t="s">
        <v>424</v>
      </c>
      <c r="I74" s="1118"/>
      <c r="J74" s="1119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63"/>
      <c r="I75" s="863"/>
      <c r="J75" s="863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4"/>
      <c r="C76" s="875" t="s">
        <v>354</v>
      </c>
      <c r="D76" s="876"/>
      <c r="E76" s="877"/>
      <c r="F76" s="877"/>
      <c r="G76" s="877"/>
      <c r="H76" s="877"/>
      <c r="I76" s="877"/>
      <c r="J76" s="877"/>
      <c r="K76" s="877"/>
      <c r="L76" s="877"/>
      <c r="M76" s="877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4"/>
      <c r="C77" s="876" t="s">
        <v>760</v>
      </c>
      <c r="D77" s="876"/>
      <c r="E77" s="877"/>
      <c r="F77" s="877"/>
      <c r="G77" s="877"/>
      <c r="H77" s="877"/>
      <c r="I77" s="877"/>
      <c r="J77" s="877"/>
      <c r="K77" s="877"/>
      <c r="L77" s="877"/>
      <c r="M77" s="877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4"/>
      <c r="C78" s="876" t="s">
        <v>761</v>
      </c>
      <c r="D78" s="876"/>
      <c r="E78" s="877"/>
      <c r="F78" s="877"/>
      <c r="G78" s="877"/>
      <c r="H78" s="877"/>
      <c r="I78" s="877"/>
      <c r="J78" s="877"/>
      <c r="K78" s="877"/>
      <c r="L78" s="877"/>
      <c r="M78" s="877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4"/>
      <c r="C79" s="878" t="s">
        <v>739</v>
      </c>
      <c r="D79" s="876"/>
      <c r="E79" s="877"/>
      <c r="F79" s="877"/>
      <c r="G79" s="877"/>
      <c r="H79" s="877"/>
      <c r="I79" s="877"/>
      <c r="J79" s="877"/>
      <c r="K79" s="877"/>
      <c r="L79" s="877"/>
      <c r="M79" s="877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4"/>
      <c r="C80" s="238" t="s">
        <v>762</v>
      </c>
      <c r="D80" s="876"/>
      <c r="E80" s="877"/>
      <c r="F80" s="877"/>
      <c r="G80" s="877"/>
      <c r="H80" s="877"/>
      <c r="I80" s="877"/>
      <c r="J80" s="877"/>
      <c r="K80" s="877"/>
      <c r="L80" s="877"/>
      <c r="M80" s="877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4"/>
      <c r="C81" s="879" t="s">
        <v>740</v>
      </c>
      <c r="D81" s="876"/>
      <c r="E81" s="880"/>
      <c r="F81" s="880"/>
      <c r="G81" s="880"/>
      <c r="H81" s="880"/>
      <c r="I81" s="880"/>
      <c r="J81" s="880"/>
      <c r="K81" s="880"/>
      <c r="L81" s="880"/>
      <c r="M81" s="880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4"/>
      <c r="C82" s="879" t="s">
        <v>741</v>
      </c>
      <c r="D82" s="876"/>
      <c r="E82" s="880"/>
      <c r="F82" s="880"/>
      <c r="G82" s="880"/>
      <c r="H82" s="880"/>
      <c r="I82" s="880"/>
      <c r="J82" s="880"/>
      <c r="K82" s="880"/>
      <c r="L82" s="880"/>
      <c r="M82" s="880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4"/>
      <c r="C83" s="879" t="s">
        <v>763</v>
      </c>
      <c r="D83" s="876"/>
      <c r="E83" s="880"/>
      <c r="F83" s="880"/>
      <c r="G83" s="880"/>
      <c r="H83" s="880"/>
      <c r="I83" s="880"/>
      <c r="J83" s="880"/>
      <c r="K83" s="880"/>
      <c r="L83" s="880"/>
      <c r="M83" s="880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54"/>
      <c r="D84" s="1054"/>
      <c r="E84" s="57"/>
      <c r="F84" s="393"/>
      <c r="G84" s="57"/>
      <c r="H84" s="57"/>
      <c r="I84" s="57"/>
      <c r="J84" s="724"/>
      <c r="K84" s="57"/>
      <c r="L84" s="57"/>
      <c r="M84" s="396"/>
      <c r="N84" s="57"/>
      <c r="O84" s="57"/>
      <c r="P84" s="724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3" zoomScaleNormal="73" zoomScalePageLayoutView="125" workbookViewId="0">
      <selection activeCell="F21" sqref="F2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33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33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20" t="s">
        <v>401</v>
      </c>
      <c r="H13" s="1121"/>
      <c r="I13" s="1122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23" t="s">
        <v>395</v>
      </c>
      <c r="D15" s="1124"/>
      <c r="E15" s="1125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9"/>
      <c r="G17" s="520"/>
      <c r="H17" s="521"/>
      <c r="I17" s="565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403</v>
      </c>
      <c r="D20" s="179"/>
      <c r="E20" s="181"/>
      <c r="F20" s="505"/>
      <c r="G20" s="522"/>
      <c r="H20" s="484"/>
      <c r="I20" s="566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404</v>
      </c>
      <c r="D21" s="179"/>
      <c r="E21" s="181"/>
      <c r="F21" s="505"/>
      <c r="G21" s="522"/>
      <c r="H21" s="484"/>
      <c r="I21" s="566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405</v>
      </c>
      <c r="D22" s="179"/>
      <c r="E22" s="181"/>
      <c r="F22" s="505"/>
      <c r="G22" s="522"/>
      <c r="H22" s="484"/>
      <c r="I22" s="566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406</v>
      </c>
      <c r="D23" s="154"/>
      <c r="E23" s="173"/>
      <c r="F23" s="506"/>
      <c r="G23" s="523"/>
      <c r="H23" s="477"/>
      <c r="I23" s="567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407</v>
      </c>
      <c r="D24" s="156"/>
      <c r="E24" s="174"/>
      <c r="F24" s="508"/>
      <c r="G24" s="524"/>
      <c r="H24" s="481"/>
      <c r="I24" s="568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04"/>
      <c r="D25" s="1104"/>
      <c r="E25" s="1104"/>
      <c r="F25" s="1104"/>
      <c r="G25" s="1104"/>
      <c r="H25" s="1104"/>
      <c r="I25" s="1104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409</v>
      </c>
      <c r="D27" s="179"/>
      <c r="E27" s="181"/>
      <c r="F27" s="505"/>
      <c r="G27" s="569"/>
      <c r="H27" s="570"/>
      <c r="I27" s="566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410</v>
      </c>
      <c r="D28" s="156"/>
      <c r="E28" s="174"/>
      <c r="F28" s="508"/>
      <c r="G28" s="571"/>
      <c r="H28" s="572"/>
      <c r="I28" s="573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04"/>
      <c r="D29" s="1104"/>
      <c r="E29" s="1104"/>
      <c r="F29" s="1104"/>
      <c r="G29" s="1104"/>
      <c r="H29" s="1104"/>
      <c r="I29" s="1104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409</v>
      </c>
      <c r="D31" s="179"/>
      <c r="E31" s="181"/>
      <c r="F31" s="505"/>
      <c r="G31" s="574"/>
      <c r="H31" s="575"/>
      <c r="I31" s="576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410</v>
      </c>
      <c r="D32" s="156"/>
      <c r="E32" s="174"/>
      <c r="F32" s="508"/>
      <c r="G32" s="571"/>
      <c r="H32" s="572"/>
      <c r="I32" s="573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54"/>
      <c r="D36" s="1054"/>
      <c r="E36" s="1054"/>
      <c r="F36" s="1054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U38" sqref="U38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3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3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055"/>
      <c r="J9" s="1055"/>
      <c r="K9" s="1055"/>
      <c r="L9" s="1055"/>
      <c r="M9" s="1055"/>
      <c r="N9" s="1055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26" t="s">
        <v>413</v>
      </c>
      <c r="F13" s="1127"/>
      <c r="G13" s="1127"/>
      <c r="H13" s="1127"/>
      <c r="I13" s="1127"/>
      <c r="J13" s="1127"/>
      <c r="K13" s="1127"/>
      <c r="L13" s="1127"/>
      <c r="M13" s="1127"/>
      <c r="N13" s="1128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23" t="s">
        <v>395</v>
      </c>
      <c r="D14" s="1124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403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40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404</v>
      </c>
      <c r="D16" s="179"/>
      <c r="E16" s="483"/>
      <c r="F16" s="484"/>
      <c r="G16" s="484"/>
      <c r="H16" s="484"/>
      <c r="I16" s="484"/>
      <c r="J16" s="484"/>
      <c r="K16" s="484"/>
      <c r="L16" s="484"/>
      <c r="M16" s="484"/>
      <c r="N16" s="566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405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6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406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7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407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8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54"/>
      <c r="D24" s="1054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82" zoomScaleNormal="82" workbookViewId="0">
      <selection activeCell="H76" sqref="H76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33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33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55" t="str">
        <f>Entidad</f>
        <v>Gestión Insular de Aguas de Tenerife, S.A. (GESTA)</v>
      </c>
      <c r="F9" s="1055"/>
      <c r="G9" s="1055"/>
      <c r="H9" s="1055"/>
      <c r="I9" s="1055"/>
      <c r="J9" s="1055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2" t="s">
        <v>462</v>
      </c>
      <c r="D14" s="593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5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5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5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5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5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5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237266.18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086" t="s">
        <v>456</v>
      </c>
      <c r="G36" s="1087"/>
      <c r="H36" s="1087"/>
      <c r="I36" s="1087"/>
      <c r="J36" s="1088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31" t="s">
        <v>438</v>
      </c>
      <c r="D37" s="1132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098" t="s">
        <v>62</v>
      </c>
      <c r="D38" s="1099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439</v>
      </c>
      <c r="D39" s="262"/>
      <c r="E39" s="581"/>
      <c r="F39" s="580"/>
      <c r="G39" s="580"/>
      <c r="H39" s="580"/>
      <c r="I39" s="580"/>
      <c r="J39" s="594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440</v>
      </c>
      <c r="D40" s="262"/>
      <c r="E40" s="581">
        <v>1</v>
      </c>
      <c r="F40" s="580">
        <v>47142.84</v>
      </c>
      <c r="G40" s="580">
        <v>0</v>
      </c>
      <c r="H40" s="580">
        <v>0</v>
      </c>
      <c r="I40" s="580">
        <v>7857.14</v>
      </c>
      <c r="J40" s="594">
        <f>SUM(F40:I40)</f>
        <v>54999.979999999996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441</v>
      </c>
      <c r="D41" s="262"/>
      <c r="E41" s="581"/>
      <c r="F41" s="580"/>
      <c r="G41" s="580"/>
      <c r="H41" s="580"/>
      <c r="I41" s="580"/>
      <c r="J41" s="594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442</v>
      </c>
      <c r="D42" s="262"/>
      <c r="E42" s="581"/>
      <c r="F42" s="580"/>
      <c r="G42" s="580"/>
      <c r="H42" s="580"/>
      <c r="I42" s="580"/>
      <c r="J42" s="594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443</v>
      </c>
      <c r="D43" s="262"/>
      <c r="E43" s="581">
        <v>4</v>
      </c>
      <c r="F43" s="580">
        <v>48064.2</v>
      </c>
      <c r="G43" s="580">
        <v>0</v>
      </c>
      <c r="H43" s="580">
        <v>0</v>
      </c>
      <c r="I43" s="580">
        <v>78849.119999999995</v>
      </c>
      <c r="J43" s="594">
        <f t="shared" si="0"/>
        <v>126913.31999999999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444</v>
      </c>
      <c r="D44" s="263"/>
      <c r="E44" s="584"/>
      <c r="F44" s="583"/>
      <c r="G44" s="583"/>
      <c r="H44" s="583"/>
      <c r="I44" s="583"/>
      <c r="J44" s="594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29" t="s">
        <v>458</v>
      </c>
      <c r="D45" s="1130"/>
      <c r="E45" s="269">
        <f t="shared" ref="E45:J45" si="1">SUM(E39:E44)</f>
        <v>5</v>
      </c>
      <c r="F45" s="269">
        <f t="shared" si="1"/>
        <v>95207.039999999994</v>
      </c>
      <c r="G45" s="269">
        <f t="shared" si="1"/>
        <v>0</v>
      </c>
      <c r="H45" s="269">
        <f t="shared" si="1"/>
        <v>0</v>
      </c>
      <c r="I45" s="269">
        <f t="shared" si="1"/>
        <v>86706.26</v>
      </c>
      <c r="J45" s="269">
        <f t="shared" si="1"/>
        <v>181913.3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086" t="s">
        <v>395</v>
      </c>
      <c r="D50" s="1087"/>
      <c r="E50" s="1133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459</v>
      </c>
      <c r="D51" s="267"/>
      <c r="E51" s="267"/>
      <c r="F51" s="595">
        <v>0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460</v>
      </c>
      <c r="D52" s="267"/>
      <c r="E52" s="267"/>
      <c r="F52" s="595">
        <v>55352.88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29" t="s">
        <v>458</v>
      </c>
      <c r="D53" s="1134"/>
      <c r="E53" s="270"/>
      <c r="F53" s="269">
        <f>SUM(F51:F52)</f>
        <v>55352.88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6"/>
      <c r="D57" s="597"/>
      <c r="E57" s="597"/>
      <c r="F57" s="597"/>
      <c r="G57" s="597"/>
      <c r="H57" s="597"/>
      <c r="I57" s="597"/>
      <c r="J57" s="598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9"/>
      <c r="D58" s="600"/>
      <c r="E58" s="600"/>
      <c r="F58" s="600"/>
      <c r="G58" s="600"/>
      <c r="H58" s="600"/>
      <c r="I58" s="600"/>
      <c r="J58" s="601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9"/>
      <c r="D59" s="600"/>
      <c r="E59" s="600"/>
      <c r="F59" s="600"/>
      <c r="G59" s="600"/>
      <c r="H59" s="600"/>
      <c r="I59" s="600"/>
      <c r="J59" s="601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602"/>
      <c r="D60" s="603"/>
      <c r="E60" s="603"/>
      <c r="F60" s="603"/>
      <c r="G60" s="603"/>
      <c r="H60" s="603"/>
      <c r="I60" s="603"/>
      <c r="J60" s="604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12"/>
      <c r="D61" s="1012"/>
      <c r="E61" s="1012"/>
      <c r="F61" s="1012"/>
      <c r="G61" s="1012"/>
      <c r="H61" s="1012"/>
      <c r="I61" s="1012"/>
      <c r="J61" s="1012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13" t="s">
        <v>785</v>
      </c>
      <c r="D62" s="1012"/>
      <c r="E62" s="1012"/>
      <c r="F62" s="1012"/>
      <c r="G62" s="1012"/>
      <c r="H62" s="1012"/>
      <c r="I62" s="1012"/>
      <c r="J62" s="1012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14" t="s">
        <v>811</v>
      </c>
      <c r="D63" s="1012"/>
      <c r="E63" s="1012"/>
      <c r="F63" s="1012"/>
      <c r="G63" s="1012"/>
      <c r="H63" s="1012"/>
      <c r="I63" s="1012"/>
      <c r="J63" s="1012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12"/>
      <c r="D64" s="1012"/>
      <c r="E64" s="1012"/>
      <c r="F64" s="1012"/>
      <c r="G64" s="1012"/>
      <c r="H64" s="1012"/>
      <c r="I64" s="1012"/>
      <c r="J64" s="1012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54"/>
      <c r="E65" s="1054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topLeftCell="A13" zoomScale="70" zoomScaleNormal="70" workbookViewId="0">
      <selection activeCell="H96" sqref="H96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33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33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055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095"/>
      <c r="D12" s="1095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35" t="s">
        <v>466</v>
      </c>
      <c r="D13" s="1136"/>
      <c r="E13" s="1136"/>
      <c r="F13" s="1136"/>
      <c r="G13" s="1136"/>
      <c r="H13" s="1137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086" t="s">
        <v>469</v>
      </c>
      <c r="D15" s="1087"/>
      <c r="E15" s="1088"/>
      <c r="F15" s="146"/>
      <c r="G15" s="1086" t="s">
        <v>470</v>
      </c>
      <c r="H15" s="1088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6" t="s">
        <v>384</v>
      </c>
      <c r="D16" s="1088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471</v>
      </c>
      <c r="D17" s="281"/>
      <c r="E17" s="529"/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472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473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474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475</v>
      </c>
      <c r="D21" s="285"/>
      <c r="E21" s="529">
        <v>1754389</v>
      </c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476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779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477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478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479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480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481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482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483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484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485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486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487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488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489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490</v>
      </c>
      <c r="D37" s="285"/>
      <c r="E37" s="529"/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491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492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493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494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495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496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497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498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499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500</v>
      </c>
      <c r="D47" s="285"/>
      <c r="E47" s="529"/>
      <c r="F47" s="283"/>
      <c r="G47" s="282" t="str">
        <f t="shared" si="0"/>
        <v>FUNDACION TENERIFE RURAL</v>
      </c>
      <c r="H47" s="529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501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502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503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504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505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506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507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508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17" t="s">
        <v>424</v>
      </c>
      <c r="D56" s="1119"/>
      <c r="E56" s="170">
        <f>SUM(E17:E55)</f>
        <v>1754389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35" t="s">
        <v>780</v>
      </c>
      <c r="D58" s="1136"/>
      <c r="E58" s="1136"/>
      <c r="F58" s="1136"/>
      <c r="G58" s="1136"/>
      <c r="H58" s="1137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35" t="s">
        <v>466</v>
      </c>
      <c r="D60" s="1136"/>
      <c r="E60" s="1136"/>
      <c r="F60" s="1136"/>
      <c r="G60" s="1136"/>
      <c r="H60" s="1137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086" t="s">
        <v>469</v>
      </c>
      <c r="D62" s="1087"/>
      <c r="E62" s="1088"/>
      <c r="F62" s="146"/>
      <c r="G62" s="1086" t="s">
        <v>470</v>
      </c>
      <c r="H62" s="1088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086" t="s">
        <v>384</v>
      </c>
      <c r="D63" s="1088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509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510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511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512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513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17" t="s">
        <v>424</v>
      </c>
      <c r="D69" s="1119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54"/>
      <c r="D75" s="1054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E1" zoomScale="80" zoomScaleNormal="80" workbookViewId="0">
      <selection activeCell="K16" sqref="K16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3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3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5"/>
      <c r="D12" s="109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 t="s">
        <v>832</v>
      </c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515"/>
      <c r="D17" s="509"/>
      <c r="E17" s="505"/>
      <c r="F17" s="505"/>
      <c r="G17" s="605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515"/>
      <c r="D18" s="509"/>
      <c r="E18" s="505"/>
      <c r="F18" s="505"/>
      <c r="G18" s="606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515"/>
      <c r="D19" s="509"/>
      <c r="E19" s="505"/>
      <c r="F19" s="505"/>
      <c r="G19" s="606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515"/>
      <c r="D20" s="509"/>
      <c r="E20" s="505"/>
      <c r="F20" s="505"/>
      <c r="G20" s="606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5"/>
      <c r="D21" s="509"/>
      <c r="E21" s="505"/>
      <c r="F21" s="505"/>
      <c r="G21" s="606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5"/>
      <c r="D22" s="509"/>
      <c r="E22" s="505"/>
      <c r="F22" s="505"/>
      <c r="G22" s="606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5"/>
      <c r="D23" s="509"/>
      <c r="E23" s="505"/>
      <c r="F23" s="505"/>
      <c r="G23" s="606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5"/>
      <c r="D24" s="509"/>
      <c r="E24" s="505"/>
      <c r="F24" s="505"/>
      <c r="G24" s="606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5"/>
      <c r="D25" s="509"/>
      <c r="E25" s="505"/>
      <c r="F25" s="505"/>
      <c r="G25" s="606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5"/>
      <c r="D26" s="509"/>
      <c r="E26" s="505"/>
      <c r="F26" s="505"/>
      <c r="G26" s="606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5"/>
      <c r="D27" s="509"/>
      <c r="E27" s="505"/>
      <c r="F27" s="505"/>
      <c r="G27" s="606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5"/>
      <c r="D28" s="509"/>
      <c r="E28" s="505"/>
      <c r="F28" s="505"/>
      <c r="G28" s="606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5"/>
      <c r="D29" s="509"/>
      <c r="E29" s="505"/>
      <c r="F29" s="505"/>
      <c r="G29" s="606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5"/>
      <c r="D30" s="509"/>
      <c r="E30" s="505"/>
      <c r="F30" s="505"/>
      <c r="G30" s="606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6"/>
      <c r="D31" s="510"/>
      <c r="E31" s="506"/>
      <c r="F31" s="506"/>
      <c r="G31" s="60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7"/>
      <c r="D32" s="511"/>
      <c r="E32" s="508"/>
      <c r="F32" s="508"/>
      <c r="G32" s="608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54"/>
      <c r="D35" s="1054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topLeftCell="B1" workbookViewId="0">
      <pane ySplit="14" topLeftCell="A15" activePane="bottomLeft" state="frozen"/>
      <selection activeCell="F27" sqref="F27"/>
      <selection pane="bottomLeft" activeCell="F27" sqref="F27"/>
    </sheetView>
  </sheetViews>
  <sheetFormatPr baseColWidth="10" defaultColWidth="10.777343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21875" style="277" customWidth="1"/>
    <col min="8" max="8" width="3.5546875" style="277" customWidth="1"/>
    <col min="9" max="9" width="10.77734375" style="277"/>
    <col min="10" max="12" width="4.21875" style="277" customWidth="1"/>
    <col min="13" max="13" width="11.5546875" style="277" bestFit="1" customWidth="1"/>
    <col min="14" max="16384" width="10.777343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4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33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33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38" t="str">
        <f>Entidad</f>
        <v>Gestión Insular de Aguas de Tenerife, S.A. (GESTA)</v>
      </c>
      <c r="E9" s="1038"/>
      <c r="F9" s="1038"/>
      <c r="G9" s="1038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2" t="s">
        <v>777</v>
      </c>
      <c r="D11" s="973"/>
      <c r="E11" s="973"/>
      <c r="F11" s="973"/>
      <c r="G11" s="973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7" t="s">
        <v>736</v>
      </c>
      <c r="F13" s="947" t="s">
        <v>735</v>
      </c>
      <c r="G13" s="947" t="s">
        <v>737</v>
      </c>
      <c r="H13" s="372"/>
    </row>
    <row r="14" spans="2:13" ht="22.9" customHeight="1">
      <c r="B14" s="371"/>
      <c r="D14" s="368"/>
      <c r="E14" s="948">
        <f>ejercicio-2</f>
        <v>2016</v>
      </c>
      <c r="F14" s="948">
        <f>ejercicio-1</f>
        <v>2017</v>
      </c>
      <c r="G14" s="948">
        <f>ejercicio</f>
        <v>2018</v>
      </c>
      <c r="H14" s="372"/>
    </row>
    <row r="15" spans="2:13" s="953" customFormat="1" ht="30" customHeight="1">
      <c r="B15" s="949"/>
      <c r="C15" s="950" t="s">
        <v>613</v>
      </c>
      <c r="D15" s="950"/>
      <c r="E15" s="951" t="str">
        <f>IF(ROUND('FC-4_ACTIVO'!E94-'FC-4_PASIVO'!E86,2)=0,"Ok","Mal, revisa FC-4")</f>
        <v>Ok</v>
      </c>
      <c r="F15" s="951" t="str">
        <f>IF(ROUND('FC-4_ACTIVO'!F94-'FC-4_PASIVO'!F86,2)=0,"Ok","Mal, revisa FC-4")</f>
        <v>Ok</v>
      </c>
      <c r="G15" s="951" t="str">
        <f>IF(ROUND('FC-4_ACTIVO'!G94-'FC-4_PASIVO'!G86,2)=0,"Ok","Mal, revisa FC-4")</f>
        <v>Ok</v>
      </c>
      <c r="H15" s="952"/>
      <c r="J15" s="954">
        <f>IF(E15="Ok",0,1)</f>
        <v>0</v>
      </c>
      <c r="K15" s="954">
        <f>IF(F15="Ok",0,1)</f>
        <v>0</v>
      </c>
      <c r="L15" s="954">
        <f>IF(G15="Ok",0,1)</f>
        <v>0</v>
      </c>
      <c r="M15" s="954">
        <f>SUM(J15:L15)</f>
        <v>0</v>
      </c>
    </row>
    <row r="16" spans="2:13" s="953" customFormat="1" ht="30" customHeight="1">
      <c r="B16" s="949"/>
      <c r="C16" s="955" t="s">
        <v>615</v>
      </c>
      <c r="D16" s="955"/>
      <c r="E16" s="956" t="str">
        <f>IF(ROUND(('FC-3_CPyG'!E84-'FC-4_PASIVO'!E32),2)=0,"Ok","Mal, revisa FC-3 y FC-4")</f>
        <v>Ok</v>
      </c>
      <c r="F16" s="956" t="str">
        <f>IF(ROUND(('FC-3_CPyG'!F84-'FC-4_PASIVO'!F32),2)=0,"Ok","Mal, revisa FC-3 y FC-4")</f>
        <v>Ok</v>
      </c>
      <c r="G16" s="956" t="str">
        <f>IF(ROUND(('FC-3_CPyG'!G84-'FC-4_PASIVO'!G32),2)=0,"Ok","Mal, revisa FC-3 y FC-4")</f>
        <v>Ok</v>
      </c>
      <c r="H16" s="952"/>
      <c r="J16" s="954">
        <f t="shared" ref="J16:J20" si="0">IF(E16="Ok",0,1)</f>
        <v>0</v>
      </c>
      <c r="K16" s="954">
        <f t="shared" ref="K16:K20" si="1">IF(F16="Ok",0,1)</f>
        <v>0</v>
      </c>
      <c r="L16" s="954">
        <f t="shared" ref="L16:L21" si="2">IF(G16="Ok",0,1)</f>
        <v>0</v>
      </c>
      <c r="M16" s="954">
        <f t="shared" ref="M16:M40" si="3">SUM(J16:L16)</f>
        <v>0</v>
      </c>
    </row>
    <row r="17" spans="2:13" s="953" customFormat="1" ht="30" customHeight="1">
      <c r="B17" s="949"/>
      <c r="C17" s="957" t="s">
        <v>680</v>
      </c>
      <c r="D17" s="955"/>
      <c r="E17" s="956" t="str">
        <f>IF(ROUND('FC-3_CPyG'!E16-'FC-3_1_INF_ADIC_CPyG'!E43,2)=0,"Ok","Mal, revisa datos en FC-3 PyG y FC3.1")</f>
        <v>Ok</v>
      </c>
      <c r="F17" s="956" t="str">
        <f>IF(ROUND('FC-3_CPyG'!F16-'FC-3_1_INF_ADIC_CPyG'!H43,2)=0,"Ok","Mal, revisa datos en FC-3 PyG y FC3.1")</f>
        <v>Ok</v>
      </c>
      <c r="G17" s="956" t="str">
        <f>IF(ROUND('FC-3_CPyG'!G16-'FC-3_1_INF_ADIC_CPyG'!K43,2)=0,"Ok","Mal, revisa datos en FC-3 PyG y FC3.1")</f>
        <v>Ok</v>
      </c>
      <c r="H17" s="952"/>
      <c r="J17" s="954">
        <f t="shared" si="0"/>
        <v>0</v>
      </c>
      <c r="K17" s="954">
        <f t="shared" si="1"/>
        <v>0</v>
      </c>
      <c r="L17" s="954">
        <f t="shared" si="2"/>
        <v>0</v>
      </c>
      <c r="M17" s="954">
        <f t="shared" si="3"/>
        <v>0</v>
      </c>
    </row>
    <row r="18" spans="2:13" s="953" customFormat="1" ht="30" customHeight="1">
      <c r="B18" s="949"/>
      <c r="C18" s="957" t="s">
        <v>683</v>
      </c>
      <c r="D18" s="955"/>
      <c r="E18" s="956" t="str">
        <f>IF(ROUND('FC-3_CPyG'!E48-'FC-3_1_INF_ADIC_CPyG'!E47-'FC-3_1_INF_ADIC_CPyG'!E55,2)=0,"Ok","Mal, revisa datos en FC-3 CPYG y FC-3.1")</f>
        <v>Ok</v>
      </c>
      <c r="F18" s="956" t="str">
        <f>IF(ROUND('FC-3_CPyG'!F48-'FC-3_1_INF_ADIC_CPyG'!F47-'FC-3_1_INF_ADIC_CPyG'!F55,2)=0,"Ok","Mal, revisa datos en FC-3 CPYG y FC-3.1")</f>
        <v>Ok</v>
      </c>
      <c r="G18" s="956" t="str">
        <f>IF(ROUND('FC-3_CPyG'!G48-'FC-3_1_INF_ADIC_CPyG'!G47-'FC-3_1_INF_ADIC_CPyG'!G55,2)=0,"Ok","Mal, revisa datos en FC-3 CPYG y FC-3.1")</f>
        <v>Ok</v>
      </c>
      <c r="H18" s="952"/>
      <c r="J18" s="954">
        <f t="shared" si="0"/>
        <v>0</v>
      </c>
      <c r="K18" s="954">
        <f t="shared" si="1"/>
        <v>0</v>
      </c>
      <c r="L18" s="954">
        <f t="shared" si="2"/>
        <v>0</v>
      </c>
      <c r="M18" s="954">
        <f t="shared" si="3"/>
        <v>0</v>
      </c>
    </row>
    <row r="19" spans="2:13" s="953" customFormat="1" ht="30" customHeight="1">
      <c r="B19" s="949"/>
      <c r="C19" s="957" t="s">
        <v>684</v>
      </c>
      <c r="D19" s="955"/>
      <c r="E19" s="956" t="str">
        <f>IF(ROUND('FC-3_CPyG'!E28-'FC-3_1_INF_ADIC_CPyG'!E71,2)=0,"Ok","Mal, revísa datos en FC-3 y FC-3.1")</f>
        <v>Ok</v>
      </c>
      <c r="F19" s="956" t="str">
        <f>IF(ROUND('FC-3_CPyG'!F28-'FC-3_1_INF_ADIC_CPyG'!F71,2)=0,"Ok","Mal, revísa datos en FC-3 y FC-3.1")</f>
        <v>Ok</v>
      </c>
      <c r="G19" s="956" t="str">
        <f>IF(ROUND('FC-3_CPyG'!G28-'FC-3_1_INF_ADIC_CPyG'!G71,2)=0,"Ok","Mal, revísa datos en FC-3 y FC-3.1")</f>
        <v>Ok</v>
      </c>
      <c r="H19" s="952"/>
      <c r="J19" s="954">
        <f t="shared" si="0"/>
        <v>0</v>
      </c>
      <c r="K19" s="954">
        <f t="shared" si="1"/>
        <v>0</v>
      </c>
      <c r="L19" s="954">
        <f t="shared" si="2"/>
        <v>0</v>
      </c>
      <c r="M19" s="954">
        <f t="shared" si="3"/>
        <v>0</v>
      </c>
    </row>
    <row r="20" spans="2:13" s="953" customFormat="1" ht="30" customHeight="1">
      <c r="B20" s="949"/>
      <c r="C20" s="957" t="s">
        <v>685</v>
      </c>
      <c r="D20" s="955"/>
      <c r="E20" s="956" t="str">
        <f>IF(ROUND('FC-3_CPyG'!E29-'FC-3_1_INF_ADIC_CPyG'!E75,2)=0,"Ok","Mal, revisa datos en FC-3 CPyG y FC-3.1")</f>
        <v>Ok</v>
      </c>
      <c r="F20" s="956" t="str">
        <f>IF(ROUND('FC-3_CPyG'!F29-'FC-3_1_INF_ADIC_CPyG'!F75,2)=0,"Ok","Mal, revisa datos en FC-3 CPyG y FC-3.1")</f>
        <v>Ok</v>
      </c>
      <c r="G20" s="956" t="str">
        <f>IF(ROUND('FC-3_CPyG'!G29-'FC-3_1_INF_ADIC_CPyG'!G75,2)=0,"Ok","Mal, revisa datos en FC-3 CPyG y FC-3.1")</f>
        <v>Ok</v>
      </c>
      <c r="H20" s="952"/>
      <c r="J20" s="954">
        <f t="shared" si="0"/>
        <v>0</v>
      </c>
      <c r="K20" s="954">
        <f t="shared" si="1"/>
        <v>0</v>
      </c>
      <c r="L20" s="954">
        <f t="shared" si="2"/>
        <v>0</v>
      </c>
      <c r="M20" s="954">
        <f t="shared" si="3"/>
        <v>0</v>
      </c>
    </row>
    <row r="21" spans="2:13" s="953" customFormat="1" ht="30" customHeight="1">
      <c r="B21" s="949"/>
      <c r="C21" s="957" t="s">
        <v>679</v>
      </c>
      <c r="D21" s="955"/>
      <c r="E21" s="958"/>
      <c r="F21" s="958"/>
      <c r="G21" s="956" t="str">
        <f>IF(ROUND('FC-6_Inversiones'!G46-SUM('FC-6_Inversiones'!H46:M46),2)=0,"Ok","Mal, revisa totales FC-6")</f>
        <v>Ok</v>
      </c>
      <c r="H21" s="952"/>
      <c r="J21" s="954"/>
      <c r="K21" s="954"/>
      <c r="L21" s="954">
        <f t="shared" si="2"/>
        <v>0</v>
      </c>
      <c r="M21" s="954">
        <f t="shared" si="3"/>
        <v>0</v>
      </c>
    </row>
    <row r="22" spans="2:13" s="953" customFormat="1" ht="30" customHeight="1">
      <c r="B22" s="949"/>
      <c r="C22" s="955" t="s">
        <v>617</v>
      </c>
      <c r="D22" s="955"/>
      <c r="E22" s="958"/>
      <c r="F22" s="956" t="str">
        <f>IF(ROUND('FC-4_ACTIVO'!F17-'FC-7_INF'!M15,2)=0,"Ok","Mal, revisa FC-4 ACTIVO y FC-7")</f>
        <v>Ok</v>
      </c>
      <c r="G22" s="956" t="str">
        <f>IF(ROUND('FC-4_ACTIVO'!G17-'FC-7_INF'!M26,2)=0,"Ok","Mal, revisa FC-4 ACTIVO y FC-7")</f>
        <v>Ok</v>
      </c>
      <c r="H22" s="952"/>
      <c r="J22" s="954"/>
      <c r="K22" s="954">
        <f t="shared" ref="K22:K26" si="4">IF(F22="Ok",0,1)</f>
        <v>0</v>
      </c>
      <c r="L22" s="954">
        <f t="shared" ref="L22:L26" si="5">IF(G22="Ok",0,1)</f>
        <v>0</v>
      </c>
      <c r="M22" s="954">
        <f t="shared" si="3"/>
        <v>0</v>
      </c>
    </row>
    <row r="23" spans="2:13" s="953" customFormat="1" ht="30" customHeight="1">
      <c r="B23" s="949"/>
      <c r="C23" s="955" t="s">
        <v>616</v>
      </c>
      <c r="D23" s="955"/>
      <c r="E23" s="958"/>
      <c r="F23" s="956" t="str">
        <f>IF(ROUND('FC-4_ACTIVO'!F26-'FC-7_INF'!M16-'FC-7_INF'!M17,2)=0,"Ok","Mal, revisa FC-4 ACTIVO y FC-7")</f>
        <v>Ok</v>
      </c>
      <c r="G23" s="956" t="str">
        <f>IF(ROUND('FC-4_ACTIVO'!G26-'FC-7_INF'!M27-'FC-7_INF'!M28,2)=0,"Ok","Mal, revisa FC-4 ACTIVO y FC-7")</f>
        <v>Ok</v>
      </c>
      <c r="H23" s="952"/>
      <c r="J23" s="954"/>
      <c r="K23" s="954">
        <f t="shared" si="4"/>
        <v>0</v>
      </c>
      <c r="L23" s="954">
        <f t="shared" si="5"/>
        <v>0</v>
      </c>
      <c r="M23" s="954">
        <f t="shared" si="3"/>
        <v>0</v>
      </c>
    </row>
    <row r="24" spans="2:13" s="953" customFormat="1" ht="30" customHeight="1">
      <c r="B24" s="949"/>
      <c r="C24" s="955" t="s">
        <v>618</v>
      </c>
      <c r="D24" s="955"/>
      <c r="E24" s="958"/>
      <c r="F24" s="956" t="str">
        <f>IF(ROUND(('FC-4_ACTIVO'!F30-'FC-7_INF'!M18-'FC-7_INF'!M19),2)=0,"Ok","Mal, revisa FC-4 ACTIVO y FC-7")</f>
        <v>Ok</v>
      </c>
      <c r="G24" s="956" t="str">
        <f>IF(ROUND(('FC-4_ACTIVO'!G30-'FC-7_INF'!M29-'FC-7_INF'!M30),2)=0,"Ok","Mal, revisa FC-4 ACTIVO y FC-7")</f>
        <v>Ok</v>
      </c>
      <c r="H24" s="952"/>
      <c r="J24" s="954"/>
      <c r="K24" s="954">
        <f t="shared" si="4"/>
        <v>0</v>
      </c>
      <c r="L24" s="954">
        <f t="shared" si="5"/>
        <v>0</v>
      </c>
      <c r="M24" s="954">
        <f t="shared" si="3"/>
        <v>0</v>
      </c>
    </row>
    <row r="25" spans="2:13" s="953" customFormat="1" ht="30" customHeight="1">
      <c r="B25" s="949"/>
      <c r="C25" s="957" t="s">
        <v>657</v>
      </c>
      <c r="D25" s="955"/>
      <c r="E25" s="958"/>
      <c r="F25" s="959" t="str">
        <f>IF(ROUND('FC-7_INF'!M22-'FC-4_ACTIVO'!F52,2)=0,"Ok","Mal, revisa FC-4 ACTIVO y FC-7")</f>
        <v>Ok</v>
      </c>
      <c r="G25" s="959" t="str">
        <f>IF(ROUND('FC-7_INF'!M33-'FC-4_ACTIVO'!G52,2)=0,"Ok","Mal, revisa FC-4 ACTIVO y FC-7")</f>
        <v>Ok</v>
      </c>
      <c r="H25" s="952"/>
      <c r="J25" s="954"/>
      <c r="K25" s="954">
        <f t="shared" si="4"/>
        <v>0</v>
      </c>
      <c r="L25" s="954">
        <f t="shared" si="5"/>
        <v>0</v>
      </c>
      <c r="M25" s="954">
        <f t="shared" si="3"/>
        <v>0</v>
      </c>
    </row>
    <row r="26" spans="2:13" s="953" customFormat="1" ht="30" customHeight="1">
      <c r="B26" s="949"/>
      <c r="C26" s="957" t="s">
        <v>658</v>
      </c>
      <c r="D26" s="955"/>
      <c r="E26" s="958"/>
      <c r="F26" s="956" t="str">
        <f>IF(ROUND('FC-3_CPyG'!F40-'FC-7_INF'!I20,2)=0,"Ok","Mal, revisa datos en FC-3 y FC-7")</f>
        <v>Ok</v>
      </c>
      <c r="G26" s="956" t="str">
        <f>IF(ROUND('FC-3_CPyG'!G40-'FC-7_INF'!I31,2)=0,"Ok","Mal, revisa datos en FC-3 y FC-7")</f>
        <v>Ok</v>
      </c>
      <c r="H26" s="952"/>
      <c r="J26" s="954"/>
      <c r="K26" s="954">
        <f t="shared" si="4"/>
        <v>0</v>
      </c>
      <c r="L26" s="954">
        <f t="shared" si="5"/>
        <v>0</v>
      </c>
      <c r="M26" s="954">
        <f t="shared" si="3"/>
        <v>0</v>
      </c>
    </row>
    <row r="27" spans="2:13" s="953" customFormat="1" ht="30" customHeight="1">
      <c r="B27" s="949"/>
      <c r="C27" s="960" t="s">
        <v>734</v>
      </c>
      <c r="D27" s="955"/>
      <c r="E27" s="958"/>
      <c r="F27" s="958"/>
      <c r="G27" s="956" t="str">
        <f>IF(ROUND('FC-6_Inversiones'!I46-'FC-7_INF'!F31,2)=0,"Ok","Mal, revisa I46 en FC-6 y F31 en FC-7")</f>
        <v>Ok</v>
      </c>
      <c r="H27" s="952"/>
      <c r="J27" s="954"/>
      <c r="K27" s="954"/>
      <c r="L27" s="954"/>
      <c r="M27" s="954"/>
    </row>
    <row r="28" spans="2:13" s="953" customFormat="1" ht="30" customHeight="1">
      <c r="B28" s="949"/>
      <c r="C28" s="961" t="s">
        <v>771</v>
      </c>
      <c r="D28" s="961"/>
      <c r="E28" s="962"/>
      <c r="F28" s="962"/>
      <c r="G28" s="963" t="str">
        <f>IF(ROUND(('FC-4_ACTIVO'!G34+'FC-4_ACTIVO'!G76)-'FC-8_INV_FINANCIERAS'!J25,2)=0,"Ok","Mal, revisa datos en FC-4 Activo y FC-8")</f>
        <v>Ok</v>
      </c>
      <c r="H28" s="952"/>
      <c r="J28" s="954"/>
      <c r="K28" s="954"/>
      <c r="L28" s="954"/>
      <c r="M28" s="954"/>
    </row>
    <row r="29" spans="2:13" s="953" customFormat="1" ht="30" customHeight="1">
      <c r="B29" s="949"/>
      <c r="C29" s="961" t="s">
        <v>773</v>
      </c>
      <c r="D29" s="961"/>
      <c r="E29" s="962"/>
      <c r="F29" s="962"/>
      <c r="G29" s="963" t="str">
        <f>IF(ROUND((SUM('FC-4_ACTIVO'!G35:G39)+SUM('FC-4_ACTIVO'!G77:G81))-('FC-8_INV_FINANCIERAS'!J34),2)=0,"Ok","Mal, revisa datos en FC-4 Activo y FC-8")</f>
        <v>Ok</v>
      </c>
      <c r="H29" s="952"/>
      <c r="J29" s="954"/>
      <c r="K29" s="954"/>
      <c r="L29" s="954"/>
      <c r="M29" s="954"/>
    </row>
    <row r="30" spans="2:13" s="953" customFormat="1" ht="30" customHeight="1">
      <c r="B30" s="949"/>
      <c r="C30" s="961" t="s">
        <v>772</v>
      </c>
      <c r="D30" s="961"/>
      <c r="E30" s="962"/>
      <c r="F30" s="962"/>
      <c r="G30" s="963" t="str">
        <f>IF(ROUND(('FC-4_ACTIVO'!G41+'FC-4_ACTIVO'!G83)-'FC-8_INV_FINANCIERAS'!J49,2)=0,"Ok","Mal, revisa datos en FC-4 ACTIVO y FC-8")</f>
        <v>Ok</v>
      </c>
      <c r="H30" s="952"/>
      <c r="J30" s="954"/>
      <c r="K30" s="954"/>
      <c r="L30" s="954"/>
      <c r="M30" s="954"/>
    </row>
    <row r="31" spans="2:13" s="953" customFormat="1" ht="30" customHeight="1">
      <c r="B31" s="949"/>
      <c r="C31" s="961" t="s">
        <v>774</v>
      </c>
      <c r="D31" s="961"/>
      <c r="E31" s="962"/>
      <c r="F31" s="962"/>
      <c r="G31" s="963" t="str">
        <f>IF(ROUND((SUM('FC-4_ACTIVO'!G42:G46)+SUM('FC-4_ACTIVO'!G84:G88))-'FC-8_INV_FINANCIERAS'!J58,2)=0,"Ok","Mal, revisa datos en FC-4 Activo y en FC-8")</f>
        <v>Ok</v>
      </c>
      <c r="H31" s="952"/>
      <c r="J31" s="954"/>
      <c r="K31" s="954"/>
      <c r="L31" s="954"/>
      <c r="M31" s="954"/>
    </row>
    <row r="32" spans="2:13" s="953" customFormat="1" ht="30" customHeight="1">
      <c r="B32" s="949"/>
      <c r="C32" s="957" t="s">
        <v>661</v>
      </c>
      <c r="D32" s="955"/>
      <c r="E32" s="958"/>
      <c r="F32" s="956" t="str">
        <f>IF(ROUND('FC-4_PASIVO'!F41-'FC-9_TRANS_SUBV'!F35,2)=0,"Ok","Mal, revisa FC-4 PASIVO y FC-9")</f>
        <v>Ok</v>
      </c>
      <c r="G32" s="956" t="str">
        <f>IF(ROUND('FC-4_PASIVO'!G41-'FC-9_TRANS_SUBV'!G35,2)=0,"Ok","Mal, revisa FC-4 PASIVO y FC-9")</f>
        <v>Ok</v>
      </c>
      <c r="H32" s="952"/>
      <c r="J32" s="954"/>
      <c r="K32" s="954">
        <f t="shared" ref="K32:K36" si="6">IF(F32="Ok",0,1)</f>
        <v>0</v>
      </c>
      <c r="L32" s="954">
        <f t="shared" ref="L32:L40" si="7">IF(G32="Ok",0,1)</f>
        <v>0</v>
      </c>
      <c r="M32" s="954">
        <f t="shared" si="3"/>
        <v>0</v>
      </c>
    </row>
    <row r="33" spans="2:13" s="1017" customFormat="1" ht="30" customHeight="1">
      <c r="B33" s="1018"/>
      <c r="C33" s="1019" t="s">
        <v>816</v>
      </c>
      <c r="D33" s="1019"/>
      <c r="E33" s="1020"/>
      <c r="F33" s="1021" t="str">
        <f>IF(ROUND('FC-3_CPyG'!F41+('FC-9_TRANS_SUBV'!F33),2)=0,"Ok","Mal, revisa datos FC-3 epígr. A) 9. y FC-9 celda F33")</f>
        <v>Ok</v>
      </c>
      <c r="G33" s="1021" t="str">
        <f>IF(ROUND('FC-3_CPyG'!G41+('FC-9_TRANS_SUBV'!G33),2)=0,"Ok","Mal, revisa datos FC-3 epígr. A) 9. y FC-9 celda G33")</f>
        <v>Ok</v>
      </c>
      <c r="H33" s="1022"/>
      <c r="J33" s="954"/>
      <c r="K33" s="954"/>
      <c r="L33" s="954"/>
      <c r="M33" s="954"/>
    </row>
    <row r="34" spans="2:13" s="953" customFormat="1" ht="30" customHeight="1">
      <c r="B34" s="949"/>
      <c r="C34" s="957" t="s">
        <v>662</v>
      </c>
      <c r="D34" s="955"/>
      <c r="E34" s="958"/>
      <c r="F34" s="956" t="str">
        <f>IF('FC-3_CPyG'!F29-'FC-9_TRANS_SUBV'!F50=0,"Ok","Mal, revisa dato en FC-3 y FC-9")</f>
        <v>Ok</v>
      </c>
      <c r="G34" s="956" t="str">
        <f>IF('FC-3_CPyG'!G29-'FC-9_TRANS_SUBV'!G50=0,"Ok","Mal, revisa dato en FC-3 y FC-9")</f>
        <v>Ok</v>
      </c>
      <c r="H34" s="952"/>
      <c r="J34" s="954"/>
      <c r="K34" s="954">
        <f t="shared" si="6"/>
        <v>0</v>
      </c>
      <c r="L34" s="954">
        <f t="shared" si="7"/>
        <v>0</v>
      </c>
      <c r="M34" s="954">
        <f t="shared" si="3"/>
        <v>0</v>
      </c>
    </row>
    <row r="35" spans="2:13" s="953" customFormat="1" ht="30" customHeight="1">
      <c r="B35" s="949"/>
      <c r="C35" s="957" t="s">
        <v>665</v>
      </c>
      <c r="D35" s="955"/>
      <c r="E35" s="1029" t="s">
        <v>836</v>
      </c>
      <c r="F35" s="1030" t="str">
        <f>IF('FC-4_PASIVO'!F31-'FC-4_PASIVO'!E31='FC-9_TRANS_SUBV'!F65,"Ok","Mal, revísa FC-4 PASIVO y FC-9")</f>
        <v>Ok</v>
      </c>
      <c r="G35" s="1030" t="str">
        <f>IF('FC-4_PASIVO'!G31-'FC-4_PASIVO'!F31='FC-9_TRANS_SUBV'!G65,"Ok","Mal, revísa FC-4 PASIVO y FC-9")</f>
        <v>Ok</v>
      </c>
      <c r="H35" s="952"/>
      <c r="J35" s="954"/>
      <c r="K35" s="954">
        <f t="shared" si="6"/>
        <v>0</v>
      </c>
      <c r="L35" s="954">
        <f t="shared" si="7"/>
        <v>0</v>
      </c>
      <c r="M35" s="954">
        <f t="shared" si="3"/>
        <v>0</v>
      </c>
    </row>
    <row r="36" spans="2:13" s="953" customFormat="1" ht="30" customHeight="1">
      <c r="B36" s="949"/>
      <c r="C36" s="957" t="s">
        <v>667</v>
      </c>
      <c r="D36" s="955"/>
      <c r="E36" s="958"/>
      <c r="F36" s="956" t="str">
        <f>IF(ROUND(('FC-4_PASIVO'!F51+'FC-4_PASIVO'!F52+'FC-4_PASIVO'!F68+'FC-4_PASIVO'!F69)-('FC-10_DEUDAS'!L42+'FC-10_DEUDAS'!L74),2)=0,"Ok","Mal, revisa datos en FC-4 PASIVO y FC-10")</f>
        <v>Ok</v>
      </c>
      <c r="G36" s="956" t="str">
        <f>IF(ROUND(('FC-4_PASIVO'!G51+'FC-4_PASIVO'!G52+'FC-4_PASIVO'!G68+'FC-4_PASIVO'!G69)-('FC-10_DEUDAS'!Q42+'FC-10_DEUDAS'!Q74),2)=0,"Ok","Mal, revisa datos en FC-4 PASIVO y FC-10")</f>
        <v>Ok</v>
      </c>
      <c r="H36" s="952"/>
      <c r="J36" s="954"/>
      <c r="K36" s="954">
        <f t="shared" si="6"/>
        <v>0</v>
      </c>
      <c r="L36" s="954">
        <f t="shared" si="7"/>
        <v>0</v>
      </c>
      <c r="M36" s="954">
        <f t="shared" si="3"/>
        <v>0</v>
      </c>
    </row>
    <row r="37" spans="2:13" s="953" customFormat="1" ht="30" customHeight="1">
      <c r="B37" s="949"/>
      <c r="C37" s="957" t="s">
        <v>668</v>
      </c>
      <c r="D37" s="955"/>
      <c r="E37" s="958"/>
      <c r="F37" s="958"/>
      <c r="G37" s="956" t="str">
        <f>IF(ROUND('FC-10_DEUDAS'!Q74-'FC-10_DEUDAS'!R74-'FC-10_DEUDAS'!S74,2)=0,"Ok","Mal, revisa datos, celdas Q74=R74+S74 en FC-10")</f>
        <v>Ok</v>
      </c>
      <c r="H37" s="952"/>
      <c r="J37" s="954"/>
      <c r="K37" s="954"/>
      <c r="L37" s="954">
        <f t="shared" si="7"/>
        <v>0</v>
      </c>
      <c r="M37" s="954">
        <f t="shared" si="3"/>
        <v>0</v>
      </c>
    </row>
    <row r="38" spans="2:13" s="953" customFormat="1" ht="30" customHeight="1">
      <c r="B38" s="949"/>
      <c r="C38" s="964" t="s">
        <v>669</v>
      </c>
      <c r="D38" s="965"/>
      <c r="E38" s="966"/>
      <c r="F38" s="966"/>
      <c r="G38" s="967" t="str">
        <f>IF(ROUND(-'FC-3_CPyG'!G30-'FC-13_PERSONAL'!F31,2)=0,"Ok","Mal, revísa dato en FC-3 CPyG y FC-13")</f>
        <v>Ok</v>
      </c>
      <c r="H38" s="952"/>
      <c r="J38" s="954"/>
      <c r="K38" s="954"/>
      <c r="L38" s="954">
        <f t="shared" si="7"/>
        <v>0</v>
      </c>
      <c r="M38" s="954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1"/>
      <c r="K39" s="871"/>
      <c r="L39" s="871"/>
      <c r="M39" s="871"/>
    </row>
    <row r="40" spans="2:13" ht="30" customHeight="1">
      <c r="B40" s="371"/>
      <c r="C40" s="968" t="s">
        <v>671</v>
      </c>
      <c r="D40" s="969"/>
      <c r="E40" s="970"/>
      <c r="F40" s="970"/>
      <c r="G40" s="971" t="str">
        <f>IF(ROUND('FC-3_CPyG'!G84-'FC-92_PRESUPUESTO_PYG'!E59,2)=0,"Ok","Mal, revisa resultado en F-3 y FC-92")</f>
        <v>Ok</v>
      </c>
      <c r="H40" s="372"/>
      <c r="J40" s="871"/>
      <c r="K40" s="871"/>
      <c r="L40" s="871">
        <f t="shared" si="7"/>
        <v>0</v>
      </c>
      <c r="M40" s="871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1" zoomScale="70" zoomScaleNormal="70" workbookViewId="0"/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3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3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055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5"/>
      <c r="D12" s="109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098" t="s">
        <v>395</v>
      </c>
      <c r="D18" s="1099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29" t="s">
        <v>525</v>
      </c>
      <c r="D20" s="1130"/>
      <c r="E20" s="269">
        <f>SUM(E21:E29)</f>
        <v>1821159</v>
      </c>
      <c r="F20" s="1138"/>
      <c r="G20" s="1139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526</v>
      </c>
      <c r="D21" s="262"/>
      <c r="E21" s="611">
        <f>+'FC-3_CPyG'!G16</f>
        <v>1754389</v>
      </c>
      <c r="F21" s="1140"/>
      <c r="G21" s="1141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527</v>
      </c>
      <c r="D22" s="262"/>
      <c r="E22" s="611">
        <f>+'FC-3_CPyG'!G21</f>
        <v>0</v>
      </c>
      <c r="F22" s="1142"/>
      <c r="G22" s="1143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528</v>
      </c>
      <c r="D23" s="262"/>
      <c r="E23" s="611">
        <f>+'FC-3_CPyG'!G28</f>
        <v>0</v>
      </c>
      <c r="F23" s="1142"/>
      <c r="G23" s="1143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529</v>
      </c>
      <c r="D24" s="262"/>
      <c r="E24" s="611">
        <f>+'FC-3_CPyG'!G29</f>
        <v>0</v>
      </c>
      <c r="F24" s="1142"/>
      <c r="G24" s="1143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530</v>
      </c>
      <c r="D25" s="262"/>
      <c r="E25" s="611">
        <f>+'FC-3_CPyG'!G55+'FC-3_CPyG'!G70</f>
        <v>0</v>
      </c>
      <c r="F25" s="1142"/>
      <c r="G25" s="1143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531</v>
      </c>
      <c r="D26" s="262"/>
      <c r="E26" s="611">
        <f>+'FC-3_CPyG'!G52</f>
        <v>0</v>
      </c>
      <c r="F26" s="1142"/>
      <c r="G26" s="1143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532</v>
      </c>
      <c r="D27" s="262"/>
      <c r="E27" s="611">
        <f>+'FC-3_1_INF_ADIC_CPyG'!G47</f>
        <v>0</v>
      </c>
      <c r="F27" s="1142"/>
      <c r="G27" s="1143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9" t="s">
        <v>775</v>
      </c>
      <c r="D28" s="262"/>
      <c r="E28" s="611">
        <f>+'FC-9_TRANS_SUBV'!G65+'FC-9_TRANS_SUBV'!G79</f>
        <v>66770</v>
      </c>
      <c r="F28" s="1142"/>
      <c r="G28" s="1143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533</v>
      </c>
      <c r="D29" s="263"/>
      <c r="E29" s="612">
        <f>+'FC-9_TRANS_SUBV'!G30</f>
        <v>0</v>
      </c>
      <c r="F29" s="1144"/>
      <c r="G29" s="114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29" t="s">
        <v>534</v>
      </c>
      <c r="D31" s="1130"/>
      <c r="E31" s="269">
        <f>SUM(E32:E43)</f>
        <v>-8387595.8299999991</v>
      </c>
      <c r="F31" s="1138"/>
      <c r="G31" s="1139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11">
        <f>+'FC-3_CPyG'!G22</f>
        <v>-7962526.6500000004</v>
      </c>
      <c r="F32" s="1142"/>
      <c r="G32" s="1143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535</v>
      </c>
      <c r="D33" s="262"/>
      <c r="E33" s="611">
        <f>+'FC-3_CPyG'!G30</f>
        <v>-237266.18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11">
        <f>+'FC-3_CPyG'!G34-'FC-3_CPyG'!G36</f>
        <v>-181803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536</v>
      </c>
      <c r="D35" s="262"/>
      <c r="E35" s="611">
        <f>+'FC-3_CPyG'!G59+'FC-3_CPyG'!G63+'FC-3_CPyG'!G66+'FC-3_CPyG'!G67</f>
        <v>0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537</v>
      </c>
      <c r="D36" s="262"/>
      <c r="E36" s="611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538</v>
      </c>
      <c r="D37" s="262"/>
      <c r="E37" s="611">
        <f>+'FC-3_CPyG'!G36</f>
        <v>0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539</v>
      </c>
      <c r="D38" s="262"/>
      <c r="E38" s="611">
        <f>+'FC-3_1_INF_ADIC_CPyG'!G55</f>
        <v>0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540</v>
      </c>
      <c r="D39" s="262"/>
      <c r="E39" s="611">
        <f>-'FC-7_INF'!F31-'FC-7_INF'!H31-'FC-7_INF'!K31-'FC-7_INF'!F33-'FC-7_INF'!H33-'FC-7_INF'!K33</f>
        <v>-6583141.8700000001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10" t="s">
        <v>541</v>
      </c>
      <c r="D40" s="262"/>
      <c r="E40" s="611">
        <f>+'FC-3_CPyG'!G20</f>
        <v>6577141.8700000001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542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543</v>
      </c>
      <c r="D42" s="262"/>
      <c r="E42" s="505"/>
      <c r="F42" s="1142"/>
      <c r="G42" s="1143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544</v>
      </c>
      <c r="D43" s="263"/>
      <c r="E43" s="508"/>
      <c r="F43" s="1144"/>
      <c r="G43" s="1145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545</v>
      </c>
      <c r="D45" s="291"/>
      <c r="E45" s="170">
        <f>+E20+E31</f>
        <v>-6566436.8299999991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54"/>
      <c r="D49" s="1054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63" workbookViewId="0">
      <selection activeCell="L24" sqref="L24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33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33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055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095"/>
      <c r="D12" s="1095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6" t="s">
        <v>395</v>
      </c>
      <c r="D14" s="1088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46" t="s">
        <v>548</v>
      </c>
      <c r="D16" s="1147"/>
      <c r="E16" s="296">
        <f>SUM(E17:E19)</f>
        <v>1754389</v>
      </c>
      <c r="F16" s="299">
        <f>E16/$E$33</f>
        <v>0.9633365345914332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549</v>
      </c>
      <c r="D17" s="262" t="s">
        <v>552</v>
      </c>
      <c r="E17" s="505">
        <f>+'FC-3_1_INF_ADIC_CPyG'!K16+'FC-3_1_INF_ADIC_CPyG'!K19</f>
        <v>1754389</v>
      </c>
      <c r="F17" s="300">
        <f t="shared" ref="F17:F19" si="0">E17/$E$33</f>
        <v>0.9633365345914332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550</v>
      </c>
      <c r="D18" s="262" t="s">
        <v>553</v>
      </c>
      <c r="E18" s="505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551</v>
      </c>
      <c r="D19" s="263" t="s">
        <v>554</v>
      </c>
      <c r="E19" s="508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46" t="s">
        <v>555</v>
      </c>
      <c r="D21" s="1147"/>
      <c r="E21" s="609">
        <f>+'FC-3_1_INF_ADIC_CPyG'!K40</f>
        <v>0</v>
      </c>
      <c r="F21" s="304">
        <f>E21/$E$33</f>
        <v>0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46" t="s">
        <v>556</v>
      </c>
      <c r="D23" s="1147"/>
      <c r="E23" s="296">
        <f>SUM(E24:E26)</f>
        <v>66770</v>
      </c>
      <c r="F23" s="304">
        <f t="shared" ref="F23:F26" si="1">E23/$E$33</f>
        <v>3.6663465408566742E-2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549</v>
      </c>
      <c r="D24" s="262" t="s">
        <v>557</v>
      </c>
      <c r="E24" s="505">
        <f>+'FC-9_TRANS_SUBV'!G50+'FC-9_TRANS_SUBV'!G65</f>
        <v>66770</v>
      </c>
      <c r="F24" s="300">
        <f t="shared" si="1"/>
        <v>3.6663465408566742E-2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550</v>
      </c>
      <c r="D25" s="262" t="s">
        <v>559</v>
      </c>
      <c r="E25" s="505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551</v>
      </c>
      <c r="D26" s="263" t="s">
        <v>558</v>
      </c>
      <c r="E26" s="508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46" t="s">
        <v>560</v>
      </c>
      <c r="D28" s="1147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549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550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551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48" t="s">
        <v>561</v>
      </c>
      <c r="D33" s="1149"/>
      <c r="E33" s="292">
        <f>E28+E23+E21+E16</f>
        <v>1821159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54"/>
      <c r="D40" s="1054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zoomScale="64" workbookViewId="0">
      <selection activeCell="D87" sqref="D8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3">
        <f>ejercicio</f>
        <v>2018</v>
      </c>
      <c r="F6" s="99"/>
    </row>
    <row r="7" spans="2:6" ht="30" customHeight="1">
      <c r="B7" s="96"/>
      <c r="C7" s="69" t="s">
        <v>1</v>
      </c>
      <c r="D7" s="97"/>
      <c r="E7" s="103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6" t="s">
        <v>577</v>
      </c>
      <c r="D14" s="108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8349999.9999999991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66770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" customHeight="1">
      <c r="B21" s="183"/>
      <c r="C21" s="1146" t="s">
        <v>568</v>
      </c>
      <c r="D21" s="1147"/>
      <c r="E21" s="296">
        <f>SUM(E16:E20)</f>
        <v>8416770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2.9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0" t="s">
        <v>575</v>
      </c>
      <c r="D31" s="1151"/>
      <c r="E31" s="305">
        <f>E21+E25+E29</f>
        <v>8416770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46" t="s">
        <v>576</v>
      </c>
      <c r="D33" s="1147"/>
      <c r="E33" s="296">
        <f>+'FC-92_PRESUPUESTO_PYG'!E33</f>
        <v>6577141.8700000001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0" t="s">
        <v>575</v>
      </c>
      <c r="D35" s="1151"/>
      <c r="E35" s="305">
        <f>+E31+E33</f>
        <v>14993911.870000001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6" t="s">
        <v>578</v>
      </c>
      <c r="D37" s="1088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237266.18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8144329.6500000004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46" t="s">
        <v>582</v>
      </c>
      <c r="D43" s="1147"/>
      <c r="E43" s="296">
        <f>SUM(E39:E42)</f>
        <v>8381595.8300000001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6000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46" t="s">
        <v>584</v>
      </c>
      <c r="D47" s="1147"/>
      <c r="E47" s="296">
        <f>SUM(E45:E46)</f>
        <v>6000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" customHeight="1">
      <c r="B51" s="183"/>
      <c r="C51" s="1146" t="s">
        <v>585</v>
      </c>
      <c r="D51" s="1147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0" t="s">
        <v>586</v>
      </c>
      <c r="D53" s="1151"/>
      <c r="E53" s="305">
        <f>E43+E47+E51</f>
        <v>8387595.8300000001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46" t="s">
        <v>587</v>
      </c>
      <c r="D55" s="1147"/>
      <c r="E55" s="296">
        <f>+'FC-92_PRESUPUESTO_PYG'!E55</f>
        <v>16704.71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0" t="s">
        <v>586</v>
      </c>
      <c r="D57" s="1151"/>
      <c r="E57" s="305">
        <f>+E53+E55</f>
        <v>8404300.540000001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6589611.3300000001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-6589611.3299999991</v>
      </c>
      <c r="F61" s="107"/>
      <c r="H61" s="317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16704.71</v>
      </c>
      <c r="F62" s="184"/>
    </row>
    <row r="63" spans="2:8" s="185" customFormat="1" ht="22.9" customHeight="1">
      <c r="B63" s="183"/>
      <c r="C63" s="189"/>
      <c r="D63" s="262" t="s">
        <v>346</v>
      </c>
      <c r="E63" s="860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60">
        <f>-'FC-7_INF'!I31</f>
        <v>16704.71</v>
      </c>
      <c r="F64" s="184"/>
    </row>
    <row r="65" spans="2:8" s="185" customFormat="1" ht="22.9" customHeight="1">
      <c r="B65" s="183"/>
      <c r="C65" s="189"/>
      <c r="D65" s="262" t="s">
        <v>335</v>
      </c>
      <c r="E65" s="860">
        <f>-'FC-7_INF'!J31</f>
        <v>0</v>
      </c>
      <c r="F65" s="184"/>
    </row>
    <row r="66" spans="2:8" s="185" customFormat="1" ht="22.9" customHeight="1">
      <c r="B66" s="183"/>
      <c r="C66" s="316"/>
      <c r="D66" s="290" t="s">
        <v>336</v>
      </c>
      <c r="E66" s="861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672</v>
      </c>
      <c r="E67" s="862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882" t="s">
        <v>776</v>
      </c>
      <c r="E68" s="862">
        <f>'FC-4_ACTIVO'!F48-'FC-4_ACTIVO'!G48</f>
        <v>0</v>
      </c>
      <c r="F68" s="184"/>
    </row>
    <row r="69" spans="2:8" s="185" customFormat="1" ht="22.9" customHeight="1">
      <c r="B69" s="183"/>
      <c r="C69" s="176"/>
      <c r="D69" s="512" t="s">
        <v>675</v>
      </c>
      <c r="E69" s="188">
        <f>-(('FC-4_ACTIVO'!G50-'FC-4_ACTIVO'!G75-'FC-4_ACTIVO'!G82)-('FC-4_ACTIVO'!F50-'FC-4_ACTIVO'!F75-'FC-4_ACTIVO'!F82))</f>
        <v>-6566682.3499999987</v>
      </c>
      <c r="F69" s="184"/>
    </row>
    <row r="70" spans="2:8" s="185" customFormat="1" ht="22.9" customHeight="1">
      <c r="B70" s="183"/>
      <c r="C70" s="176"/>
      <c r="D70" s="512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2.9" customHeight="1">
      <c r="B71" s="183"/>
      <c r="C71" s="176"/>
      <c r="D71" s="512" t="s">
        <v>674</v>
      </c>
      <c r="E71" s="188">
        <f>'FC-4_PASIVO'!G43-'FC-4_PASIVO'!F43+'FC-4_PASIVO'!G61-'FC-4_PASIVO'!F61+E50-E28-'FC-4_PASIVO'!G82+'FC-4_PASIVO'!F82</f>
        <v>-39633.69000000041</v>
      </c>
      <c r="F71" s="184"/>
      <c r="H71" s="318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591</v>
      </c>
      <c r="D73" s="310"/>
      <c r="E73" s="311">
        <f>+E59+E61</f>
        <v>0</v>
      </c>
      <c r="F73" s="107"/>
      <c r="H73" s="317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54"/>
      <c r="D75" s="1054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9" zoomScale="70" zoomScaleNormal="70" workbookViewId="0">
      <selection activeCell="K50" sqref="K50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3">
        <f>ejercicio</f>
        <v>2018</v>
      </c>
      <c r="F6" s="99"/>
    </row>
    <row r="7" spans="2:6" ht="30" customHeight="1">
      <c r="B7" s="96"/>
      <c r="C7" s="69" t="s">
        <v>1</v>
      </c>
      <c r="D7" s="97"/>
      <c r="E7" s="103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5" t="str">
        <f>Entidad</f>
        <v>Gestión Insular de Aguas de Tenerife, S.A. (GESTA)</v>
      </c>
      <c r="E9" s="105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6" t="s">
        <v>577</v>
      </c>
      <c r="D14" s="108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8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8" s="185" customFormat="1" ht="22.9" customHeight="1">
      <c r="B18" s="183"/>
      <c r="C18" s="189" t="s">
        <v>204</v>
      </c>
      <c r="D18" s="262" t="s">
        <v>565</v>
      </c>
      <c r="E18" s="190">
        <f>+'FC-92_PRESUPUESTO_PYG'!E18+'FC-4_PASIVO'!G82-'FC-4_PASIVO'!F82</f>
        <v>8349999.9999999991</v>
      </c>
      <c r="F18" s="184"/>
      <c r="H18" s="318"/>
    </row>
    <row r="19" spans="2:8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+'FC-92_PRESUPUESTO_PYG'!E19+'FC-9_TRANS_SUBV'!G65</f>
        <v>66770</v>
      </c>
      <c r="F19" s="184"/>
    </row>
    <row r="20" spans="2:8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8" s="185" customFormat="1" ht="22.9" customHeight="1">
      <c r="B21" s="183"/>
      <c r="C21" s="1146" t="s">
        <v>568</v>
      </c>
      <c r="D21" s="1147"/>
      <c r="E21" s="296">
        <f>SUM(E16:E20)</f>
        <v>8416770</v>
      </c>
      <c r="F21" s="184"/>
    </row>
    <row r="22" spans="2:8" s="185" customFormat="1" ht="9" customHeight="1">
      <c r="B22" s="183"/>
      <c r="C22" s="22"/>
      <c r="D22" s="150"/>
      <c r="E22" s="146"/>
      <c r="F22" s="184"/>
    </row>
    <row r="23" spans="2:8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8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8" s="185" customFormat="1" ht="22.9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8" s="185" customFormat="1" ht="9" customHeight="1">
      <c r="B26" s="183"/>
      <c r="C26" s="22"/>
      <c r="D26" s="150"/>
      <c r="E26" s="146"/>
      <c r="F26" s="184"/>
    </row>
    <row r="27" spans="2:8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8" s="185" customFormat="1" ht="22.9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8" s="185" customFormat="1" ht="22.9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8" s="185" customFormat="1" ht="22.9" customHeight="1">
      <c r="B30" s="183"/>
      <c r="C30" s="150"/>
      <c r="D30" s="212"/>
      <c r="E30" s="214"/>
      <c r="F30" s="184"/>
    </row>
    <row r="31" spans="2:8" s="306" customFormat="1" ht="22.9" customHeight="1" thickBot="1">
      <c r="B31" s="104"/>
      <c r="C31" s="1150" t="s">
        <v>575</v>
      </c>
      <c r="D31" s="1151"/>
      <c r="E31" s="305">
        <f>E21+E25+E29</f>
        <v>8416770</v>
      </c>
      <c r="F31" s="107"/>
    </row>
    <row r="32" spans="2:8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6" t="s">
        <v>578</v>
      </c>
      <c r="D34" s="1088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237266.18</v>
      </c>
      <c r="F36" s="184"/>
    </row>
    <row r="37" spans="2:6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8144329.6500000004</v>
      </c>
      <c r="F37" s="184"/>
    </row>
    <row r="38" spans="2:6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146" t="s">
        <v>582</v>
      </c>
      <c r="D40" s="1147"/>
      <c r="E40" s="296">
        <f>SUM(E36:E39)</f>
        <v>8381595.8300000001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6000</v>
      </c>
      <c r="F42" s="184"/>
    </row>
    <row r="43" spans="2:6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" customHeight="1">
      <c r="B44" s="183"/>
      <c r="C44" s="1146" t="s">
        <v>584</v>
      </c>
      <c r="D44" s="1147"/>
      <c r="E44" s="296">
        <f>SUM(E42:E43)</f>
        <v>6000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" customHeight="1">
      <c r="B48" s="183"/>
      <c r="C48" s="1146" t="s">
        <v>585</v>
      </c>
      <c r="D48" s="1147"/>
      <c r="E48" s="296">
        <f>SUM(E46:E47)</f>
        <v>0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50" t="s">
        <v>586</v>
      </c>
      <c r="D50" s="1151"/>
      <c r="E50" s="305">
        <f>E40+E44+E48</f>
        <v>8387595.8300000001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54"/>
      <c r="D52" s="1054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2" workbookViewId="0">
      <selection activeCell="K50" sqref="K50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3">
        <f>ejercicio</f>
        <v>2018</v>
      </c>
      <c r="F6" s="99"/>
    </row>
    <row r="7" spans="2:6" ht="30" customHeight="1">
      <c r="B7" s="96"/>
      <c r="C7" s="69" t="s">
        <v>1</v>
      </c>
      <c r="D7" s="97"/>
      <c r="E7" s="1033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55" t="str">
        <f>Entidad</f>
        <v>Gestión Insular de Aguas de Tenerife, S.A. (GESTA)</v>
      </c>
      <c r="E9" s="1055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6" t="s">
        <v>577</v>
      </c>
      <c r="D14" s="1088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1754389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" customHeight="1">
      <c r="B21" s="183"/>
      <c r="C21" s="1146" t="s">
        <v>568</v>
      </c>
      <c r="D21" s="1147"/>
      <c r="E21" s="296">
        <f>SUM(E16:E20)</f>
        <v>1754389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0" t="s">
        <v>575</v>
      </c>
      <c r="D31" s="1151"/>
      <c r="E31" s="305">
        <f>E21+E25+E29</f>
        <v>1754389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46" t="s">
        <v>576</v>
      </c>
      <c r="D33" s="1147"/>
      <c r="E33" s="296">
        <f>IF('FC-3_CPyG'!G20&gt;0,'FC-3_CPyG'!G20,0)+'FC-3_CPyG'!G21+'FC-3_CPyG'!G41+'FC-3_CPyG'!G42+'FC-3_CPyG'!G45+'FC-3_CPyG'!G47+'FC-3_CPyG'!G58+'FC-3_CPyG'!G63</f>
        <v>6577141.8700000001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0" t="s">
        <v>592</v>
      </c>
      <c r="D35" s="1151"/>
      <c r="E35" s="305">
        <f>+E31+E33</f>
        <v>8331530.8700000001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6" t="s">
        <v>578</v>
      </c>
      <c r="D37" s="1088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237266.18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8144329.6500000004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46" t="s">
        <v>582</v>
      </c>
      <c r="D43" s="1147"/>
      <c r="E43" s="296">
        <f>SUM(E39:E42)</f>
        <v>8381595.8300000001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46" t="s">
        <v>584</v>
      </c>
      <c r="D47" s="1147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46" t="s">
        <v>585</v>
      </c>
      <c r="D51" s="1147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0" t="s">
        <v>586</v>
      </c>
      <c r="D53" s="1151"/>
      <c r="E53" s="305">
        <f>E43+E47+E51</f>
        <v>8381595.8300000001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46" t="s">
        <v>587</v>
      </c>
      <c r="D55" s="1147"/>
      <c r="E55" s="296">
        <f>IF('FC-3_CPyG'!G20&lt;0,-'FC-3_CPyG'!G20,0)-'FC-3_CPyG'!G26-'FC-3_CPyG'!G33-'FC-3_CPyG'!G37-'FC-3_CPyG'!G40-'FC-3_CPyG'!G44-'FC-3_CPyG'!G62-'FC-3_CPyG'!G66-'FC-3_CPyG'!G67</f>
        <v>16704.71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0" t="s">
        <v>593</v>
      </c>
      <c r="D57" s="1151"/>
      <c r="E57" s="305">
        <f>+E53+E55</f>
        <v>8398300.540000001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-66769.670000000857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54"/>
      <c r="D61" s="1054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19" workbookViewId="0">
      <selection activeCell="G54" sqref="G54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33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33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38" t="str">
        <f>Entidad</f>
        <v>Gestión Insular de Aguas de Tenerife, S.A. (GESTA)</v>
      </c>
      <c r="E9" s="1038"/>
      <c r="F9" s="1038"/>
      <c r="G9" s="1038"/>
      <c r="H9" s="1038"/>
      <c r="I9" s="9"/>
      <c r="K9" s="406"/>
      <c r="L9" s="404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04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04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8">
        <f>+H15+H19</f>
        <v>5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9" t="s">
        <v>623</v>
      </c>
      <c r="E15" s="539"/>
      <c r="F15" s="539"/>
      <c r="G15" s="539"/>
      <c r="H15" s="540">
        <f>H16+H17</f>
        <v>5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5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>
        <v>0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9" t="s">
        <v>624</v>
      </c>
      <c r="E19" s="539"/>
      <c r="F19" s="539"/>
      <c r="G19" s="539"/>
      <c r="H19" s="541">
        <v>0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625</v>
      </c>
      <c r="D23" s="542" t="s">
        <v>818</v>
      </c>
      <c r="E23" s="542"/>
      <c r="F23" s="542"/>
      <c r="G23" s="542"/>
      <c r="H23" s="432">
        <v>42325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626</v>
      </c>
      <c r="D24" s="543" t="s">
        <v>819</v>
      </c>
      <c r="E24" s="543"/>
      <c r="F24" s="543"/>
      <c r="G24" s="543"/>
      <c r="H24" s="433">
        <v>42325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627</v>
      </c>
      <c r="D25" s="543" t="s">
        <v>823</v>
      </c>
      <c r="E25" s="543"/>
      <c r="F25" s="543"/>
      <c r="G25" s="543"/>
      <c r="H25" s="433">
        <v>42697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628</v>
      </c>
      <c r="D26" s="543" t="s">
        <v>824</v>
      </c>
      <c r="E26" s="543"/>
      <c r="F26" s="543"/>
      <c r="G26" s="543"/>
      <c r="H26" s="433">
        <v>42824</v>
      </c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543" t="s">
        <v>821</v>
      </c>
      <c r="E27" s="543"/>
      <c r="F27" s="543"/>
      <c r="G27" s="543"/>
      <c r="H27" s="433">
        <v>42325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543" t="s">
        <v>820</v>
      </c>
      <c r="E28" s="543"/>
      <c r="F28" s="543"/>
      <c r="G28" s="543"/>
      <c r="H28" s="433">
        <v>42325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543" t="s">
        <v>822</v>
      </c>
      <c r="E29" s="543"/>
      <c r="F29" s="543"/>
      <c r="G29" s="543"/>
      <c r="H29" s="433">
        <v>42325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543"/>
      <c r="E30" s="543"/>
      <c r="F30" s="543"/>
      <c r="G30" s="543"/>
      <c r="H30" s="433"/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543"/>
      <c r="E31" s="543"/>
      <c r="F31" s="543"/>
      <c r="G31" s="543"/>
      <c r="H31" s="433"/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543"/>
      <c r="E32" s="543"/>
      <c r="F32" s="543"/>
      <c r="G32" s="543"/>
      <c r="H32" s="433"/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543"/>
      <c r="E33" s="543"/>
      <c r="F33" s="543"/>
      <c r="G33" s="543"/>
      <c r="H33" s="433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3"/>
      <c r="E34" s="543"/>
      <c r="F34" s="543"/>
      <c r="G34" s="543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3"/>
      <c r="E35" s="543"/>
      <c r="F35" s="543"/>
      <c r="G35" s="543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3"/>
      <c r="E36" s="543"/>
      <c r="F36" s="543"/>
      <c r="G36" s="543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3"/>
      <c r="E37" s="543"/>
      <c r="F37" s="543"/>
      <c r="G37" s="543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3"/>
      <c r="E38" s="543"/>
      <c r="F38" s="543"/>
      <c r="G38" s="543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629</v>
      </c>
      <c r="D40" s="544" t="s">
        <v>824</v>
      </c>
      <c r="E40" s="544"/>
      <c r="F40" s="544"/>
      <c r="G40" s="544"/>
      <c r="H40" s="434">
        <v>42669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3" t="s">
        <v>825</v>
      </c>
      <c r="E41" s="543"/>
      <c r="F41" s="543"/>
      <c r="G41" s="543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abSelected="1" zoomScale="70" zoomScaleNormal="70" workbookViewId="0">
      <selection activeCell="F62" sqref="F62"/>
    </sheetView>
  </sheetViews>
  <sheetFormatPr baseColWidth="10" defaultColWidth="10.77734375" defaultRowHeight="22.9" customHeight="1"/>
  <cols>
    <col min="1" max="2" width="3.21875" style="735" customWidth="1"/>
    <col min="3" max="3" width="13.5546875" style="735" customWidth="1"/>
    <col min="4" max="4" width="16.21875" style="735" customWidth="1"/>
    <col min="5" max="5" width="14" style="735" customWidth="1"/>
    <col min="6" max="7" width="16.21875" style="735" customWidth="1"/>
    <col min="8" max="8" width="10.21875" style="735" customWidth="1"/>
    <col min="9" max="9" width="13" style="735" customWidth="1"/>
    <col min="10" max="10" width="10.77734375" style="735"/>
    <col min="11" max="11" width="2" style="735" customWidth="1"/>
    <col min="12" max="15" width="10.77734375" style="735"/>
    <col min="16" max="16" width="30.44140625" style="735" customWidth="1"/>
    <col min="17" max="17" width="3.21875" style="735" customWidth="1"/>
    <col min="18" max="16384" width="10.77734375" style="735"/>
  </cols>
  <sheetData>
    <row r="1" spans="2:32" ht="22.9" customHeight="1">
      <c r="D1" s="736"/>
    </row>
    <row r="2" spans="2:32" ht="22.9" customHeight="1">
      <c r="D2" s="737" t="s">
        <v>31</v>
      </c>
    </row>
    <row r="3" spans="2:32" ht="22.9" customHeight="1">
      <c r="D3" s="737" t="s">
        <v>32</v>
      </c>
    </row>
    <row r="4" spans="2:32" ht="22.9" customHeight="1" thickBot="1"/>
    <row r="5" spans="2:32" ht="9" customHeight="1">
      <c r="B5" s="738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40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1"/>
      <c r="C6" s="742" t="s">
        <v>0</v>
      </c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P6" s="1039">
        <f>ejercicio</f>
        <v>2018</v>
      </c>
      <c r="Q6" s="743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1"/>
      <c r="C7" s="742" t="s">
        <v>1</v>
      </c>
      <c r="D7" s="736"/>
      <c r="E7" s="736"/>
      <c r="F7" s="736"/>
      <c r="G7" s="736"/>
      <c r="H7" s="736"/>
      <c r="I7" s="736"/>
      <c r="J7" s="736"/>
      <c r="K7" s="736"/>
      <c r="L7" s="736"/>
      <c r="M7" s="744"/>
      <c r="N7" s="736"/>
      <c r="P7" s="1039"/>
      <c r="Q7" s="743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1"/>
      <c r="C8" s="745"/>
      <c r="D8" s="736"/>
      <c r="E8" s="736"/>
      <c r="F8" s="736"/>
      <c r="G8" s="736"/>
      <c r="H8" s="736"/>
      <c r="I8" s="736"/>
      <c r="J8" s="736"/>
      <c r="K8" s="736"/>
      <c r="L8" s="736"/>
      <c r="M8" s="744"/>
      <c r="N8" s="736"/>
      <c r="O8" s="746"/>
      <c r="P8" s="746"/>
      <c r="Q8" s="743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50" customFormat="1" ht="30" customHeight="1">
      <c r="B9" s="747"/>
      <c r="C9" s="748" t="s">
        <v>2</v>
      </c>
      <c r="D9" s="1041" t="str">
        <f>Entidad</f>
        <v>Gestión Insular de Aguas de Tenerife, S.A. (GESTA)</v>
      </c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1041"/>
      <c r="P9" s="725"/>
      <c r="Q9" s="749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41"/>
      <c r="C10" s="736"/>
      <c r="D10" s="736"/>
      <c r="E10" s="736"/>
      <c r="F10" s="736"/>
      <c r="G10" s="736"/>
      <c r="H10" s="736"/>
      <c r="I10" s="744"/>
      <c r="J10" s="736"/>
      <c r="K10" s="736"/>
      <c r="L10" s="736"/>
      <c r="M10" s="736"/>
      <c r="N10" s="736"/>
      <c r="O10" s="736"/>
      <c r="P10" s="736"/>
      <c r="Q10" s="743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4" customFormat="1" ht="30" customHeight="1">
      <c r="B11" s="751"/>
      <c r="C11" s="752" t="s">
        <v>83</v>
      </c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2"/>
      <c r="P11" s="752"/>
      <c r="Q11" s="753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41"/>
      <c r="C12" s="736"/>
      <c r="D12" s="736"/>
      <c r="E12" s="736"/>
      <c r="F12" s="736"/>
      <c r="G12" s="736"/>
      <c r="H12" s="736"/>
      <c r="I12" s="736"/>
      <c r="J12" s="736"/>
      <c r="K12" s="736"/>
      <c r="L12" s="736"/>
      <c r="M12" s="736"/>
      <c r="N12" s="736"/>
      <c r="O12" s="736"/>
      <c r="P12" s="736"/>
      <c r="Q12" s="743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41"/>
      <c r="C13" s="755" t="s">
        <v>692</v>
      </c>
      <c r="D13" s="755"/>
      <c r="E13" s="755"/>
      <c r="F13" s="755"/>
      <c r="G13" s="755"/>
      <c r="H13" s="755"/>
      <c r="I13" s="755"/>
      <c r="J13" s="755"/>
      <c r="K13" s="755"/>
      <c r="L13" s="755"/>
      <c r="M13" s="755"/>
      <c r="N13" s="755"/>
      <c r="O13" s="755"/>
      <c r="P13" s="755"/>
      <c r="Q13" s="743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41"/>
      <c r="C14" s="745"/>
      <c r="D14" s="745"/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3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41"/>
      <c r="C15" s="736"/>
      <c r="D15" s="736"/>
      <c r="E15" s="736"/>
      <c r="F15" s="1044" t="s">
        <v>691</v>
      </c>
      <c r="G15" s="1044"/>
      <c r="H15" s="1044"/>
      <c r="I15" s="756">
        <f>ejercicio-2</f>
        <v>2016</v>
      </c>
      <c r="J15" s="757"/>
      <c r="K15" s="736"/>
      <c r="L15" s="1044" t="s">
        <v>690</v>
      </c>
      <c r="M15" s="1044"/>
      <c r="N15" s="1044"/>
      <c r="O15" s="758">
        <f>ejercicio-1</f>
        <v>2017</v>
      </c>
      <c r="P15" s="759"/>
      <c r="Q15" s="743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7" customFormat="1" ht="51" customHeight="1">
      <c r="B16" s="760"/>
      <c r="C16" s="761" t="s">
        <v>20</v>
      </c>
      <c r="D16" s="761"/>
      <c r="E16" s="762" t="s">
        <v>21</v>
      </c>
      <c r="F16" s="762" t="s">
        <v>22</v>
      </c>
      <c r="G16" s="762" t="s">
        <v>687</v>
      </c>
      <c r="H16" s="763" t="s">
        <v>686</v>
      </c>
      <c r="I16" s="762" t="s">
        <v>694</v>
      </c>
      <c r="J16" s="762" t="s">
        <v>695</v>
      </c>
      <c r="K16" s="762"/>
      <c r="L16" s="764" t="s">
        <v>697</v>
      </c>
      <c r="M16" s="764" t="s">
        <v>24</v>
      </c>
      <c r="N16" s="764" t="s">
        <v>698</v>
      </c>
      <c r="O16" s="764" t="s">
        <v>26</v>
      </c>
      <c r="P16" s="765" t="s">
        <v>523</v>
      </c>
      <c r="Q16" s="766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41"/>
      <c r="C17" s="435" t="s">
        <v>826</v>
      </c>
      <c r="D17" s="435"/>
      <c r="E17" s="778" t="s">
        <v>827</v>
      </c>
      <c r="F17" s="436">
        <v>1</v>
      </c>
      <c r="G17" s="776">
        <v>6000</v>
      </c>
      <c r="H17" s="1023" t="s">
        <v>828</v>
      </c>
      <c r="I17" s="438">
        <v>10</v>
      </c>
      <c r="J17" s="438"/>
      <c r="K17" s="438"/>
      <c r="L17" s="438">
        <v>0</v>
      </c>
      <c r="M17" s="438">
        <v>0</v>
      </c>
      <c r="N17" s="438">
        <v>0</v>
      </c>
      <c r="O17" s="438">
        <v>0</v>
      </c>
      <c r="P17" s="438"/>
      <c r="Q17" s="743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41"/>
      <c r="C18" s="439"/>
      <c r="D18" s="439"/>
      <c r="E18" s="779"/>
      <c r="F18" s="440"/>
      <c r="G18" s="777"/>
      <c r="H18" s="777"/>
      <c r="I18" s="442"/>
      <c r="J18" s="442"/>
      <c r="K18" s="442"/>
      <c r="L18" s="442"/>
      <c r="M18" s="442"/>
      <c r="N18" s="442"/>
      <c r="O18" s="442"/>
      <c r="P18" s="442"/>
      <c r="Q18" s="743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41"/>
      <c r="C19" s="439"/>
      <c r="D19" s="439"/>
      <c r="E19" s="779"/>
      <c r="F19" s="440"/>
      <c r="G19" s="777"/>
      <c r="H19" s="777"/>
      <c r="I19" s="442"/>
      <c r="J19" s="442"/>
      <c r="K19" s="442"/>
      <c r="L19" s="442"/>
      <c r="M19" s="442"/>
      <c r="N19" s="442"/>
      <c r="O19" s="442"/>
      <c r="P19" s="442"/>
      <c r="Q19" s="743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41"/>
      <c r="C20" s="439"/>
      <c r="D20" s="439"/>
      <c r="E20" s="779"/>
      <c r="F20" s="440"/>
      <c r="G20" s="777"/>
      <c r="H20" s="777"/>
      <c r="I20" s="442"/>
      <c r="J20" s="442"/>
      <c r="K20" s="442"/>
      <c r="L20" s="442"/>
      <c r="M20" s="442"/>
      <c r="N20" s="442"/>
      <c r="O20" s="442"/>
      <c r="P20" s="442"/>
      <c r="Q20" s="743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41"/>
      <c r="C21" s="439"/>
      <c r="D21" s="439"/>
      <c r="E21" s="779"/>
      <c r="F21" s="440"/>
      <c r="G21" s="777"/>
      <c r="H21" s="777"/>
      <c r="I21" s="442"/>
      <c r="J21" s="442"/>
      <c r="K21" s="442"/>
      <c r="L21" s="442"/>
      <c r="M21" s="442"/>
      <c r="N21" s="442"/>
      <c r="O21" s="442"/>
      <c r="P21" s="442"/>
      <c r="Q21" s="743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41"/>
      <c r="C22" s="439"/>
      <c r="D22" s="439"/>
      <c r="E22" s="779"/>
      <c r="F22" s="440"/>
      <c r="G22" s="777"/>
      <c r="H22" s="777"/>
      <c r="I22" s="442"/>
      <c r="J22" s="442"/>
      <c r="K22" s="442"/>
      <c r="L22" s="442"/>
      <c r="M22" s="442"/>
      <c r="N22" s="442"/>
      <c r="O22" s="442"/>
      <c r="P22" s="442"/>
      <c r="Q22" s="743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41"/>
      <c r="C23" s="439"/>
      <c r="D23" s="439"/>
      <c r="E23" s="779"/>
      <c r="F23" s="440"/>
      <c r="G23" s="777"/>
      <c r="H23" s="777"/>
      <c r="I23" s="442"/>
      <c r="J23" s="442"/>
      <c r="K23" s="442"/>
      <c r="L23" s="442"/>
      <c r="M23" s="442"/>
      <c r="N23" s="442"/>
      <c r="O23" s="442"/>
      <c r="P23" s="442"/>
      <c r="Q23" s="743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41"/>
      <c r="C24" s="439"/>
      <c r="D24" s="439"/>
      <c r="E24" s="779"/>
      <c r="F24" s="440"/>
      <c r="G24" s="777"/>
      <c r="H24" s="777"/>
      <c r="I24" s="442"/>
      <c r="J24" s="442"/>
      <c r="K24" s="442"/>
      <c r="L24" s="442"/>
      <c r="M24" s="442"/>
      <c r="N24" s="442"/>
      <c r="O24" s="442"/>
      <c r="P24" s="442"/>
      <c r="Q24" s="743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41"/>
      <c r="C25" s="439"/>
      <c r="D25" s="439"/>
      <c r="E25" s="779"/>
      <c r="F25" s="440"/>
      <c r="G25" s="777"/>
      <c r="H25" s="777"/>
      <c r="I25" s="442"/>
      <c r="J25" s="442"/>
      <c r="K25" s="442"/>
      <c r="L25" s="442"/>
      <c r="M25" s="442"/>
      <c r="N25" s="442"/>
      <c r="O25" s="442"/>
      <c r="P25" s="442"/>
      <c r="Q25" s="743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41"/>
      <c r="C26" s="439"/>
      <c r="D26" s="439"/>
      <c r="E26" s="779"/>
      <c r="F26" s="440"/>
      <c r="G26" s="777"/>
      <c r="H26" s="777"/>
      <c r="I26" s="442"/>
      <c r="J26" s="442"/>
      <c r="K26" s="442"/>
      <c r="L26" s="442"/>
      <c r="M26" s="442"/>
      <c r="N26" s="442"/>
      <c r="O26" s="442"/>
      <c r="P26" s="442"/>
      <c r="Q26" s="743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41"/>
      <c r="C27" s="439"/>
      <c r="D27" s="439"/>
      <c r="E27" s="779"/>
      <c r="F27" s="440"/>
      <c r="G27" s="777"/>
      <c r="H27" s="777"/>
      <c r="I27" s="442"/>
      <c r="J27" s="442"/>
      <c r="K27" s="442"/>
      <c r="L27" s="442"/>
      <c r="M27" s="442"/>
      <c r="N27" s="442"/>
      <c r="O27" s="442"/>
      <c r="P27" s="442"/>
      <c r="Q27" s="743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41"/>
      <c r="C28" s="736"/>
      <c r="D28" s="736"/>
      <c r="E28" s="736"/>
      <c r="F28" s="736"/>
      <c r="G28" s="736"/>
      <c r="H28" s="736"/>
      <c r="I28" s="736"/>
      <c r="J28" s="736"/>
      <c r="K28" s="736"/>
      <c r="L28" s="736"/>
      <c r="M28" s="736"/>
      <c r="N28" s="736"/>
      <c r="O28" s="736"/>
      <c r="P28" s="736"/>
      <c r="Q28" s="743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41"/>
      <c r="C29" s="755" t="s">
        <v>27</v>
      </c>
      <c r="D29" s="755"/>
      <c r="E29" s="755"/>
      <c r="F29" s="755"/>
      <c r="G29" s="755"/>
      <c r="H29" s="755"/>
      <c r="I29" s="755"/>
      <c r="J29" s="755"/>
      <c r="K29" s="755"/>
      <c r="L29" s="755"/>
      <c r="M29" s="755"/>
      <c r="N29" s="755"/>
      <c r="O29" s="755"/>
      <c r="P29" s="755"/>
      <c r="Q29" s="743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41"/>
      <c r="C30" s="745"/>
      <c r="D30" s="745"/>
      <c r="E30" s="745"/>
      <c r="F30" s="745"/>
      <c r="G30" s="745"/>
      <c r="H30" s="745"/>
      <c r="I30" s="745"/>
      <c r="J30" s="745"/>
      <c r="K30" s="745"/>
      <c r="L30" s="745"/>
      <c r="M30" s="745"/>
      <c r="N30" s="745"/>
      <c r="O30" s="745"/>
      <c r="P30" s="745"/>
      <c r="Q30" s="743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41"/>
      <c r="C31" s="736"/>
      <c r="D31" s="736"/>
      <c r="E31" s="736"/>
      <c r="F31" s="1044" t="s">
        <v>691</v>
      </c>
      <c r="G31" s="1044"/>
      <c r="H31" s="1044"/>
      <c r="I31" s="756">
        <f>ejercicio-2</f>
        <v>2016</v>
      </c>
      <c r="J31" s="757"/>
      <c r="K31" s="736"/>
      <c r="L31" s="1045" t="s">
        <v>690</v>
      </c>
      <c r="M31" s="1045"/>
      <c r="N31" s="1045"/>
      <c r="O31" s="768">
        <f>ejercicio-1</f>
        <v>2017</v>
      </c>
      <c r="Q31" s="743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41"/>
      <c r="C32" s="761" t="s">
        <v>20</v>
      </c>
      <c r="D32" s="761"/>
      <c r="E32" s="762" t="s">
        <v>21</v>
      </c>
      <c r="F32" s="762" t="s">
        <v>22</v>
      </c>
      <c r="G32" s="762" t="s">
        <v>687</v>
      </c>
      <c r="H32" s="763" t="s">
        <v>686</v>
      </c>
      <c r="I32" s="762" t="s">
        <v>694</v>
      </c>
      <c r="J32" s="762" t="s">
        <v>28</v>
      </c>
      <c r="K32" s="762"/>
      <c r="L32" s="762" t="s">
        <v>23</v>
      </c>
      <c r="M32" s="762" t="s">
        <v>24</v>
      </c>
      <c r="N32" s="762" t="s">
        <v>25</v>
      </c>
      <c r="O32" s="762" t="s">
        <v>26</v>
      </c>
      <c r="P32" s="765" t="s">
        <v>523</v>
      </c>
      <c r="Q32" s="743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41"/>
      <c r="C33" s="435"/>
      <c r="D33" s="435"/>
      <c r="E33" s="778"/>
      <c r="F33" s="545"/>
      <c r="G33" s="776"/>
      <c r="H33" s="437"/>
      <c r="I33" s="438"/>
      <c r="J33" s="438"/>
      <c r="K33" s="438"/>
      <c r="L33" s="438"/>
      <c r="M33" s="438"/>
      <c r="N33" s="438"/>
      <c r="O33" s="438"/>
      <c r="P33" s="438"/>
      <c r="Q33" s="743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41"/>
      <c r="C34" s="439"/>
      <c r="D34" s="439"/>
      <c r="E34" s="779"/>
      <c r="F34" s="546"/>
      <c r="G34" s="777"/>
      <c r="H34" s="441"/>
      <c r="I34" s="442"/>
      <c r="J34" s="442"/>
      <c r="K34" s="442"/>
      <c r="L34" s="442"/>
      <c r="M34" s="442"/>
      <c r="N34" s="442"/>
      <c r="O34" s="442"/>
      <c r="P34" s="442"/>
      <c r="Q34" s="743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41"/>
      <c r="C35" s="439"/>
      <c r="D35" s="439"/>
      <c r="E35" s="779"/>
      <c r="F35" s="546"/>
      <c r="G35" s="777"/>
      <c r="H35" s="441"/>
      <c r="I35" s="442"/>
      <c r="J35" s="442"/>
      <c r="K35" s="442"/>
      <c r="L35" s="442"/>
      <c r="M35" s="442"/>
      <c r="N35" s="442"/>
      <c r="O35" s="442"/>
      <c r="P35" s="442"/>
      <c r="Q35" s="743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41"/>
      <c r="C36" s="439"/>
      <c r="D36" s="439"/>
      <c r="E36" s="779"/>
      <c r="F36" s="546"/>
      <c r="G36" s="777"/>
      <c r="H36" s="441"/>
      <c r="I36" s="442"/>
      <c r="J36" s="442"/>
      <c r="K36" s="442"/>
      <c r="L36" s="442"/>
      <c r="M36" s="442"/>
      <c r="N36" s="442"/>
      <c r="O36" s="442"/>
      <c r="P36" s="442"/>
      <c r="Q36" s="743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41"/>
      <c r="C37" s="439"/>
      <c r="D37" s="439"/>
      <c r="E37" s="779"/>
      <c r="F37" s="546"/>
      <c r="G37" s="777"/>
      <c r="H37" s="441"/>
      <c r="I37" s="442"/>
      <c r="J37" s="442"/>
      <c r="K37" s="442"/>
      <c r="L37" s="442"/>
      <c r="M37" s="442"/>
      <c r="N37" s="442"/>
      <c r="O37" s="442"/>
      <c r="P37" s="442"/>
      <c r="Q37" s="743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41"/>
      <c r="C38" s="439"/>
      <c r="D38" s="439"/>
      <c r="E38" s="779"/>
      <c r="F38" s="546"/>
      <c r="G38" s="777"/>
      <c r="H38" s="441"/>
      <c r="I38" s="442"/>
      <c r="J38" s="442"/>
      <c r="K38" s="442"/>
      <c r="L38" s="442"/>
      <c r="M38" s="442"/>
      <c r="N38" s="442"/>
      <c r="O38" s="442"/>
      <c r="P38" s="442"/>
      <c r="Q38" s="743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41"/>
      <c r="C39" s="439"/>
      <c r="D39" s="439"/>
      <c r="E39" s="779"/>
      <c r="F39" s="546"/>
      <c r="G39" s="777"/>
      <c r="H39" s="441"/>
      <c r="I39" s="442"/>
      <c r="J39" s="442"/>
      <c r="K39" s="442"/>
      <c r="L39" s="442"/>
      <c r="M39" s="442"/>
      <c r="N39" s="442"/>
      <c r="O39" s="442"/>
      <c r="P39" s="442"/>
      <c r="Q39" s="743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41"/>
      <c r="C40" s="439"/>
      <c r="D40" s="439"/>
      <c r="E40" s="779"/>
      <c r="F40" s="546"/>
      <c r="G40" s="777"/>
      <c r="H40" s="441"/>
      <c r="I40" s="442"/>
      <c r="J40" s="442"/>
      <c r="K40" s="442"/>
      <c r="L40" s="442"/>
      <c r="M40" s="442"/>
      <c r="N40" s="442"/>
      <c r="O40" s="442"/>
      <c r="P40" s="442"/>
      <c r="Q40" s="743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41"/>
      <c r="C41" s="439"/>
      <c r="D41" s="439"/>
      <c r="E41" s="779"/>
      <c r="F41" s="546"/>
      <c r="G41" s="777"/>
      <c r="H41" s="441"/>
      <c r="I41" s="442"/>
      <c r="J41" s="442"/>
      <c r="K41" s="442"/>
      <c r="L41" s="442"/>
      <c r="M41" s="442"/>
      <c r="N41" s="442"/>
      <c r="O41" s="442"/>
      <c r="P41" s="442"/>
      <c r="Q41" s="743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41"/>
      <c r="C42" s="439"/>
      <c r="D42" s="439"/>
      <c r="E42" s="779"/>
      <c r="F42" s="546"/>
      <c r="G42" s="777"/>
      <c r="H42" s="441"/>
      <c r="I42" s="442"/>
      <c r="J42" s="442"/>
      <c r="K42" s="442"/>
      <c r="L42" s="442"/>
      <c r="M42" s="442"/>
      <c r="N42" s="442"/>
      <c r="O42" s="442"/>
      <c r="P42" s="442"/>
      <c r="Q42" s="743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41"/>
      <c r="C43" s="439"/>
      <c r="D43" s="439"/>
      <c r="E43" s="779"/>
      <c r="F43" s="546"/>
      <c r="G43" s="777"/>
      <c r="H43" s="441"/>
      <c r="I43" s="442"/>
      <c r="J43" s="442"/>
      <c r="K43" s="442"/>
      <c r="L43" s="442"/>
      <c r="M43" s="442"/>
      <c r="N43" s="442"/>
      <c r="O43" s="442"/>
      <c r="P43" s="442"/>
      <c r="Q43" s="743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41"/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  <c r="P44" s="736"/>
      <c r="Q44" s="743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41"/>
      <c r="C45" s="755" t="s">
        <v>29</v>
      </c>
      <c r="D45" s="755"/>
      <c r="E45" s="755"/>
      <c r="F45" s="755"/>
      <c r="G45" s="755"/>
      <c r="H45" s="755"/>
      <c r="I45" s="755"/>
      <c r="J45" s="755"/>
      <c r="K45" s="755"/>
      <c r="L45" s="755"/>
      <c r="M45" s="755"/>
      <c r="N45" s="755"/>
      <c r="O45" s="755"/>
      <c r="P45" s="742"/>
      <c r="Q45" s="743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41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742"/>
      <c r="P46" s="742"/>
      <c r="Q46" s="743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41"/>
      <c r="C47" s="1042" t="s">
        <v>30</v>
      </c>
      <c r="D47" s="1042"/>
      <c r="E47" s="761"/>
      <c r="F47" s="762"/>
      <c r="G47" s="769"/>
      <c r="H47" s="769"/>
      <c r="I47" s="769"/>
      <c r="J47" s="769"/>
      <c r="K47" s="769"/>
      <c r="L47" s="769"/>
      <c r="M47" s="769"/>
      <c r="N47" s="769"/>
      <c r="O47" s="769"/>
      <c r="P47" s="769"/>
      <c r="Q47" s="743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41"/>
      <c r="C48" s="1043" t="s">
        <v>829</v>
      </c>
      <c r="D48" s="1043"/>
      <c r="E48" s="1043"/>
      <c r="F48" s="1043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43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41"/>
      <c r="C49" s="628"/>
      <c r="D49" s="628"/>
      <c r="E49" s="628"/>
      <c r="F49" s="628"/>
      <c r="G49" s="736"/>
      <c r="H49" s="736"/>
      <c r="I49" s="736"/>
      <c r="J49" s="736"/>
      <c r="K49" s="736"/>
      <c r="L49" s="736"/>
      <c r="M49" s="736"/>
      <c r="N49" s="736"/>
      <c r="O49" s="736"/>
      <c r="P49" s="736"/>
      <c r="Q49" s="743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41"/>
      <c r="C50" s="628"/>
      <c r="D50" s="628"/>
      <c r="E50" s="628"/>
      <c r="F50" s="628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43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41"/>
      <c r="C51" s="698" t="s">
        <v>354</v>
      </c>
      <c r="D51" s="628"/>
      <c r="E51" s="628"/>
      <c r="F51" s="628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43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41"/>
      <c r="C52" s="699" t="s">
        <v>693</v>
      </c>
      <c r="D52" s="628"/>
      <c r="E52" s="628"/>
      <c r="F52" s="628"/>
      <c r="G52" s="736"/>
      <c r="H52" s="736"/>
      <c r="I52" s="736"/>
      <c r="J52" s="736"/>
      <c r="K52" s="736"/>
      <c r="L52" s="736"/>
      <c r="M52" s="736"/>
      <c r="N52" s="736"/>
      <c r="O52" s="736"/>
      <c r="P52" s="736"/>
      <c r="Q52" s="743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41"/>
      <c r="C53" s="770" t="s">
        <v>696</v>
      </c>
      <c r="D53" s="628"/>
      <c r="E53" s="628"/>
      <c r="F53" s="628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43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41"/>
      <c r="C54" s="770" t="s">
        <v>764</v>
      </c>
      <c r="D54" s="628"/>
      <c r="E54" s="628"/>
      <c r="F54" s="628"/>
      <c r="G54" s="736"/>
      <c r="H54" s="736"/>
      <c r="I54" s="736"/>
      <c r="J54" s="736"/>
      <c r="K54" s="736"/>
      <c r="L54" s="736"/>
      <c r="M54" s="736"/>
      <c r="N54" s="736"/>
      <c r="O54" s="736"/>
      <c r="P54" s="736"/>
      <c r="Q54" s="743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71"/>
      <c r="C55" s="1040"/>
      <c r="D55" s="1040"/>
      <c r="E55" s="1040"/>
      <c r="F55" s="1040"/>
      <c r="G55" s="772"/>
      <c r="H55" s="772"/>
      <c r="I55" s="772"/>
      <c r="J55" s="772"/>
      <c r="K55" s="772"/>
      <c r="L55" s="772"/>
      <c r="M55" s="772"/>
      <c r="N55" s="772"/>
      <c r="O55" s="772"/>
      <c r="P55" s="772"/>
      <c r="Q55" s="773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</row>
    <row r="57" spans="2:32" ht="12.75">
      <c r="C57" s="774" t="s">
        <v>77</v>
      </c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P57" s="705" t="s">
        <v>84</v>
      </c>
    </row>
    <row r="58" spans="2:32" ht="12.75">
      <c r="C58" s="775" t="s">
        <v>78</v>
      </c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</row>
    <row r="59" spans="2:32" ht="12.75">
      <c r="C59" s="775" t="s">
        <v>79</v>
      </c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</row>
    <row r="60" spans="2:32" ht="12.75">
      <c r="C60" s="775" t="s">
        <v>80</v>
      </c>
      <c r="D60" s="736"/>
      <c r="E60" s="736"/>
      <c r="F60" s="736"/>
      <c r="G60" s="736"/>
      <c r="H60" s="736"/>
      <c r="I60" s="736"/>
      <c r="J60" s="736"/>
      <c r="K60" s="736"/>
      <c r="L60" s="736"/>
      <c r="M60" s="736"/>
      <c r="N60" s="736"/>
      <c r="O60" s="736"/>
      <c r="P60" s="736"/>
    </row>
    <row r="61" spans="2:32" ht="12.75">
      <c r="C61" s="775" t="s">
        <v>81</v>
      </c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</row>
    <row r="62" spans="2:32" ht="22.9" customHeight="1">
      <c r="C62" s="736"/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6"/>
      <c r="O62" s="736"/>
      <c r="P62" s="736"/>
    </row>
    <row r="63" spans="2:32" ht="22.9" customHeight="1">
      <c r="C63" s="736"/>
      <c r="D63" s="736"/>
      <c r="E63" s="736"/>
      <c r="F63" s="736"/>
      <c r="G63" s="736"/>
      <c r="H63" s="736"/>
      <c r="I63" s="736"/>
      <c r="J63" s="736"/>
      <c r="K63" s="736"/>
      <c r="L63" s="736"/>
      <c r="M63" s="736"/>
      <c r="N63" s="736"/>
      <c r="O63" s="736"/>
      <c r="P63" s="736"/>
    </row>
    <row r="64" spans="2:32" ht="22.9" customHeight="1"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736"/>
      <c r="O64" s="736"/>
      <c r="P64" s="736"/>
    </row>
    <row r="65" spans="3:16" ht="22.9" customHeight="1"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36"/>
      <c r="O65" s="736"/>
      <c r="P65" s="736"/>
    </row>
    <row r="66" spans="3:16" ht="22.9" customHeight="1">
      <c r="F66" s="736"/>
      <c r="G66" s="736"/>
      <c r="H66" s="736"/>
      <c r="I66" s="736"/>
      <c r="J66" s="736"/>
      <c r="K66" s="736"/>
      <c r="L66" s="736"/>
      <c r="M66" s="736"/>
      <c r="N66" s="736"/>
      <c r="O66" s="736"/>
      <c r="P66" s="736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70" zoomScaleNormal="70" workbookViewId="0">
      <selection activeCell="E60" sqref="E60"/>
    </sheetView>
  </sheetViews>
  <sheetFormatPr baseColWidth="10" defaultColWidth="10.77734375" defaultRowHeight="22.9" customHeight="1"/>
  <cols>
    <col min="1" max="2" width="3.21875" style="735" customWidth="1"/>
    <col min="3" max="4" width="14.77734375" style="735" customWidth="1"/>
    <col min="5" max="6" width="15.44140625" style="735" customWidth="1"/>
    <col min="7" max="10" width="14.77734375" style="735" customWidth="1"/>
    <col min="11" max="11" width="16.44140625" style="735" customWidth="1"/>
    <col min="12" max="12" width="16.21875" style="735" customWidth="1"/>
    <col min="13" max="13" width="60.77734375" style="735" customWidth="1"/>
    <col min="14" max="14" width="16.5546875" style="735" customWidth="1"/>
    <col min="15" max="15" width="4" style="735" customWidth="1"/>
    <col min="16" max="16384" width="10.77734375" style="735"/>
  </cols>
  <sheetData>
    <row r="1" spans="2:30" ht="22.9" customHeight="1">
      <c r="D1" s="736"/>
      <c r="E1" s="736"/>
    </row>
    <row r="2" spans="2:30" ht="22.9" customHeight="1">
      <c r="D2" s="737" t="s">
        <v>31</v>
      </c>
      <c r="E2" s="737"/>
    </row>
    <row r="3" spans="2:30" ht="22.9" customHeight="1">
      <c r="D3" s="737" t="s">
        <v>32</v>
      </c>
      <c r="E3" s="737"/>
    </row>
    <row r="4" spans="2:30" ht="22.9" customHeight="1" thickBot="1"/>
    <row r="5" spans="2:30" ht="9" customHeight="1">
      <c r="B5" s="738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40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1"/>
      <c r="C6" s="742" t="s">
        <v>0</v>
      </c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1039">
        <f>ejercicio</f>
        <v>2018</v>
      </c>
      <c r="O6" s="743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1"/>
      <c r="C7" s="742" t="s">
        <v>1</v>
      </c>
      <c r="D7" s="736"/>
      <c r="E7" s="736"/>
      <c r="F7" s="736"/>
      <c r="G7" s="736"/>
      <c r="H7" s="736"/>
      <c r="I7" s="736"/>
      <c r="J7" s="736"/>
      <c r="K7" s="736"/>
      <c r="L7" s="736"/>
      <c r="M7" s="736"/>
      <c r="N7" s="1039"/>
      <c r="O7" s="743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1"/>
      <c r="C8" s="745"/>
      <c r="D8" s="736"/>
      <c r="E8" s="736"/>
      <c r="F8" s="736"/>
      <c r="G8" s="736"/>
      <c r="H8" s="736"/>
      <c r="I8" s="736"/>
      <c r="J8" s="736"/>
      <c r="K8" s="736"/>
      <c r="L8" s="736"/>
      <c r="M8" s="736"/>
      <c r="N8" s="746"/>
      <c r="O8" s="743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50" customFormat="1" ht="30" customHeight="1">
      <c r="B9" s="747"/>
      <c r="C9" s="748" t="s">
        <v>2</v>
      </c>
      <c r="D9" s="1041" t="str">
        <f>Entidad</f>
        <v>Gestión Insular de Aguas de Tenerife, S.A. (GESTA)</v>
      </c>
      <c r="E9" s="1041"/>
      <c r="F9" s="1041"/>
      <c r="G9" s="1041"/>
      <c r="H9" s="1041"/>
      <c r="I9" s="1041"/>
      <c r="J9" s="1041"/>
      <c r="K9" s="1041"/>
      <c r="L9" s="1041"/>
      <c r="M9" s="1041"/>
      <c r="N9" s="725"/>
      <c r="O9" s="749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41"/>
      <c r="C10" s="736"/>
      <c r="D10" s="736"/>
      <c r="E10" s="736"/>
      <c r="F10" s="736"/>
      <c r="G10" s="736"/>
      <c r="H10" s="736"/>
      <c r="I10" s="736"/>
      <c r="J10" s="744"/>
      <c r="K10" s="736"/>
      <c r="L10" s="736"/>
      <c r="M10" s="736"/>
      <c r="N10" s="736"/>
      <c r="O10" s="743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4" customFormat="1" ht="30" customHeight="1">
      <c r="B11" s="751"/>
      <c r="C11" s="752" t="s">
        <v>706</v>
      </c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3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3" customFormat="1" ht="22.9" customHeight="1">
      <c r="B12" s="780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2"/>
      <c r="Q12" s="784"/>
      <c r="R12" s="785"/>
      <c r="S12" s="785"/>
      <c r="T12" s="785"/>
      <c r="U12" s="785"/>
      <c r="V12" s="785"/>
      <c r="W12" s="785"/>
      <c r="X12" s="785"/>
      <c r="Y12" s="785"/>
      <c r="Z12" s="785"/>
      <c r="AA12" s="785"/>
      <c r="AB12" s="785"/>
      <c r="AC12" s="785"/>
      <c r="AD12" s="786"/>
    </row>
    <row r="13" spans="2:30" s="783" customFormat="1" ht="51" customHeight="1">
      <c r="B13" s="780"/>
      <c r="C13" s="799" t="s">
        <v>700</v>
      </c>
      <c r="D13" s="799" t="s">
        <v>699</v>
      </c>
      <c r="E13" s="1048" t="s">
        <v>703</v>
      </c>
      <c r="F13" s="1049"/>
      <c r="G13" s="799" t="s">
        <v>686</v>
      </c>
      <c r="H13" s="799" t="s">
        <v>701</v>
      </c>
      <c r="I13" s="799" t="s">
        <v>702</v>
      </c>
      <c r="J13" s="799" t="s">
        <v>705</v>
      </c>
      <c r="K13" s="799" t="s">
        <v>708</v>
      </c>
      <c r="L13" s="799" t="s">
        <v>704</v>
      </c>
      <c r="M13" s="1048" t="s">
        <v>711</v>
      </c>
      <c r="N13" s="1049"/>
      <c r="O13" s="782"/>
      <c r="Q13" s="788"/>
      <c r="R13" s="789"/>
      <c r="S13" s="789"/>
      <c r="T13" s="789"/>
      <c r="U13" s="789"/>
      <c r="V13" s="789"/>
      <c r="W13" s="789"/>
      <c r="X13" s="789"/>
      <c r="Y13" s="789"/>
      <c r="Z13" s="789"/>
      <c r="AA13" s="789"/>
      <c r="AB13" s="789"/>
      <c r="AC13" s="789"/>
      <c r="AD13" s="790"/>
    </row>
    <row r="14" spans="2:30" s="783" customFormat="1" ht="22.9" customHeight="1">
      <c r="B14" s="780"/>
      <c r="C14" s="810">
        <v>41499</v>
      </c>
      <c r="D14" s="811">
        <v>6000</v>
      </c>
      <c r="E14" s="812">
        <v>1</v>
      </c>
      <c r="F14" s="813">
        <v>6000</v>
      </c>
      <c r="G14" s="1024" t="s">
        <v>828</v>
      </c>
      <c r="H14" s="814">
        <v>10</v>
      </c>
      <c r="I14" s="814">
        <v>0</v>
      </c>
      <c r="J14" s="800">
        <f>(D14*(H14+I14))</f>
        <v>60000</v>
      </c>
      <c r="K14" s="835"/>
      <c r="L14" s="836"/>
      <c r="M14" s="1050" t="s">
        <v>830</v>
      </c>
      <c r="N14" s="1051"/>
      <c r="O14" s="782"/>
      <c r="Q14" s="788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90"/>
    </row>
    <row r="15" spans="2:30" s="793" customFormat="1" ht="22.9" customHeight="1">
      <c r="B15" s="791"/>
      <c r="C15" s="815"/>
      <c r="D15" s="816"/>
      <c r="E15" s="817"/>
      <c r="F15" s="818"/>
      <c r="G15" s="819"/>
      <c r="H15" s="820"/>
      <c r="I15" s="820"/>
      <c r="J15" s="801">
        <f t="shared" ref="J15:J43" si="0">(D15*(H15+I15))</f>
        <v>0</v>
      </c>
      <c r="K15" s="837"/>
      <c r="L15" s="838"/>
      <c r="M15" s="1046"/>
      <c r="N15" s="1047"/>
      <c r="O15" s="792"/>
      <c r="Q15" s="788"/>
      <c r="R15" s="789"/>
      <c r="S15" s="789"/>
      <c r="T15" s="789"/>
      <c r="U15" s="789"/>
      <c r="V15" s="789"/>
      <c r="W15" s="789"/>
      <c r="X15" s="789"/>
      <c r="Y15" s="789"/>
      <c r="Z15" s="789"/>
      <c r="AA15" s="789"/>
      <c r="AB15" s="789"/>
      <c r="AC15" s="789"/>
      <c r="AD15" s="790"/>
    </row>
    <row r="16" spans="2:30" s="783" customFormat="1" ht="22.9" customHeight="1">
      <c r="B16" s="780"/>
      <c r="C16" s="821"/>
      <c r="D16" s="822"/>
      <c r="E16" s="823"/>
      <c r="F16" s="824"/>
      <c r="G16" s="825"/>
      <c r="H16" s="826"/>
      <c r="I16" s="826"/>
      <c r="J16" s="801">
        <f t="shared" si="0"/>
        <v>0</v>
      </c>
      <c r="K16" s="839"/>
      <c r="L16" s="840"/>
      <c r="M16" s="1046"/>
      <c r="N16" s="1047"/>
      <c r="O16" s="782"/>
      <c r="Q16" s="788"/>
      <c r="R16" s="789"/>
      <c r="S16" s="789"/>
      <c r="T16" s="789"/>
      <c r="U16" s="789"/>
      <c r="V16" s="789"/>
      <c r="W16" s="789"/>
      <c r="X16" s="789"/>
      <c r="Y16" s="789"/>
      <c r="Z16" s="789"/>
      <c r="AA16" s="789"/>
      <c r="AB16" s="789"/>
      <c r="AC16" s="789"/>
      <c r="AD16" s="790"/>
    </row>
    <row r="17" spans="2:30" s="783" customFormat="1" ht="22.9" customHeight="1">
      <c r="B17" s="780"/>
      <c r="C17" s="821"/>
      <c r="D17" s="822"/>
      <c r="E17" s="823"/>
      <c r="F17" s="824"/>
      <c r="G17" s="825"/>
      <c r="H17" s="826"/>
      <c r="I17" s="826"/>
      <c r="J17" s="801">
        <f t="shared" si="0"/>
        <v>0</v>
      </c>
      <c r="K17" s="839"/>
      <c r="L17" s="840"/>
      <c r="M17" s="1046"/>
      <c r="N17" s="1047"/>
      <c r="O17" s="782"/>
      <c r="Q17" s="788"/>
      <c r="R17" s="789"/>
      <c r="S17" s="789"/>
      <c r="T17" s="789"/>
      <c r="U17" s="789"/>
      <c r="V17" s="789"/>
      <c r="W17" s="789"/>
      <c r="X17" s="789"/>
      <c r="Y17" s="789"/>
      <c r="Z17" s="789"/>
      <c r="AA17" s="789"/>
      <c r="AB17" s="789"/>
      <c r="AC17" s="789"/>
      <c r="AD17" s="790"/>
    </row>
    <row r="18" spans="2:30" s="783" customFormat="1" ht="22.9" customHeight="1">
      <c r="B18" s="780"/>
      <c r="C18" s="821"/>
      <c r="D18" s="822"/>
      <c r="E18" s="823"/>
      <c r="F18" s="824"/>
      <c r="G18" s="825"/>
      <c r="H18" s="826"/>
      <c r="I18" s="826"/>
      <c r="J18" s="801">
        <f t="shared" si="0"/>
        <v>0</v>
      </c>
      <c r="K18" s="839"/>
      <c r="L18" s="840"/>
      <c r="M18" s="1046"/>
      <c r="N18" s="1047"/>
      <c r="O18" s="782"/>
      <c r="Q18" s="788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90"/>
    </row>
    <row r="19" spans="2:30" s="783" customFormat="1" ht="22.9" customHeight="1">
      <c r="B19" s="780"/>
      <c r="C19" s="821"/>
      <c r="D19" s="822"/>
      <c r="E19" s="823"/>
      <c r="F19" s="824"/>
      <c r="G19" s="825"/>
      <c r="H19" s="826"/>
      <c r="I19" s="826"/>
      <c r="J19" s="801">
        <f t="shared" si="0"/>
        <v>0</v>
      </c>
      <c r="K19" s="839"/>
      <c r="L19" s="840"/>
      <c r="M19" s="1046"/>
      <c r="N19" s="1047"/>
      <c r="O19" s="782"/>
      <c r="Q19" s="788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90"/>
    </row>
    <row r="20" spans="2:30" s="783" customFormat="1" ht="22.9" customHeight="1">
      <c r="B20" s="780"/>
      <c r="C20" s="821"/>
      <c r="D20" s="822"/>
      <c r="E20" s="823"/>
      <c r="F20" s="824"/>
      <c r="G20" s="825"/>
      <c r="H20" s="826"/>
      <c r="I20" s="826"/>
      <c r="J20" s="801">
        <f t="shared" si="0"/>
        <v>0</v>
      </c>
      <c r="K20" s="839"/>
      <c r="L20" s="840"/>
      <c r="M20" s="1046"/>
      <c r="N20" s="1047"/>
      <c r="O20" s="782"/>
      <c r="Q20" s="788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90"/>
    </row>
    <row r="21" spans="2:30" s="783" customFormat="1" ht="22.9" customHeight="1">
      <c r="B21" s="780"/>
      <c r="C21" s="821"/>
      <c r="D21" s="822"/>
      <c r="E21" s="823"/>
      <c r="F21" s="824"/>
      <c r="G21" s="825"/>
      <c r="H21" s="826"/>
      <c r="I21" s="826"/>
      <c r="J21" s="801">
        <f t="shared" si="0"/>
        <v>0</v>
      </c>
      <c r="K21" s="839"/>
      <c r="L21" s="840"/>
      <c r="M21" s="1046"/>
      <c r="N21" s="1047"/>
      <c r="O21" s="782"/>
      <c r="Q21" s="788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90"/>
    </row>
    <row r="22" spans="2:30" s="783" customFormat="1" ht="22.9" customHeight="1">
      <c r="B22" s="780"/>
      <c r="C22" s="821"/>
      <c r="D22" s="822"/>
      <c r="E22" s="823"/>
      <c r="F22" s="824"/>
      <c r="G22" s="825"/>
      <c r="H22" s="826"/>
      <c r="I22" s="826"/>
      <c r="J22" s="801">
        <f t="shared" si="0"/>
        <v>0</v>
      </c>
      <c r="K22" s="839"/>
      <c r="L22" s="840"/>
      <c r="M22" s="1046"/>
      <c r="N22" s="1047"/>
      <c r="O22" s="782"/>
      <c r="Q22" s="788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90"/>
    </row>
    <row r="23" spans="2:30" s="783" customFormat="1" ht="22.9" customHeight="1">
      <c r="B23" s="780"/>
      <c r="C23" s="821"/>
      <c r="D23" s="822"/>
      <c r="E23" s="823"/>
      <c r="F23" s="824"/>
      <c r="G23" s="825"/>
      <c r="H23" s="827"/>
      <c r="I23" s="827"/>
      <c r="J23" s="801">
        <f t="shared" si="0"/>
        <v>0</v>
      </c>
      <c r="K23" s="841"/>
      <c r="L23" s="842"/>
      <c r="M23" s="1046"/>
      <c r="N23" s="1047"/>
      <c r="O23" s="782"/>
      <c r="Q23" s="788"/>
      <c r="R23" s="789"/>
      <c r="S23" s="789"/>
      <c r="T23" s="789"/>
      <c r="U23" s="789"/>
      <c r="V23" s="789"/>
      <c r="W23" s="789"/>
      <c r="X23" s="789"/>
      <c r="Y23" s="789"/>
      <c r="Z23" s="789"/>
      <c r="AA23" s="789"/>
      <c r="AB23" s="789"/>
      <c r="AC23" s="789"/>
      <c r="AD23" s="790"/>
    </row>
    <row r="24" spans="2:30" s="783" customFormat="1" ht="22.9" customHeight="1">
      <c r="B24" s="780"/>
      <c r="C24" s="821"/>
      <c r="D24" s="822"/>
      <c r="E24" s="823"/>
      <c r="F24" s="824"/>
      <c r="G24" s="825"/>
      <c r="H24" s="827"/>
      <c r="I24" s="827"/>
      <c r="J24" s="801">
        <f t="shared" si="0"/>
        <v>0</v>
      </c>
      <c r="K24" s="841"/>
      <c r="L24" s="842"/>
      <c r="M24" s="833"/>
      <c r="N24" s="834"/>
      <c r="O24" s="782"/>
      <c r="Q24" s="788"/>
      <c r="R24" s="789"/>
      <c r="S24" s="789"/>
      <c r="T24" s="789"/>
      <c r="U24" s="789"/>
      <c r="V24" s="789"/>
      <c r="W24" s="789"/>
      <c r="X24" s="789"/>
      <c r="Y24" s="789"/>
      <c r="Z24" s="789"/>
      <c r="AA24" s="789"/>
      <c r="AB24" s="789"/>
      <c r="AC24" s="789"/>
      <c r="AD24" s="790"/>
    </row>
    <row r="25" spans="2:30" s="783" customFormat="1" ht="22.9" customHeight="1">
      <c r="B25" s="780"/>
      <c r="C25" s="821"/>
      <c r="D25" s="822"/>
      <c r="E25" s="823"/>
      <c r="F25" s="824"/>
      <c r="G25" s="825"/>
      <c r="H25" s="827"/>
      <c r="I25" s="827"/>
      <c r="J25" s="801">
        <f t="shared" si="0"/>
        <v>0</v>
      </c>
      <c r="K25" s="841"/>
      <c r="L25" s="842"/>
      <c r="M25" s="833"/>
      <c r="N25" s="834"/>
      <c r="O25" s="782"/>
      <c r="Q25" s="788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90"/>
    </row>
    <row r="26" spans="2:30" s="783" customFormat="1" ht="22.9" customHeight="1">
      <c r="B26" s="780"/>
      <c r="C26" s="821"/>
      <c r="D26" s="822"/>
      <c r="E26" s="823"/>
      <c r="F26" s="824"/>
      <c r="G26" s="825"/>
      <c r="H26" s="827"/>
      <c r="I26" s="827"/>
      <c r="J26" s="801">
        <f t="shared" si="0"/>
        <v>0</v>
      </c>
      <c r="K26" s="841"/>
      <c r="L26" s="842"/>
      <c r="M26" s="833"/>
      <c r="N26" s="834"/>
      <c r="O26" s="782"/>
      <c r="Q26" s="788"/>
      <c r="R26" s="789"/>
      <c r="S26" s="789"/>
      <c r="T26" s="789"/>
      <c r="U26" s="789"/>
      <c r="V26" s="789"/>
      <c r="W26" s="789"/>
      <c r="X26" s="789"/>
      <c r="Y26" s="789"/>
      <c r="Z26" s="789"/>
      <c r="AA26" s="789"/>
      <c r="AB26" s="789"/>
      <c r="AC26" s="789"/>
      <c r="AD26" s="790"/>
    </row>
    <row r="27" spans="2:30" s="783" customFormat="1" ht="22.9" customHeight="1">
      <c r="B27" s="780"/>
      <c r="C27" s="821"/>
      <c r="D27" s="822"/>
      <c r="E27" s="823"/>
      <c r="F27" s="824"/>
      <c r="G27" s="825"/>
      <c r="H27" s="827"/>
      <c r="I27" s="827"/>
      <c r="J27" s="801">
        <f t="shared" si="0"/>
        <v>0</v>
      </c>
      <c r="K27" s="841"/>
      <c r="L27" s="842"/>
      <c r="M27" s="833"/>
      <c r="N27" s="834"/>
      <c r="O27" s="782"/>
      <c r="Q27" s="788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90"/>
    </row>
    <row r="28" spans="2:30" s="783" customFormat="1" ht="22.9" customHeight="1">
      <c r="B28" s="780"/>
      <c r="C28" s="821"/>
      <c r="D28" s="822"/>
      <c r="E28" s="823"/>
      <c r="F28" s="824"/>
      <c r="G28" s="825"/>
      <c r="H28" s="827"/>
      <c r="I28" s="827"/>
      <c r="J28" s="801">
        <f t="shared" si="0"/>
        <v>0</v>
      </c>
      <c r="K28" s="841"/>
      <c r="L28" s="842"/>
      <c r="M28" s="833"/>
      <c r="N28" s="834"/>
      <c r="O28" s="782"/>
      <c r="Q28" s="788"/>
      <c r="R28" s="789"/>
      <c r="S28" s="789"/>
      <c r="T28" s="789"/>
      <c r="U28" s="789"/>
      <c r="V28" s="789"/>
      <c r="W28" s="789"/>
      <c r="X28" s="789"/>
      <c r="Y28" s="789"/>
      <c r="Z28" s="789"/>
      <c r="AA28" s="789"/>
      <c r="AB28" s="789"/>
      <c r="AC28" s="789"/>
      <c r="AD28" s="790"/>
    </row>
    <row r="29" spans="2:30" s="783" customFormat="1" ht="22.9" customHeight="1">
      <c r="B29" s="780"/>
      <c r="C29" s="821"/>
      <c r="D29" s="822"/>
      <c r="E29" s="823"/>
      <c r="F29" s="824"/>
      <c r="G29" s="825"/>
      <c r="H29" s="827"/>
      <c r="I29" s="827"/>
      <c r="J29" s="801">
        <f t="shared" si="0"/>
        <v>0</v>
      </c>
      <c r="K29" s="841"/>
      <c r="L29" s="842"/>
      <c r="M29" s="833"/>
      <c r="N29" s="834"/>
      <c r="O29" s="782"/>
      <c r="Q29" s="788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90"/>
    </row>
    <row r="30" spans="2:30" s="783" customFormat="1" ht="22.9" customHeight="1">
      <c r="B30" s="780"/>
      <c r="C30" s="821"/>
      <c r="D30" s="822"/>
      <c r="E30" s="823"/>
      <c r="F30" s="824"/>
      <c r="G30" s="825"/>
      <c r="H30" s="827"/>
      <c r="I30" s="827"/>
      <c r="J30" s="801">
        <f t="shared" si="0"/>
        <v>0</v>
      </c>
      <c r="K30" s="841"/>
      <c r="L30" s="842"/>
      <c r="M30" s="833"/>
      <c r="N30" s="834"/>
      <c r="O30" s="782"/>
      <c r="Q30" s="788"/>
      <c r="R30" s="789"/>
      <c r="S30" s="789"/>
      <c r="T30" s="789"/>
      <c r="U30" s="789"/>
      <c r="V30" s="789"/>
      <c r="W30" s="789"/>
      <c r="X30" s="789"/>
      <c r="Y30" s="789"/>
      <c r="Z30" s="789"/>
      <c r="AA30" s="789"/>
      <c r="AB30" s="789"/>
      <c r="AC30" s="789"/>
      <c r="AD30" s="790"/>
    </row>
    <row r="31" spans="2:30" s="783" customFormat="1" ht="22.9" customHeight="1">
      <c r="B31" s="780"/>
      <c r="C31" s="821"/>
      <c r="D31" s="822"/>
      <c r="E31" s="823"/>
      <c r="F31" s="824"/>
      <c r="G31" s="825"/>
      <c r="H31" s="827"/>
      <c r="I31" s="827"/>
      <c r="J31" s="801">
        <f t="shared" si="0"/>
        <v>0</v>
      </c>
      <c r="K31" s="841"/>
      <c r="L31" s="842"/>
      <c r="M31" s="833"/>
      <c r="N31" s="834"/>
      <c r="O31" s="782"/>
      <c r="Q31" s="788"/>
      <c r="R31" s="789"/>
      <c r="S31" s="789"/>
      <c r="T31" s="789"/>
      <c r="U31" s="789"/>
      <c r="V31" s="789"/>
      <c r="W31" s="789"/>
      <c r="X31" s="789"/>
      <c r="Y31" s="789"/>
      <c r="Z31" s="789"/>
      <c r="AA31" s="789"/>
      <c r="AB31" s="789"/>
      <c r="AC31" s="789"/>
      <c r="AD31" s="790"/>
    </row>
    <row r="32" spans="2:30" s="783" customFormat="1" ht="22.9" customHeight="1">
      <c r="B32" s="780"/>
      <c r="C32" s="821"/>
      <c r="D32" s="822"/>
      <c r="E32" s="823"/>
      <c r="F32" s="824"/>
      <c r="G32" s="825"/>
      <c r="H32" s="827"/>
      <c r="I32" s="827"/>
      <c r="J32" s="801">
        <f t="shared" si="0"/>
        <v>0</v>
      </c>
      <c r="K32" s="841"/>
      <c r="L32" s="842"/>
      <c r="M32" s="833"/>
      <c r="N32" s="834"/>
      <c r="O32" s="782"/>
      <c r="Q32" s="788"/>
      <c r="R32" s="789"/>
      <c r="S32" s="789"/>
      <c r="T32" s="789"/>
      <c r="U32" s="789"/>
      <c r="V32" s="789"/>
      <c r="W32" s="789"/>
      <c r="X32" s="789"/>
      <c r="Y32" s="789"/>
      <c r="Z32" s="789"/>
      <c r="AA32" s="789"/>
      <c r="AB32" s="789"/>
      <c r="AC32" s="789"/>
      <c r="AD32" s="790"/>
    </row>
    <row r="33" spans="2:30" s="783" customFormat="1" ht="22.9" customHeight="1">
      <c r="B33" s="780"/>
      <c r="C33" s="821"/>
      <c r="D33" s="822"/>
      <c r="E33" s="823"/>
      <c r="F33" s="824"/>
      <c r="G33" s="825"/>
      <c r="H33" s="827"/>
      <c r="I33" s="827"/>
      <c r="J33" s="801">
        <f t="shared" si="0"/>
        <v>0</v>
      </c>
      <c r="K33" s="841"/>
      <c r="L33" s="842"/>
      <c r="M33" s="1046"/>
      <c r="N33" s="1047"/>
      <c r="O33" s="782"/>
      <c r="Q33" s="788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89"/>
      <c r="AD33" s="790"/>
    </row>
    <row r="34" spans="2:30" s="783" customFormat="1" ht="22.9" customHeight="1">
      <c r="B34" s="780"/>
      <c r="C34" s="821"/>
      <c r="D34" s="822"/>
      <c r="E34" s="823"/>
      <c r="F34" s="824"/>
      <c r="G34" s="825"/>
      <c r="H34" s="827"/>
      <c r="I34" s="827"/>
      <c r="J34" s="801">
        <f t="shared" si="0"/>
        <v>0</v>
      </c>
      <c r="K34" s="841"/>
      <c r="L34" s="842"/>
      <c r="M34" s="1046"/>
      <c r="N34" s="1047"/>
      <c r="O34" s="782"/>
      <c r="Q34" s="788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90"/>
    </row>
    <row r="35" spans="2:30" s="783" customFormat="1" ht="22.9" customHeight="1">
      <c r="B35" s="780"/>
      <c r="C35" s="821"/>
      <c r="D35" s="822"/>
      <c r="E35" s="823"/>
      <c r="F35" s="824"/>
      <c r="G35" s="825"/>
      <c r="H35" s="827"/>
      <c r="I35" s="827"/>
      <c r="J35" s="801">
        <f t="shared" si="0"/>
        <v>0</v>
      </c>
      <c r="K35" s="841"/>
      <c r="L35" s="842"/>
      <c r="M35" s="1046"/>
      <c r="N35" s="1047"/>
      <c r="O35" s="782"/>
      <c r="Q35" s="788"/>
      <c r="R35" s="789"/>
      <c r="S35" s="789"/>
      <c r="T35" s="789"/>
      <c r="U35" s="789"/>
      <c r="V35" s="789"/>
      <c r="W35" s="789"/>
      <c r="X35" s="789"/>
      <c r="Y35" s="789"/>
      <c r="Z35" s="789"/>
      <c r="AA35" s="789"/>
      <c r="AB35" s="789"/>
      <c r="AC35" s="789"/>
      <c r="AD35" s="790"/>
    </row>
    <row r="36" spans="2:30" s="783" customFormat="1" ht="22.9" customHeight="1">
      <c r="B36" s="780"/>
      <c r="C36" s="821"/>
      <c r="D36" s="822"/>
      <c r="E36" s="823"/>
      <c r="F36" s="824"/>
      <c r="G36" s="825"/>
      <c r="H36" s="827"/>
      <c r="I36" s="827"/>
      <c r="J36" s="801">
        <f t="shared" si="0"/>
        <v>0</v>
      </c>
      <c r="K36" s="841"/>
      <c r="L36" s="842"/>
      <c r="M36" s="1046"/>
      <c r="N36" s="1047"/>
      <c r="O36" s="782"/>
      <c r="Q36" s="788"/>
      <c r="R36" s="789"/>
      <c r="S36" s="789"/>
      <c r="T36" s="789"/>
      <c r="U36" s="789"/>
      <c r="V36" s="789"/>
      <c r="W36" s="789"/>
      <c r="X36" s="789"/>
      <c r="Y36" s="789"/>
      <c r="Z36" s="789"/>
      <c r="AA36" s="789"/>
      <c r="AB36" s="789"/>
      <c r="AC36" s="789"/>
      <c r="AD36" s="790"/>
    </row>
    <row r="37" spans="2:30" s="783" customFormat="1" ht="22.9" customHeight="1">
      <c r="B37" s="780"/>
      <c r="C37" s="821"/>
      <c r="D37" s="822"/>
      <c r="E37" s="823"/>
      <c r="F37" s="824"/>
      <c r="G37" s="825"/>
      <c r="H37" s="827"/>
      <c r="I37" s="827"/>
      <c r="J37" s="801">
        <f t="shared" si="0"/>
        <v>0</v>
      </c>
      <c r="K37" s="841"/>
      <c r="L37" s="842"/>
      <c r="M37" s="1046"/>
      <c r="N37" s="1047"/>
      <c r="O37" s="782"/>
      <c r="Q37" s="788"/>
      <c r="R37" s="789"/>
      <c r="S37" s="789"/>
      <c r="T37" s="789"/>
      <c r="U37" s="789"/>
      <c r="V37" s="789"/>
      <c r="W37" s="789"/>
      <c r="X37" s="789"/>
      <c r="Y37" s="789"/>
      <c r="Z37" s="789"/>
      <c r="AA37" s="789"/>
      <c r="AB37" s="789"/>
      <c r="AC37" s="789"/>
      <c r="AD37" s="790"/>
    </row>
    <row r="38" spans="2:30" s="783" customFormat="1" ht="22.9" customHeight="1">
      <c r="B38" s="780"/>
      <c r="C38" s="821"/>
      <c r="D38" s="822"/>
      <c r="E38" s="823"/>
      <c r="F38" s="824"/>
      <c r="G38" s="825"/>
      <c r="H38" s="827"/>
      <c r="I38" s="827"/>
      <c r="J38" s="801">
        <f t="shared" si="0"/>
        <v>0</v>
      </c>
      <c r="K38" s="841"/>
      <c r="L38" s="842"/>
      <c r="M38" s="1046"/>
      <c r="N38" s="1047"/>
      <c r="O38" s="782"/>
      <c r="Q38" s="794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5"/>
    </row>
    <row r="39" spans="2:30" s="783" customFormat="1" ht="22.9" customHeight="1">
      <c r="B39" s="780"/>
      <c r="C39" s="821"/>
      <c r="D39" s="822"/>
      <c r="E39" s="823"/>
      <c r="F39" s="824"/>
      <c r="G39" s="825"/>
      <c r="H39" s="827"/>
      <c r="I39" s="827"/>
      <c r="J39" s="801">
        <f t="shared" si="0"/>
        <v>0</v>
      </c>
      <c r="K39" s="841"/>
      <c r="L39" s="842"/>
      <c r="M39" s="1046"/>
      <c r="N39" s="1047"/>
      <c r="O39" s="782"/>
      <c r="Q39" s="794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5"/>
    </row>
    <row r="40" spans="2:30" s="783" customFormat="1" ht="22.9" customHeight="1">
      <c r="B40" s="780"/>
      <c r="C40" s="821"/>
      <c r="D40" s="822"/>
      <c r="E40" s="823"/>
      <c r="F40" s="824"/>
      <c r="G40" s="825"/>
      <c r="H40" s="827"/>
      <c r="I40" s="827"/>
      <c r="J40" s="801">
        <f t="shared" si="0"/>
        <v>0</v>
      </c>
      <c r="K40" s="841"/>
      <c r="L40" s="842"/>
      <c r="M40" s="1046"/>
      <c r="N40" s="1047"/>
      <c r="O40" s="782"/>
      <c r="Q40" s="788"/>
      <c r="R40" s="789"/>
      <c r="S40" s="789"/>
      <c r="T40" s="789"/>
      <c r="U40" s="789"/>
      <c r="V40" s="789"/>
      <c r="W40" s="789"/>
      <c r="X40" s="789"/>
      <c r="Y40" s="789"/>
      <c r="Z40" s="789"/>
      <c r="AA40" s="789"/>
      <c r="AB40" s="789"/>
      <c r="AC40" s="789"/>
      <c r="AD40" s="790"/>
    </row>
    <row r="41" spans="2:30" s="783" customFormat="1" ht="22.9" customHeight="1">
      <c r="B41" s="780"/>
      <c r="C41" s="821"/>
      <c r="D41" s="822"/>
      <c r="E41" s="823"/>
      <c r="F41" s="824"/>
      <c r="G41" s="825"/>
      <c r="H41" s="827"/>
      <c r="I41" s="827"/>
      <c r="J41" s="801">
        <f t="shared" si="0"/>
        <v>0</v>
      </c>
      <c r="K41" s="841"/>
      <c r="L41" s="842"/>
      <c r="M41" s="1046"/>
      <c r="N41" s="1047"/>
      <c r="O41" s="782"/>
      <c r="Q41" s="788"/>
      <c r="R41" s="789"/>
      <c r="S41" s="789"/>
      <c r="T41" s="789"/>
      <c r="U41" s="789"/>
      <c r="V41" s="789"/>
      <c r="W41" s="789"/>
      <c r="X41" s="789"/>
      <c r="Y41" s="789"/>
      <c r="Z41" s="789"/>
      <c r="AA41" s="789"/>
      <c r="AB41" s="789"/>
      <c r="AC41" s="789"/>
      <c r="AD41" s="790"/>
    </row>
    <row r="42" spans="2:30" s="783" customFormat="1" ht="22.9" customHeight="1">
      <c r="B42" s="780"/>
      <c r="C42" s="821"/>
      <c r="D42" s="822"/>
      <c r="E42" s="823"/>
      <c r="F42" s="824"/>
      <c r="G42" s="825"/>
      <c r="H42" s="827"/>
      <c r="I42" s="827"/>
      <c r="J42" s="801">
        <f t="shared" si="0"/>
        <v>0</v>
      </c>
      <c r="K42" s="841"/>
      <c r="L42" s="842"/>
      <c r="M42" s="1046"/>
      <c r="N42" s="1047"/>
      <c r="O42" s="782"/>
      <c r="Q42" s="788"/>
      <c r="R42" s="789"/>
      <c r="S42" s="789"/>
      <c r="T42" s="789"/>
      <c r="U42" s="789"/>
      <c r="V42" s="789"/>
      <c r="W42" s="789"/>
      <c r="X42" s="789"/>
      <c r="Y42" s="789"/>
      <c r="Z42" s="789"/>
      <c r="AA42" s="789"/>
      <c r="AB42" s="789"/>
      <c r="AC42" s="789"/>
      <c r="AD42" s="790"/>
    </row>
    <row r="43" spans="2:30" s="783" customFormat="1" ht="22.9" customHeight="1" thickBot="1">
      <c r="B43" s="780"/>
      <c r="C43" s="828"/>
      <c r="D43" s="829"/>
      <c r="E43" s="829"/>
      <c r="F43" s="830"/>
      <c r="G43" s="831"/>
      <c r="H43" s="885"/>
      <c r="I43" s="885"/>
      <c r="J43" s="802">
        <f t="shared" si="0"/>
        <v>0</v>
      </c>
      <c r="K43" s="843"/>
      <c r="L43" s="844"/>
      <c r="M43" s="1052"/>
      <c r="N43" s="1053"/>
      <c r="O43" s="782"/>
      <c r="Q43" s="796"/>
      <c r="R43" s="797"/>
      <c r="S43" s="797"/>
      <c r="T43" s="797"/>
      <c r="U43" s="797"/>
      <c r="V43" s="797"/>
      <c r="W43" s="797"/>
      <c r="X43" s="797"/>
      <c r="Y43" s="797"/>
      <c r="Z43" s="797"/>
      <c r="AA43" s="797"/>
      <c r="AB43" s="797"/>
      <c r="AC43" s="797"/>
      <c r="AD43" s="798"/>
    </row>
    <row r="44" spans="2:30" s="783" customFormat="1" ht="22.9" customHeight="1" thickBot="1">
      <c r="B44" s="780"/>
      <c r="C44" s="803" t="s">
        <v>331</v>
      </c>
      <c r="D44" s="804">
        <f>SUM(D14:D43)</f>
        <v>6000</v>
      </c>
      <c r="E44" s="805"/>
      <c r="F44" s="806"/>
      <c r="G44" s="807"/>
      <c r="H44" s="832"/>
      <c r="I44" s="832"/>
      <c r="J44" s="808">
        <f>SUM(J14:J43)</f>
        <v>60000</v>
      </c>
      <c r="K44" s="832"/>
      <c r="L44" s="809">
        <f>K44*D44</f>
        <v>0</v>
      </c>
      <c r="M44" s="781"/>
      <c r="N44" s="781"/>
      <c r="O44" s="782"/>
      <c r="Q44" s="796"/>
      <c r="R44" s="797"/>
      <c r="S44" s="797"/>
      <c r="T44" s="797"/>
      <c r="U44" s="797"/>
      <c r="V44" s="797"/>
      <c r="W44" s="797"/>
      <c r="X44" s="797"/>
      <c r="Y44" s="797"/>
      <c r="Z44" s="797"/>
      <c r="AA44" s="797"/>
      <c r="AB44" s="797"/>
      <c r="AC44" s="797"/>
      <c r="AD44" s="798"/>
    </row>
    <row r="45" spans="2:30" s="783" customFormat="1" ht="22.9" customHeight="1">
      <c r="B45" s="780"/>
      <c r="C45" s="787"/>
      <c r="D45" s="787"/>
      <c r="E45" s="787"/>
      <c r="F45" s="787"/>
      <c r="G45" s="787"/>
      <c r="H45" s="781"/>
      <c r="I45" s="781"/>
      <c r="J45" s="781"/>
      <c r="K45" s="781"/>
      <c r="L45" s="781"/>
      <c r="M45" s="781"/>
      <c r="N45" s="781"/>
      <c r="O45" s="782"/>
      <c r="Q45" s="796"/>
      <c r="R45" s="797"/>
      <c r="S45" s="797"/>
      <c r="T45" s="797"/>
      <c r="U45" s="797"/>
      <c r="V45" s="797"/>
      <c r="W45" s="797"/>
      <c r="X45" s="797"/>
      <c r="Y45" s="797"/>
      <c r="Z45" s="797"/>
      <c r="AA45" s="797"/>
      <c r="AB45" s="797"/>
      <c r="AC45" s="797"/>
      <c r="AD45" s="798"/>
    </row>
    <row r="46" spans="2:30" ht="22.9" customHeight="1">
      <c r="B46" s="741"/>
      <c r="C46" s="698" t="s">
        <v>354</v>
      </c>
      <c r="D46" s="628"/>
      <c r="E46" s="628"/>
      <c r="F46" s="628"/>
      <c r="G46" s="628"/>
      <c r="H46" s="736"/>
      <c r="I46" s="736"/>
      <c r="J46" s="736"/>
      <c r="K46" s="736"/>
      <c r="L46" s="736"/>
      <c r="M46" s="736"/>
      <c r="N46" s="736"/>
      <c r="O46" s="743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41"/>
      <c r="C47" s="770" t="s">
        <v>707</v>
      </c>
      <c r="D47" s="628"/>
      <c r="E47" s="628"/>
      <c r="F47" s="628"/>
      <c r="G47" s="628"/>
      <c r="H47" s="736"/>
      <c r="I47" s="736"/>
      <c r="J47" s="736"/>
      <c r="K47" s="736"/>
      <c r="L47" s="736"/>
      <c r="M47" s="736"/>
      <c r="N47" s="736"/>
      <c r="O47" s="743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41"/>
      <c r="C48" s="770" t="s">
        <v>710</v>
      </c>
      <c r="D48" s="628"/>
      <c r="E48" s="628"/>
      <c r="F48" s="628"/>
      <c r="G48" s="628"/>
      <c r="H48" s="736"/>
      <c r="I48" s="736"/>
      <c r="J48" s="628">
        <f>ejercicio-2</f>
        <v>2016</v>
      </c>
      <c r="K48" s="736" t="s">
        <v>709</v>
      </c>
      <c r="L48" s="736"/>
      <c r="M48" s="736"/>
      <c r="N48" s="736"/>
      <c r="O48" s="743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71"/>
      <c r="C49" s="1040"/>
      <c r="D49" s="1040"/>
      <c r="E49" s="1040"/>
      <c r="F49" s="1040"/>
      <c r="G49" s="1040"/>
      <c r="H49" s="772"/>
      <c r="I49" s="772"/>
      <c r="J49" s="772"/>
      <c r="K49" s="772"/>
      <c r="L49" s="772"/>
      <c r="M49" s="772"/>
      <c r="N49" s="772"/>
      <c r="O49" s="773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</row>
    <row r="51" spans="2:30" ht="12.75">
      <c r="C51" s="774" t="s">
        <v>77</v>
      </c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05" t="s">
        <v>718</v>
      </c>
    </row>
    <row r="52" spans="2:30" ht="12.75">
      <c r="C52" s="775" t="s">
        <v>78</v>
      </c>
      <c r="D52" s="736"/>
      <c r="E52" s="736"/>
      <c r="F52" s="736"/>
      <c r="G52" s="736"/>
      <c r="H52" s="736"/>
      <c r="I52" s="736"/>
      <c r="J52" s="736"/>
      <c r="K52" s="736"/>
      <c r="L52" s="736"/>
      <c r="M52" s="736"/>
      <c r="N52" s="736"/>
    </row>
    <row r="53" spans="2:30" ht="12.75">
      <c r="C53" s="775" t="s">
        <v>79</v>
      </c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</row>
    <row r="54" spans="2:30" ht="12.75">
      <c r="C54" s="775" t="s">
        <v>80</v>
      </c>
      <c r="D54" s="736"/>
      <c r="E54" s="736"/>
      <c r="F54" s="736"/>
      <c r="G54" s="736"/>
      <c r="H54" s="736"/>
      <c r="I54" s="736"/>
      <c r="J54" s="736"/>
      <c r="K54" s="736"/>
      <c r="L54" s="736"/>
      <c r="M54" s="736"/>
      <c r="N54" s="736"/>
    </row>
    <row r="55" spans="2:30" ht="12.75">
      <c r="C55" s="775" t="s">
        <v>81</v>
      </c>
      <c r="D55" s="736"/>
      <c r="E55" s="736"/>
      <c r="F55" s="736"/>
      <c r="G55" s="736"/>
      <c r="H55" s="736"/>
      <c r="I55" s="736"/>
      <c r="J55" s="736"/>
      <c r="K55" s="736"/>
      <c r="L55" s="736"/>
      <c r="M55" s="736"/>
      <c r="N55" s="736"/>
    </row>
    <row r="56" spans="2:30" ht="22.9" customHeight="1"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</row>
    <row r="57" spans="2:30" ht="22.9" customHeight="1"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</row>
    <row r="58" spans="2:30" ht="22.9" customHeight="1"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</row>
    <row r="59" spans="2:30" ht="22.9" customHeight="1"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</row>
    <row r="60" spans="2:30" ht="22.9" customHeight="1">
      <c r="G60" s="736"/>
      <c r="H60" s="736"/>
      <c r="I60" s="736"/>
      <c r="J60" s="736"/>
      <c r="K60" s="736"/>
      <c r="L60" s="736"/>
      <c r="M60" s="736"/>
      <c r="N60" s="736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85" zoomScaleNormal="85" zoomScalePageLayoutView="50" workbookViewId="0">
      <selection activeCell="D97" sqref="D97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5" t="str">
        <f>Entidad</f>
        <v>Gestión Insular de Aguas de Tenerife, S.A. (GESTA)</v>
      </c>
      <c r="E9" s="1055"/>
      <c r="F9" s="1055"/>
      <c r="G9" s="105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678</v>
      </c>
      <c r="E16" s="125">
        <f>SUM(E17:E19)</f>
        <v>0</v>
      </c>
      <c r="F16" s="125">
        <f>SUM(F17:F19)</f>
        <v>0</v>
      </c>
      <c r="G16" s="125">
        <f>SUM(G17:G19)</f>
        <v>1754389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3"/>
      <c r="F17" s="443"/>
      <c r="G17" s="443">
        <v>1754389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4"/>
      <c r="F18" s="444"/>
      <c r="G18" s="444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5">
        <v>20127.990000000002</v>
      </c>
      <c r="F20" s="445">
        <v>2528647.2799999998</v>
      </c>
      <c r="G20" s="445">
        <v>6577141.8700000001</v>
      </c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0</v>
      </c>
      <c r="F22" s="125">
        <f t="shared" ref="F22:G22" si="0">SUM(F23:F26)</f>
        <v>-2176849.5699999998</v>
      </c>
      <c r="G22" s="125">
        <f t="shared" si="0"/>
        <v>-7962526.6500000004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4"/>
      <c r="F25" s="444">
        <v>-2176849.5699999998</v>
      </c>
      <c r="G25" s="444">
        <v>-7962526.6500000004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681</v>
      </c>
      <c r="E27" s="125">
        <f>SUM(E28:E29)</f>
        <v>0</v>
      </c>
      <c r="F27" s="125">
        <f t="shared" ref="F27:G27" si="1">SUM(F28:F29)</f>
        <v>6108.5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3"/>
      <c r="F28" s="443">
        <v>6108.5</v>
      </c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-24897.1</v>
      </c>
      <c r="F30" s="125">
        <f t="shared" ref="F30:G30" si="2">SUM(F31:F33)</f>
        <v>-235535.93</v>
      </c>
      <c r="G30" s="125">
        <f t="shared" si="2"/>
        <v>-237266.18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3">
        <v>-18949.05</v>
      </c>
      <c r="F31" s="443">
        <v>-191880.55</v>
      </c>
      <c r="G31" s="443">
        <v>-181913.3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4">
        <v>-5948.05</v>
      </c>
      <c r="F32" s="444">
        <v>-43655.38</v>
      </c>
      <c r="G32" s="444">
        <v>-55352.88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-12357.94</v>
      </c>
      <c r="F34" s="125">
        <f t="shared" ref="F34:G34" si="3">SUM(F35:F39)</f>
        <v>-189560.94999999998</v>
      </c>
      <c r="G34" s="125">
        <f t="shared" si="3"/>
        <v>-181803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3">
        <v>-12357.94</v>
      </c>
      <c r="F35" s="443">
        <v>-189407.05</v>
      </c>
      <c r="G35" s="443">
        <v>-181803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4"/>
      <c r="F36" s="444">
        <v>-153.9</v>
      </c>
      <c r="G36" s="444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5"/>
      <c r="F40" s="445">
        <v>-14047.53</v>
      </c>
      <c r="G40" s="445">
        <v>-16704.71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5"/>
      <c r="F41" s="445"/>
      <c r="G41" s="445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682</v>
      </c>
      <c r="E48" s="445">
        <v>-180</v>
      </c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-17307.049999999996</v>
      </c>
      <c r="F49" s="364">
        <f t="shared" ref="F49:G49" si="5">F16+F20+F21+F22+F27+F30+F34+F40+F41+F42+F43+F47+F48</f>
        <v>-81238.200000000012</v>
      </c>
      <c r="G49" s="364">
        <f t="shared" si="5"/>
        <v>-66769.670000000246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0</v>
      </c>
      <c r="F51" s="125">
        <f t="shared" ref="F51:G51" si="6">F52+F55+F58</f>
        <v>38.26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21"/>
      <c r="F53" s="721"/>
      <c r="G53" s="721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21"/>
      <c r="F54" s="721"/>
      <c r="G54" s="721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0</v>
      </c>
      <c r="F55" s="365">
        <f t="shared" ref="F55:G55" si="8">SUM(F56:F57)</f>
        <v>38.26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21"/>
      <c r="F56" s="721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21"/>
      <c r="F57" s="721">
        <v>38.26</v>
      </c>
      <c r="G57" s="72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0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6"/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0</v>
      </c>
      <c r="F74" s="364">
        <f t="shared" ref="F74:G74" si="13">F51+F59+F63+F67+F70</f>
        <v>38.26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-17307.049999999996</v>
      </c>
      <c r="F76" s="367">
        <f t="shared" ref="F76:G76" si="14">F74+F49</f>
        <v>-81199.940000000017</v>
      </c>
      <c r="G76" s="367">
        <f t="shared" si="14"/>
        <v>-66769.670000000246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-17307.049999999996</v>
      </c>
      <c r="F79" s="367">
        <f t="shared" ref="F79:G79" si="15">F76+F77</f>
        <v>-81199.940000000017</v>
      </c>
      <c r="G79" s="367">
        <f t="shared" si="15"/>
        <v>-66769.670000000246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-17307.049999999996</v>
      </c>
      <c r="F84" s="129">
        <f t="shared" ref="F84:G84" si="16">F79+F82</f>
        <v>-81199.940000000017</v>
      </c>
      <c r="G84" s="129">
        <f t="shared" si="16"/>
        <v>-66769.670000000246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54"/>
      <c r="D86" s="1054"/>
      <c r="E86" s="1054"/>
      <c r="F86" s="1054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G117" sqref="G117"/>
    </sheetView>
  </sheetViews>
  <sheetFormatPr baseColWidth="10" defaultColWidth="10.77734375" defaultRowHeight="22.9" customHeight="1"/>
  <cols>
    <col min="1" max="2" width="3.21875" style="619" customWidth="1"/>
    <col min="3" max="3" width="13.5546875" style="619" customWidth="1"/>
    <col min="4" max="4" width="42.44140625" style="619" customWidth="1"/>
    <col min="5" max="6" width="15.77734375" style="621" customWidth="1"/>
    <col min="7" max="7" width="31" style="621" customWidth="1"/>
    <col min="8" max="8" width="15.5546875" style="621" customWidth="1"/>
    <col min="9" max="9" width="16.77734375" style="621" customWidth="1"/>
    <col min="10" max="10" width="30.5546875" style="621" customWidth="1"/>
    <col min="11" max="12" width="15.77734375" style="621" customWidth="1"/>
    <col min="13" max="13" width="27.21875" style="621" customWidth="1"/>
    <col min="14" max="14" width="3.21875" style="619" customWidth="1"/>
    <col min="15" max="16384" width="10.77734375" style="619"/>
  </cols>
  <sheetData>
    <row r="2" spans="2:29" ht="22.9" customHeight="1">
      <c r="D2" s="620" t="s">
        <v>321</v>
      </c>
    </row>
    <row r="3" spans="2:29" ht="22.9" customHeight="1">
      <c r="D3" s="620" t="s">
        <v>322</v>
      </c>
    </row>
    <row r="4" spans="2:29" ht="22.9" customHeight="1" thickBot="1"/>
    <row r="5" spans="2:29" ht="9" customHeight="1">
      <c r="B5" s="622"/>
      <c r="C5" s="623"/>
      <c r="D5" s="623"/>
      <c r="E5" s="624"/>
      <c r="F5" s="624"/>
      <c r="G5" s="624"/>
      <c r="H5" s="624"/>
      <c r="I5" s="624"/>
      <c r="J5" s="624"/>
      <c r="K5" s="624"/>
      <c r="L5" s="624"/>
      <c r="M5" s="624"/>
      <c r="N5" s="62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6"/>
      <c r="C6" s="627" t="s">
        <v>0</v>
      </c>
      <c r="D6" s="628"/>
      <c r="E6" s="629"/>
      <c r="F6" s="629"/>
      <c r="G6" s="629"/>
      <c r="H6" s="629"/>
      <c r="I6" s="629"/>
      <c r="J6" s="629"/>
      <c r="K6" s="629"/>
      <c r="L6" s="629"/>
      <c r="M6" s="1039">
        <f>ejercicio</f>
        <v>2018</v>
      </c>
      <c r="N6" s="630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6"/>
      <c r="C7" s="627" t="s">
        <v>1</v>
      </c>
      <c r="D7" s="628"/>
      <c r="E7" s="629"/>
      <c r="F7" s="629"/>
      <c r="G7" s="629"/>
      <c r="H7" s="629"/>
      <c r="I7" s="629"/>
      <c r="J7" s="629"/>
      <c r="K7" s="629"/>
      <c r="L7" s="629"/>
      <c r="M7" s="1039"/>
      <c r="N7" s="631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6"/>
      <c r="C8" s="632"/>
      <c r="D8" s="628"/>
      <c r="E8" s="629"/>
      <c r="F8" s="629"/>
      <c r="G8" s="629"/>
      <c r="H8" s="629"/>
      <c r="I8" s="629"/>
      <c r="J8" s="629"/>
      <c r="K8" s="629"/>
      <c r="L8" s="629"/>
      <c r="M8" s="629"/>
      <c r="N8" s="631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5" customFormat="1" ht="30" customHeight="1">
      <c r="B9" s="633"/>
      <c r="C9" s="634" t="s">
        <v>2</v>
      </c>
      <c r="D9" s="1041" t="str">
        <f>Entidad</f>
        <v>Gestión Insular de Aguas de Tenerife, S.A. (GESTA)</v>
      </c>
      <c r="E9" s="1041"/>
      <c r="F9" s="1041"/>
      <c r="G9" s="1041"/>
      <c r="H9" s="1041"/>
      <c r="I9" s="1041"/>
      <c r="J9" s="1041"/>
      <c r="K9" s="1041"/>
      <c r="L9" s="1041"/>
      <c r="M9" s="1041"/>
      <c r="N9" s="631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6"/>
      <c r="C10" s="628"/>
      <c r="D10" s="628"/>
      <c r="E10" s="629"/>
      <c r="F10" s="629"/>
      <c r="G10" s="629"/>
      <c r="H10" s="629"/>
      <c r="I10" s="629"/>
      <c r="J10" s="629"/>
      <c r="K10" s="629"/>
      <c r="L10" s="629"/>
      <c r="M10" s="629"/>
      <c r="N10" s="631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9" customFormat="1" ht="30" customHeight="1">
      <c r="B11" s="636"/>
      <c r="C11" s="637" t="s">
        <v>594</v>
      </c>
      <c r="D11" s="637"/>
      <c r="E11" s="638"/>
      <c r="F11" s="638"/>
      <c r="G11" s="638"/>
      <c r="H11" s="638"/>
      <c r="I11" s="638"/>
      <c r="J11" s="638"/>
      <c r="K11" s="638"/>
      <c r="L11" s="638"/>
      <c r="M11" s="638"/>
      <c r="N11" s="631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9" customFormat="1" ht="30" customHeight="1">
      <c r="B12" s="636"/>
      <c r="C12" s="1062"/>
      <c r="D12" s="1062"/>
      <c r="E12" s="640"/>
      <c r="F12" s="640"/>
      <c r="G12" s="640"/>
      <c r="H12" s="640"/>
      <c r="I12" s="640"/>
      <c r="J12" s="640"/>
      <c r="K12" s="640"/>
      <c r="L12" s="640"/>
      <c r="M12" s="640"/>
      <c r="N12" s="631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9" customFormat="1" ht="30" customHeight="1">
      <c r="B13" s="636"/>
      <c r="D13" s="641"/>
      <c r="E13" s="640"/>
      <c r="F13" s="640"/>
      <c r="G13" s="640"/>
      <c r="H13" s="640"/>
      <c r="I13" s="640"/>
      <c r="J13" s="640"/>
      <c r="K13" s="640"/>
      <c r="L13" s="640"/>
      <c r="M13" s="640"/>
      <c r="N13" s="631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9" customFormat="1" ht="22.9" customHeight="1">
      <c r="B14" s="642"/>
      <c r="C14" s="643"/>
      <c r="D14" s="644"/>
      <c r="E14" s="645"/>
      <c r="F14" s="646" t="s">
        <v>183</v>
      </c>
      <c r="G14" s="647">
        <f>ejercicio-2</f>
        <v>2016</v>
      </c>
      <c r="H14" s="645"/>
      <c r="I14" s="648" t="s">
        <v>184</v>
      </c>
      <c r="J14" s="647">
        <f>ejercicio-1</f>
        <v>2017</v>
      </c>
      <c r="K14" s="645"/>
      <c r="L14" s="646" t="s">
        <v>185</v>
      </c>
      <c r="M14" s="647">
        <f>ejercicio</f>
        <v>2018</v>
      </c>
      <c r="N14" s="631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4" customFormat="1" ht="22.9" customHeight="1">
      <c r="B15" s="650"/>
      <c r="C15" s="651" t="s">
        <v>611</v>
      </c>
      <c r="D15" s="652"/>
      <c r="E15" s="653" t="s">
        <v>595</v>
      </c>
      <c r="F15" s="653" t="s">
        <v>596</v>
      </c>
      <c r="G15" s="653" t="s">
        <v>523</v>
      </c>
      <c r="H15" s="653" t="s">
        <v>595</v>
      </c>
      <c r="I15" s="653" t="s">
        <v>596</v>
      </c>
      <c r="J15" s="653" t="s">
        <v>523</v>
      </c>
      <c r="K15" s="653" t="s">
        <v>595</v>
      </c>
      <c r="L15" s="653" t="s">
        <v>596</v>
      </c>
      <c r="M15" s="653" t="s">
        <v>523</v>
      </c>
      <c r="N15" s="63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1" customFormat="1" ht="22.9" customHeight="1">
      <c r="B16" s="655"/>
      <c r="C16" s="656" t="s">
        <v>597</v>
      </c>
      <c r="D16" s="657"/>
      <c r="E16" s="658">
        <f>SUM(E17:E18)</f>
        <v>0</v>
      </c>
      <c r="F16" s="658">
        <f>SUM(F17:F18)</f>
        <v>0</v>
      </c>
      <c r="G16" s="659"/>
      <c r="H16" s="658">
        <f>SUM(H17:H18)</f>
        <v>0</v>
      </c>
      <c r="I16" s="658">
        <f>SUM(I17:I18)</f>
        <v>0</v>
      </c>
      <c r="J16" s="659"/>
      <c r="K16" s="658">
        <f>SUM(K17:K18)</f>
        <v>0</v>
      </c>
      <c r="L16" s="658">
        <f>SUM(L17:L18)</f>
        <v>0</v>
      </c>
      <c r="M16" s="660"/>
      <c r="N16" s="631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1" customFormat="1" ht="19.899999999999999" customHeight="1">
      <c r="B17" s="655"/>
      <c r="C17" s="886"/>
      <c r="D17" s="887" t="s">
        <v>598</v>
      </c>
      <c r="E17" s="471"/>
      <c r="F17" s="471"/>
      <c r="G17" s="888"/>
      <c r="H17" s="471"/>
      <c r="I17" s="471"/>
      <c r="J17" s="888"/>
      <c r="K17" s="471"/>
      <c r="L17" s="471"/>
      <c r="M17" s="889"/>
      <c r="N17" s="696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1" customFormat="1" ht="19.899999999999999" customHeight="1">
      <c r="B18" s="655"/>
      <c r="C18" s="890"/>
      <c r="D18" s="891" t="s">
        <v>599</v>
      </c>
      <c r="E18" s="479"/>
      <c r="F18" s="479"/>
      <c r="G18" s="892"/>
      <c r="H18" s="479"/>
      <c r="I18" s="479"/>
      <c r="J18" s="892"/>
      <c r="K18" s="479"/>
      <c r="L18" s="479"/>
      <c r="M18" s="893"/>
      <c r="N18" s="696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1" customFormat="1" ht="22.9" customHeight="1">
      <c r="B19" s="655"/>
      <c r="C19" s="656" t="s">
        <v>600</v>
      </c>
      <c r="D19" s="657"/>
      <c r="E19" s="658">
        <f>+E20+E25</f>
        <v>0</v>
      </c>
      <c r="F19" s="658">
        <f>+F20+F25</f>
        <v>0</v>
      </c>
      <c r="G19" s="659"/>
      <c r="H19" s="658">
        <f>+H20+H25</f>
        <v>0</v>
      </c>
      <c r="I19" s="658">
        <f>+I20+I25</f>
        <v>0</v>
      </c>
      <c r="J19" s="659"/>
      <c r="K19" s="658">
        <f>+K20+K25</f>
        <v>1754389</v>
      </c>
      <c r="L19" s="658">
        <f>+L20+L25</f>
        <v>0</v>
      </c>
      <c r="M19" s="660"/>
      <c r="N19" s="631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1" customFormat="1" ht="19.899999999999999" customHeight="1">
      <c r="B20" s="655"/>
      <c r="C20" s="886"/>
      <c r="D20" s="887" t="s">
        <v>765</v>
      </c>
      <c r="E20" s="894">
        <f>SUM(E21:E24)</f>
        <v>0</v>
      </c>
      <c r="F20" s="894">
        <f>SUM(F21:F24)</f>
        <v>0</v>
      </c>
      <c r="G20" s="895"/>
      <c r="H20" s="894">
        <f>SUM(H21:H24)</f>
        <v>0</v>
      </c>
      <c r="I20" s="894">
        <f>SUM(I21:I24)</f>
        <v>0</v>
      </c>
      <c r="J20" s="895"/>
      <c r="K20" s="894">
        <f>SUM(K21:K24)</f>
        <v>1754389</v>
      </c>
      <c r="L20" s="894">
        <f>SUM(L21:L24)</f>
        <v>0</v>
      </c>
      <c r="M20" s="896"/>
      <c r="N20" s="696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4" customFormat="1" ht="19.899999999999999" customHeight="1">
      <c r="B21" s="633"/>
      <c r="C21" s="560"/>
      <c r="D21" s="1026" t="s">
        <v>833</v>
      </c>
      <c r="E21" s="506"/>
      <c r="F21" s="506"/>
      <c r="G21" s="549"/>
      <c r="H21" s="506"/>
      <c r="I21" s="506"/>
      <c r="J21" s="549"/>
      <c r="K21" s="506">
        <v>1754389</v>
      </c>
      <c r="L21" s="506">
        <v>0</v>
      </c>
      <c r="M21" s="1027" t="s">
        <v>834</v>
      </c>
      <c r="N21" s="631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4" customFormat="1" ht="19.899999999999999" customHeight="1">
      <c r="B22" s="633"/>
      <c r="C22" s="560"/>
      <c r="D22" s="561"/>
      <c r="E22" s="506"/>
      <c r="F22" s="506"/>
      <c r="G22" s="549"/>
      <c r="H22" s="506"/>
      <c r="I22" s="506"/>
      <c r="J22" s="549"/>
      <c r="K22" s="506"/>
      <c r="L22" s="506"/>
      <c r="M22" s="516"/>
      <c r="N22" s="631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4" customFormat="1" ht="19.899999999999999" customHeight="1">
      <c r="B23" s="633"/>
      <c r="C23" s="560"/>
      <c r="D23" s="561"/>
      <c r="E23" s="506"/>
      <c r="F23" s="506"/>
      <c r="G23" s="549"/>
      <c r="H23" s="506"/>
      <c r="I23" s="506"/>
      <c r="J23" s="549"/>
      <c r="K23" s="506"/>
      <c r="L23" s="506"/>
      <c r="M23" s="516"/>
      <c r="N23" s="631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4" customFormat="1" ht="19.899999999999999" customHeight="1">
      <c r="B24" s="633"/>
      <c r="C24" s="560"/>
      <c r="D24" s="561"/>
      <c r="E24" s="506"/>
      <c r="F24" s="506"/>
      <c r="G24" s="549"/>
      <c r="H24" s="506"/>
      <c r="I24" s="506"/>
      <c r="J24" s="549"/>
      <c r="K24" s="506"/>
      <c r="L24" s="506"/>
      <c r="M24" s="516"/>
      <c r="N24" s="631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1" customFormat="1" ht="19.899999999999999" customHeight="1">
      <c r="B25" s="655"/>
      <c r="C25" s="897"/>
      <c r="D25" s="898" t="s">
        <v>766</v>
      </c>
      <c r="E25" s="899">
        <f>SUM(E26:E29)</f>
        <v>0</v>
      </c>
      <c r="F25" s="899">
        <f>SUM(F26:F29)</f>
        <v>0</v>
      </c>
      <c r="G25" s="900"/>
      <c r="H25" s="899">
        <f>SUM(H26:H29)</f>
        <v>0</v>
      </c>
      <c r="I25" s="899">
        <f>SUM(I26:I29)</f>
        <v>0</v>
      </c>
      <c r="J25" s="900"/>
      <c r="K25" s="899">
        <f>SUM(K26:K29)</f>
        <v>0</v>
      </c>
      <c r="L25" s="899">
        <f>SUM(L26:L29)</f>
        <v>0</v>
      </c>
      <c r="M25" s="901"/>
      <c r="N25" s="696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4" customFormat="1" ht="19.899999999999999" customHeight="1">
      <c r="B26" s="633"/>
      <c r="C26" s="560"/>
      <c r="D26" s="561"/>
      <c r="E26" s="506"/>
      <c r="F26" s="506"/>
      <c r="G26" s="549"/>
      <c r="H26" s="506"/>
      <c r="I26" s="506"/>
      <c r="J26" s="549"/>
      <c r="K26" s="506"/>
      <c r="L26" s="506"/>
      <c r="M26" s="516"/>
      <c r="N26" s="631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4" customFormat="1" ht="19.899999999999999" customHeight="1">
      <c r="B27" s="633"/>
      <c r="C27" s="560"/>
      <c r="D27" s="561"/>
      <c r="E27" s="506"/>
      <c r="F27" s="506"/>
      <c r="G27" s="549"/>
      <c r="H27" s="506"/>
      <c r="I27" s="506"/>
      <c r="J27" s="549"/>
      <c r="K27" s="506"/>
      <c r="L27" s="506"/>
      <c r="M27" s="516"/>
      <c r="N27" s="63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4" customFormat="1" ht="19.899999999999999" customHeight="1">
      <c r="B28" s="633"/>
      <c r="C28" s="560"/>
      <c r="D28" s="561"/>
      <c r="E28" s="506"/>
      <c r="F28" s="506"/>
      <c r="G28" s="549"/>
      <c r="H28" s="506"/>
      <c r="I28" s="506"/>
      <c r="J28" s="549"/>
      <c r="K28" s="506"/>
      <c r="L28" s="506"/>
      <c r="M28" s="516"/>
      <c r="N28" s="631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4" customFormat="1" ht="19.899999999999999" customHeight="1">
      <c r="B29" s="633"/>
      <c r="C29" s="562"/>
      <c r="D29" s="563"/>
      <c r="E29" s="508"/>
      <c r="F29" s="508"/>
      <c r="G29" s="528"/>
      <c r="H29" s="508"/>
      <c r="I29" s="508"/>
      <c r="J29" s="528"/>
      <c r="K29" s="508"/>
      <c r="L29" s="508"/>
      <c r="M29" s="517"/>
      <c r="N29" s="631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1" customFormat="1" ht="22.9" customHeight="1">
      <c r="B30" s="655"/>
      <c r="C30" s="656" t="s">
        <v>601</v>
      </c>
      <c r="D30" s="657"/>
      <c r="E30" s="658">
        <f>+E31+E40</f>
        <v>0</v>
      </c>
      <c r="F30" s="658">
        <f>+F31+F40</f>
        <v>0</v>
      </c>
      <c r="G30" s="659"/>
      <c r="H30" s="658">
        <f>+H31+H40</f>
        <v>0</v>
      </c>
      <c r="I30" s="658">
        <f>+I31+I40</f>
        <v>0</v>
      </c>
      <c r="J30" s="659"/>
      <c r="K30" s="658">
        <f>+K31+K40</f>
        <v>0</v>
      </c>
      <c r="L30" s="658">
        <f>+L31+L40</f>
        <v>0</v>
      </c>
      <c r="M30" s="660"/>
      <c r="N30" s="631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5" customFormat="1" ht="19.149999999999999" customHeight="1">
      <c r="B31" s="668"/>
      <c r="C31" s="669" t="s">
        <v>602</v>
      </c>
      <c r="D31" s="670"/>
      <c r="E31" s="671">
        <f>E32+E36</f>
        <v>0</v>
      </c>
      <c r="F31" s="671">
        <f>F32+F36</f>
        <v>0</v>
      </c>
      <c r="G31" s="672"/>
      <c r="H31" s="671">
        <f>H32+H36</f>
        <v>0</v>
      </c>
      <c r="I31" s="671">
        <f>I32+I36</f>
        <v>0</v>
      </c>
      <c r="J31" s="672"/>
      <c r="K31" s="671">
        <f>K32+K36</f>
        <v>0</v>
      </c>
      <c r="L31" s="671">
        <f>L32+L36</f>
        <v>0</v>
      </c>
      <c r="M31" s="673"/>
      <c r="N31" s="674"/>
      <c r="P31" s="613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5"/>
    </row>
    <row r="32" spans="2:29" s="661" customFormat="1" ht="19.149999999999999" customHeight="1">
      <c r="B32" s="655"/>
      <c r="C32" s="886"/>
      <c r="D32" s="887" t="s">
        <v>767</v>
      </c>
      <c r="E32" s="894">
        <f>SUM(E33:E35)</f>
        <v>0</v>
      </c>
      <c r="F32" s="894">
        <f>SUM(F33:F35)</f>
        <v>0</v>
      </c>
      <c r="G32" s="895"/>
      <c r="H32" s="894">
        <f>SUM(H33:H35)</f>
        <v>0</v>
      </c>
      <c r="I32" s="894">
        <f>SUM(I33:I35)</f>
        <v>0</v>
      </c>
      <c r="J32" s="895"/>
      <c r="K32" s="894">
        <f>SUM(K33:K35)</f>
        <v>0</v>
      </c>
      <c r="L32" s="894">
        <f>SUM(L33:L35)</f>
        <v>0</v>
      </c>
      <c r="M32" s="896"/>
      <c r="N32" s="696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4" customFormat="1" ht="19.149999999999999" customHeight="1">
      <c r="B33" s="633"/>
      <c r="C33" s="558"/>
      <c r="D33" s="559"/>
      <c r="E33" s="503"/>
      <c r="F33" s="503"/>
      <c r="G33" s="547"/>
      <c r="H33" s="503"/>
      <c r="I33" s="503"/>
      <c r="J33" s="547"/>
      <c r="K33" s="503"/>
      <c r="L33" s="503"/>
      <c r="M33" s="548"/>
      <c r="N33" s="631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4" customFormat="1" ht="19.149999999999999" customHeight="1">
      <c r="B34" s="633"/>
      <c r="C34" s="558"/>
      <c r="D34" s="559"/>
      <c r="E34" s="503"/>
      <c r="F34" s="503"/>
      <c r="G34" s="547"/>
      <c r="H34" s="503"/>
      <c r="I34" s="503"/>
      <c r="J34" s="547"/>
      <c r="K34" s="503"/>
      <c r="L34" s="503"/>
      <c r="M34" s="548"/>
      <c r="N34" s="631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4" customFormat="1" ht="19.149999999999999" customHeight="1">
      <c r="B35" s="633"/>
      <c r="C35" s="558"/>
      <c r="D35" s="559"/>
      <c r="E35" s="503"/>
      <c r="F35" s="503"/>
      <c r="G35" s="547"/>
      <c r="H35" s="503"/>
      <c r="I35" s="503"/>
      <c r="J35" s="547"/>
      <c r="K35" s="503"/>
      <c r="L35" s="503"/>
      <c r="M35" s="548"/>
      <c r="N35" s="631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1" customFormat="1" ht="19.149999999999999" customHeight="1">
      <c r="B36" s="655"/>
      <c r="C36" s="886"/>
      <c r="D36" s="887" t="s">
        <v>768</v>
      </c>
      <c r="E36" s="894">
        <f>SUM(E37:E39)</f>
        <v>0</v>
      </c>
      <c r="F36" s="894">
        <f>SUM(F37:F39)</f>
        <v>0</v>
      </c>
      <c r="G36" s="895"/>
      <c r="H36" s="894">
        <f>SUM(H37:H39)</f>
        <v>0</v>
      </c>
      <c r="I36" s="894">
        <f>SUM(I37:I39)</f>
        <v>0</v>
      </c>
      <c r="J36" s="895"/>
      <c r="K36" s="894">
        <f>SUM(K37:K39)</f>
        <v>0</v>
      </c>
      <c r="L36" s="894">
        <f>SUM(L37:L39)</f>
        <v>0</v>
      </c>
      <c r="M36" s="896"/>
      <c r="N36" s="696"/>
      <c r="P36" s="902"/>
      <c r="Q36" s="903"/>
      <c r="R36" s="903"/>
      <c r="S36" s="903"/>
      <c r="T36" s="903"/>
      <c r="U36" s="903"/>
      <c r="V36" s="903"/>
      <c r="W36" s="903"/>
      <c r="X36" s="903"/>
      <c r="Y36" s="903"/>
      <c r="Z36" s="903"/>
      <c r="AA36" s="903"/>
      <c r="AB36" s="903"/>
      <c r="AC36" s="904"/>
    </row>
    <row r="37" spans="2:29" s="664" customFormat="1" ht="19.149999999999999" customHeight="1">
      <c r="B37" s="633"/>
      <c r="C37" s="558"/>
      <c r="D37" s="559"/>
      <c r="E37" s="503"/>
      <c r="F37" s="503"/>
      <c r="G37" s="547"/>
      <c r="H37" s="503"/>
      <c r="I37" s="503"/>
      <c r="J37" s="547"/>
      <c r="K37" s="503"/>
      <c r="L37" s="503"/>
      <c r="M37" s="548"/>
      <c r="N37" s="631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4" customFormat="1" ht="19.149999999999999" customHeight="1">
      <c r="B38" s="633"/>
      <c r="C38" s="558"/>
      <c r="D38" s="559"/>
      <c r="E38" s="503"/>
      <c r="F38" s="503"/>
      <c r="G38" s="547"/>
      <c r="H38" s="503"/>
      <c r="I38" s="503"/>
      <c r="J38" s="547"/>
      <c r="K38" s="503"/>
      <c r="L38" s="503"/>
      <c r="M38" s="548"/>
      <c r="N38" s="631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4" customFormat="1" ht="19.149999999999999" customHeight="1">
      <c r="B39" s="633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31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5" customFormat="1" ht="19.149999999999999" customHeight="1">
      <c r="B40" s="668"/>
      <c r="C40" s="669" t="s">
        <v>603</v>
      </c>
      <c r="D40" s="670"/>
      <c r="E40" s="671">
        <f>+E41+E42</f>
        <v>0</v>
      </c>
      <c r="F40" s="671">
        <f>+F41+F42</f>
        <v>0</v>
      </c>
      <c r="G40" s="672"/>
      <c r="H40" s="671">
        <f>+H41+H42</f>
        <v>0</v>
      </c>
      <c r="I40" s="671">
        <f>+I41+I42</f>
        <v>0</v>
      </c>
      <c r="J40" s="672"/>
      <c r="K40" s="671">
        <f>+K41+K42</f>
        <v>0</v>
      </c>
      <c r="L40" s="671">
        <f>+L41+L42</f>
        <v>0</v>
      </c>
      <c r="M40" s="673"/>
      <c r="N40" s="674"/>
      <c r="P40" s="616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8"/>
    </row>
    <row r="41" spans="2:29" s="661" customFormat="1" ht="19.149999999999999" customHeight="1">
      <c r="B41" s="655"/>
      <c r="C41" s="886"/>
      <c r="D41" s="887" t="s">
        <v>604</v>
      </c>
      <c r="E41" s="471"/>
      <c r="F41" s="471"/>
      <c r="G41" s="888"/>
      <c r="H41" s="471"/>
      <c r="I41" s="471"/>
      <c r="J41" s="888"/>
      <c r="K41" s="471"/>
      <c r="L41" s="471"/>
      <c r="M41" s="889"/>
      <c r="N41" s="696"/>
      <c r="P41" s="902"/>
      <c r="Q41" s="903"/>
      <c r="R41" s="903"/>
      <c r="S41" s="903"/>
      <c r="T41" s="903"/>
      <c r="U41" s="903"/>
      <c r="V41" s="903"/>
      <c r="W41" s="903"/>
      <c r="X41" s="903"/>
      <c r="Y41" s="903"/>
      <c r="Z41" s="903"/>
      <c r="AA41" s="903"/>
      <c r="AB41" s="903"/>
      <c r="AC41" s="904"/>
    </row>
    <row r="42" spans="2:29" s="661" customFormat="1" ht="19.149999999999999" customHeight="1">
      <c r="B42" s="655"/>
      <c r="C42" s="905"/>
      <c r="D42" s="906" t="s">
        <v>605</v>
      </c>
      <c r="E42" s="907"/>
      <c r="F42" s="907"/>
      <c r="G42" s="908"/>
      <c r="H42" s="907"/>
      <c r="I42" s="907"/>
      <c r="J42" s="908"/>
      <c r="K42" s="907"/>
      <c r="L42" s="907"/>
      <c r="M42" s="909"/>
      <c r="N42" s="696"/>
      <c r="P42" s="902"/>
      <c r="Q42" s="903"/>
      <c r="R42" s="903"/>
      <c r="S42" s="903"/>
      <c r="T42" s="903"/>
      <c r="U42" s="903"/>
      <c r="V42" s="903"/>
      <c r="W42" s="903"/>
      <c r="X42" s="903"/>
      <c r="Y42" s="903"/>
      <c r="Z42" s="903"/>
      <c r="AA42" s="903"/>
      <c r="AB42" s="903"/>
      <c r="AC42" s="904"/>
    </row>
    <row r="43" spans="2:29" s="661" customFormat="1" ht="22.9" customHeight="1" thickBot="1">
      <c r="B43" s="655"/>
      <c r="C43" s="676" t="s">
        <v>606</v>
      </c>
      <c r="D43" s="677"/>
      <c r="E43" s="678">
        <f>E16+E19+E30</f>
        <v>0</v>
      </c>
      <c r="F43" s="678">
        <f>F16+F19+F30</f>
        <v>0</v>
      </c>
      <c r="G43" s="679"/>
      <c r="H43" s="678">
        <f>H16+H19+H30</f>
        <v>0</v>
      </c>
      <c r="I43" s="678">
        <f>I16+I19+I30</f>
        <v>0</v>
      </c>
      <c r="J43" s="679"/>
      <c r="K43" s="678">
        <f>K16+K19+K30</f>
        <v>1754389</v>
      </c>
      <c r="L43" s="678">
        <f>L16+L19+L30</f>
        <v>0</v>
      </c>
      <c r="M43" s="680"/>
      <c r="N43" s="631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4" customFormat="1" ht="22.9" customHeight="1">
      <c r="B44" s="633"/>
      <c r="C44" s="681"/>
      <c r="D44" s="681"/>
      <c r="E44" s="682"/>
      <c r="F44" s="682"/>
      <c r="G44" s="682"/>
      <c r="H44" s="682"/>
      <c r="I44" s="682"/>
      <c r="J44" s="682"/>
      <c r="K44" s="682"/>
      <c r="L44" s="682"/>
      <c r="M44" s="682"/>
      <c r="N44" s="631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9" customFormat="1" ht="22.9" customHeight="1">
      <c r="B45" s="642"/>
      <c r="C45" s="643"/>
      <c r="D45" s="644"/>
      <c r="E45" s="683" t="s">
        <v>183</v>
      </c>
      <c r="F45" s="683" t="s">
        <v>184</v>
      </c>
      <c r="G45" s="683" t="s">
        <v>185</v>
      </c>
      <c r="H45" s="1056" t="s">
        <v>523</v>
      </c>
      <c r="I45" s="1057"/>
      <c r="J45" s="1057"/>
      <c r="K45" s="1057"/>
      <c r="L45" s="1057"/>
      <c r="M45" s="1058"/>
      <c r="N45" s="631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4" customFormat="1" ht="22.9" customHeight="1">
      <c r="B46" s="650"/>
      <c r="C46" s="651" t="s">
        <v>607</v>
      </c>
      <c r="D46" s="652"/>
      <c r="E46" s="684">
        <f>ejercicio-2</f>
        <v>2016</v>
      </c>
      <c r="F46" s="684">
        <f>ejercicio-1</f>
        <v>2017</v>
      </c>
      <c r="G46" s="684">
        <f>ejercicio</f>
        <v>2018</v>
      </c>
      <c r="H46" s="1059"/>
      <c r="I46" s="1060"/>
      <c r="J46" s="1060"/>
      <c r="K46" s="1060"/>
      <c r="L46" s="1060"/>
      <c r="M46" s="1061"/>
      <c r="N46" s="631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4" customFormat="1" ht="22.9" customHeight="1" thickBot="1">
      <c r="B47" s="633"/>
      <c r="C47" s="676" t="s">
        <v>813</v>
      </c>
      <c r="D47" s="677"/>
      <c r="E47" s="678">
        <f>SUM(E48:E54)</f>
        <v>0</v>
      </c>
      <c r="F47" s="678">
        <f>SUM(F48:F54)</f>
        <v>0</v>
      </c>
      <c r="G47" s="678">
        <f>SUM(G48:G54)</f>
        <v>0</v>
      </c>
      <c r="H47" s="685"/>
      <c r="I47" s="686"/>
      <c r="J47" s="686"/>
      <c r="K47" s="686"/>
      <c r="L47" s="686"/>
      <c r="M47" s="687"/>
      <c r="N47" s="631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4" customFormat="1" ht="19.899999999999999" customHeight="1">
      <c r="B48" s="633"/>
      <c r="C48" s="707"/>
      <c r="D48" s="708"/>
      <c r="E48" s="709"/>
      <c r="F48" s="709"/>
      <c r="G48" s="709"/>
      <c r="H48" s="710"/>
      <c r="I48" s="711"/>
      <c r="J48" s="711"/>
      <c r="K48" s="711"/>
      <c r="L48" s="711"/>
      <c r="M48" s="712"/>
      <c r="N48" s="631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4" customFormat="1" ht="19.899999999999999" customHeight="1">
      <c r="B49" s="633"/>
      <c r="C49" s="560"/>
      <c r="D49" s="561"/>
      <c r="E49" s="582"/>
      <c r="F49" s="582"/>
      <c r="G49" s="582"/>
      <c r="H49" s="536"/>
      <c r="I49" s="713"/>
      <c r="J49" s="713"/>
      <c r="K49" s="713"/>
      <c r="L49" s="713"/>
      <c r="M49" s="533"/>
      <c r="N49" s="631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4" customFormat="1" ht="19.899999999999999" customHeight="1">
      <c r="B50" s="633"/>
      <c r="C50" s="560"/>
      <c r="D50" s="561"/>
      <c r="E50" s="582"/>
      <c r="F50" s="582"/>
      <c r="G50" s="582"/>
      <c r="H50" s="536"/>
      <c r="I50" s="713"/>
      <c r="J50" s="713"/>
      <c r="K50" s="713"/>
      <c r="L50" s="713"/>
      <c r="M50" s="533"/>
      <c r="N50" s="631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4" customFormat="1" ht="19.899999999999999" customHeight="1">
      <c r="B51" s="633"/>
      <c r="C51" s="560"/>
      <c r="D51" s="561"/>
      <c r="E51" s="582"/>
      <c r="F51" s="582"/>
      <c r="G51" s="582"/>
      <c r="H51" s="536"/>
      <c r="I51" s="713"/>
      <c r="J51" s="713"/>
      <c r="K51" s="713"/>
      <c r="L51" s="713"/>
      <c r="M51" s="533"/>
      <c r="N51" s="631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4" customFormat="1" ht="19.899999999999999" customHeight="1">
      <c r="B52" s="633"/>
      <c r="C52" s="560"/>
      <c r="D52" s="561"/>
      <c r="E52" s="582"/>
      <c r="F52" s="582"/>
      <c r="G52" s="582"/>
      <c r="H52" s="536"/>
      <c r="I52" s="713"/>
      <c r="J52" s="713"/>
      <c r="K52" s="713"/>
      <c r="L52" s="713"/>
      <c r="M52" s="533"/>
      <c r="N52" s="631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4" customFormat="1" ht="19.899999999999999" customHeight="1">
      <c r="B53" s="633"/>
      <c r="C53" s="560"/>
      <c r="D53" s="561"/>
      <c r="E53" s="582"/>
      <c r="F53" s="582"/>
      <c r="G53" s="582"/>
      <c r="H53" s="536"/>
      <c r="I53" s="713"/>
      <c r="J53" s="713"/>
      <c r="K53" s="713"/>
      <c r="L53" s="713"/>
      <c r="M53" s="533"/>
      <c r="N53" s="631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4" customFormat="1" ht="19.899999999999999" customHeight="1">
      <c r="B54" s="633"/>
      <c r="C54" s="562"/>
      <c r="D54" s="563"/>
      <c r="E54" s="583"/>
      <c r="F54" s="583"/>
      <c r="G54" s="583"/>
      <c r="H54" s="534"/>
      <c r="I54" s="527"/>
      <c r="J54" s="527"/>
      <c r="K54" s="527"/>
      <c r="L54" s="527"/>
      <c r="M54" s="535"/>
      <c r="N54" s="631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4" customFormat="1" ht="22.9" customHeight="1" thickBot="1">
      <c r="B55" s="633"/>
      <c r="C55" s="676" t="s">
        <v>814</v>
      </c>
      <c r="D55" s="677"/>
      <c r="E55" s="678">
        <f>SUM(E56:E62)</f>
        <v>-180</v>
      </c>
      <c r="F55" s="678">
        <f>SUM(F56:F62)</f>
        <v>0</v>
      </c>
      <c r="G55" s="678">
        <f>SUM(G56:G62)</f>
        <v>0</v>
      </c>
      <c r="H55" s="685"/>
      <c r="I55" s="686"/>
      <c r="J55" s="686"/>
      <c r="K55" s="686"/>
      <c r="L55" s="686"/>
      <c r="M55" s="687"/>
      <c r="N55" s="631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4" customFormat="1" ht="19.899999999999999" customHeight="1">
      <c r="B56" s="633"/>
      <c r="C56" s="1028" t="s">
        <v>835</v>
      </c>
      <c r="D56" s="708"/>
      <c r="E56" s="709">
        <v>-180</v>
      </c>
      <c r="F56" s="709"/>
      <c r="G56" s="709"/>
      <c r="H56" s="710"/>
      <c r="I56" s="711"/>
      <c r="J56" s="711"/>
      <c r="K56" s="711"/>
      <c r="L56" s="711"/>
      <c r="M56" s="712"/>
      <c r="N56" s="631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4" customFormat="1" ht="19.899999999999999" customHeight="1">
      <c r="B57" s="633"/>
      <c r="C57" s="560"/>
      <c r="D57" s="561"/>
      <c r="E57" s="582"/>
      <c r="F57" s="582"/>
      <c r="G57" s="582"/>
      <c r="H57" s="536"/>
      <c r="I57" s="713"/>
      <c r="J57" s="713"/>
      <c r="K57" s="713"/>
      <c r="L57" s="713"/>
      <c r="M57" s="533"/>
      <c r="N57" s="631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4" customFormat="1" ht="19.899999999999999" customHeight="1">
      <c r="B58" s="633"/>
      <c r="C58" s="560"/>
      <c r="D58" s="561"/>
      <c r="E58" s="582"/>
      <c r="F58" s="582"/>
      <c r="G58" s="582"/>
      <c r="H58" s="536"/>
      <c r="I58" s="713"/>
      <c r="J58" s="713"/>
      <c r="K58" s="713"/>
      <c r="L58" s="713"/>
      <c r="M58" s="533"/>
      <c r="N58" s="631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4" customFormat="1" ht="19.899999999999999" customHeight="1">
      <c r="B59" s="633"/>
      <c r="C59" s="560"/>
      <c r="D59" s="561"/>
      <c r="E59" s="582"/>
      <c r="F59" s="582"/>
      <c r="G59" s="582"/>
      <c r="H59" s="536"/>
      <c r="I59" s="713"/>
      <c r="J59" s="713"/>
      <c r="K59" s="713"/>
      <c r="L59" s="713"/>
      <c r="M59" s="533"/>
      <c r="N59" s="631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4" customFormat="1" ht="19.899999999999999" customHeight="1">
      <c r="B60" s="633"/>
      <c r="C60" s="560"/>
      <c r="D60" s="561"/>
      <c r="E60" s="582"/>
      <c r="F60" s="582"/>
      <c r="G60" s="582"/>
      <c r="H60" s="536"/>
      <c r="I60" s="713"/>
      <c r="J60" s="713"/>
      <c r="K60" s="713"/>
      <c r="L60" s="713"/>
      <c r="M60" s="533"/>
      <c r="N60" s="631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4" customFormat="1" ht="19.899999999999999" customHeight="1">
      <c r="B61" s="633"/>
      <c r="C61" s="560"/>
      <c r="D61" s="561"/>
      <c r="E61" s="582"/>
      <c r="F61" s="582"/>
      <c r="G61" s="582"/>
      <c r="H61" s="536"/>
      <c r="I61" s="713"/>
      <c r="J61" s="713"/>
      <c r="K61" s="713"/>
      <c r="L61" s="713"/>
      <c r="M61" s="533"/>
      <c r="N61" s="631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4" customFormat="1" ht="19.899999999999999" customHeight="1">
      <c r="B62" s="633"/>
      <c r="C62" s="562"/>
      <c r="D62" s="563"/>
      <c r="E62" s="583"/>
      <c r="F62" s="583"/>
      <c r="G62" s="583"/>
      <c r="H62" s="534"/>
      <c r="I62" s="527"/>
      <c r="J62" s="527"/>
      <c r="K62" s="527"/>
      <c r="L62" s="527"/>
      <c r="M62" s="535"/>
      <c r="N62" s="631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4" customFormat="1" ht="22.9" customHeight="1">
      <c r="B63" s="633"/>
      <c r="C63" s="681"/>
      <c r="D63" s="681"/>
      <c r="E63" s="682"/>
      <c r="F63" s="682"/>
      <c r="G63" s="682"/>
      <c r="H63" s="682"/>
      <c r="I63" s="682"/>
      <c r="J63" s="682"/>
      <c r="K63" s="682"/>
      <c r="L63" s="682"/>
      <c r="M63" s="682"/>
      <c r="N63" s="631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4" customFormat="1" ht="22.9" customHeight="1">
      <c r="B64" s="633"/>
      <c r="C64" s="643"/>
      <c r="D64" s="644"/>
      <c r="E64" s="683" t="s">
        <v>183</v>
      </c>
      <c r="F64" s="683" t="s">
        <v>184</v>
      </c>
      <c r="G64" s="683" t="s">
        <v>185</v>
      </c>
      <c r="H64" s="1056" t="s">
        <v>523</v>
      </c>
      <c r="I64" s="1057"/>
      <c r="J64" s="1057"/>
      <c r="K64" s="1057"/>
      <c r="L64" s="1057"/>
      <c r="M64" s="1058"/>
      <c r="N64" s="631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4" customFormat="1" ht="22.9" customHeight="1">
      <c r="B65" s="633"/>
      <c r="C65" s="651" t="s">
        <v>608</v>
      </c>
      <c r="D65" s="652"/>
      <c r="E65" s="684">
        <f>ejercicio-2</f>
        <v>2016</v>
      </c>
      <c r="F65" s="684">
        <f>ejercicio-1</f>
        <v>2017</v>
      </c>
      <c r="G65" s="684">
        <f>ejercicio</f>
        <v>2018</v>
      </c>
      <c r="H65" s="1059"/>
      <c r="I65" s="1060"/>
      <c r="J65" s="1060"/>
      <c r="K65" s="1060"/>
      <c r="L65" s="1060"/>
      <c r="M65" s="1061"/>
      <c r="N65" s="631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4" customFormat="1" ht="22.9" customHeight="1">
      <c r="B66" s="633"/>
      <c r="C66" s="662" t="s">
        <v>609</v>
      </c>
      <c r="D66" s="663"/>
      <c r="E66" s="503"/>
      <c r="F66" s="503"/>
      <c r="G66" s="910"/>
      <c r="H66" s="714"/>
      <c r="I66" s="715"/>
      <c r="J66" s="715"/>
      <c r="K66" s="715"/>
      <c r="L66" s="715"/>
      <c r="M66" s="504"/>
      <c r="N66" s="631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4" customFormat="1" ht="22.9" customHeight="1">
      <c r="B67" s="633"/>
      <c r="C67" s="665" t="s">
        <v>610</v>
      </c>
      <c r="D67" s="666"/>
      <c r="E67" s="508"/>
      <c r="F67" s="508"/>
      <c r="G67" s="583"/>
      <c r="H67" s="534"/>
      <c r="I67" s="527"/>
      <c r="J67" s="527"/>
      <c r="K67" s="527"/>
      <c r="L67" s="527"/>
      <c r="M67" s="535"/>
      <c r="N67" s="631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4" customFormat="1" ht="22.9" customHeight="1">
      <c r="B68" s="633"/>
      <c r="C68" s="681"/>
      <c r="D68" s="681"/>
      <c r="E68" s="682"/>
      <c r="F68" s="682"/>
      <c r="G68" s="682"/>
      <c r="H68" s="682"/>
      <c r="I68" s="682"/>
      <c r="J68" s="682"/>
      <c r="K68" s="682"/>
      <c r="L68" s="682"/>
      <c r="M68" s="682"/>
      <c r="N68" s="631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4" customFormat="1" ht="22.9" customHeight="1">
      <c r="B69" s="633"/>
      <c r="C69" s="643"/>
      <c r="D69" s="644"/>
      <c r="E69" s="683" t="s">
        <v>183</v>
      </c>
      <c r="F69" s="683" t="s">
        <v>184</v>
      </c>
      <c r="G69" s="683" t="s">
        <v>185</v>
      </c>
      <c r="H69" s="1056" t="s">
        <v>523</v>
      </c>
      <c r="I69" s="1057"/>
      <c r="J69" s="1057"/>
      <c r="K69" s="1057"/>
      <c r="L69" s="1057"/>
      <c r="M69" s="1058"/>
      <c r="N69" s="631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4" customFormat="1" ht="22.9" customHeight="1">
      <c r="B70" s="633"/>
      <c r="C70" s="651" t="s">
        <v>646</v>
      </c>
      <c r="D70" s="652"/>
      <c r="E70" s="684">
        <f>ejercicio-2</f>
        <v>2016</v>
      </c>
      <c r="F70" s="684">
        <f>ejercicio-1</f>
        <v>2017</v>
      </c>
      <c r="G70" s="684">
        <f>ejercicio</f>
        <v>2018</v>
      </c>
      <c r="H70" s="1059"/>
      <c r="I70" s="1060"/>
      <c r="J70" s="1060"/>
      <c r="K70" s="1060"/>
      <c r="L70" s="1060"/>
      <c r="M70" s="1061"/>
      <c r="N70" s="631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4" customFormat="1" ht="22.9" customHeight="1">
      <c r="B71" s="633"/>
      <c r="C71" s="656" t="s">
        <v>647</v>
      </c>
      <c r="D71" s="657"/>
      <c r="E71" s="658">
        <f>SUM(E72:E74)</f>
        <v>0</v>
      </c>
      <c r="F71" s="658">
        <f>SUM(F72:F74)</f>
        <v>6108.5</v>
      </c>
      <c r="G71" s="658">
        <f>SUM(G72:G74)</f>
        <v>0</v>
      </c>
      <c r="H71" s="688"/>
      <c r="I71" s="689"/>
      <c r="J71" s="689"/>
      <c r="K71" s="689"/>
      <c r="L71" s="689"/>
      <c r="M71" s="690"/>
      <c r="N71" s="631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4" customFormat="1" ht="22.9" customHeight="1">
      <c r="B72" s="633"/>
      <c r="C72" s="691" t="s">
        <v>648</v>
      </c>
      <c r="D72" s="692"/>
      <c r="E72" s="505"/>
      <c r="F72" s="505"/>
      <c r="G72" s="505"/>
      <c r="H72" s="531"/>
      <c r="I72" s="526"/>
      <c r="J72" s="526"/>
      <c r="K72" s="526"/>
      <c r="L72" s="526"/>
      <c r="M72" s="532"/>
      <c r="N72" s="631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4" customFormat="1" ht="22.9" customHeight="1">
      <c r="B73" s="633"/>
      <c r="C73" s="693" t="s">
        <v>649</v>
      </c>
      <c r="D73" s="667"/>
      <c r="E73" s="506"/>
      <c r="F73" s="506"/>
      <c r="G73" s="506"/>
      <c r="H73" s="536"/>
      <c r="I73" s="713"/>
      <c r="J73" s="713"/>
      <c r="K73" s="713"/>
      <c r="L73" s="713"/>
      <c r="M73" s="533"/>
      <c r="N73" s="631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4" customFormat="1" ht="22.9" customHeight="1">
      <c r="B74" s="633"/>
      <c r="C74" s="694" t="s">
        <v>650</v>
      </c>
      <c r="D74" s="695"/>
      <c r="E74" s="507"/>
      <c r="F74" s="507">
        <v>6108.5</v>
      </c>
      <c r="G74" s="507"/>
      <c r="H74" s="716"/>
      <c r="I74" s="717"/>
      <c r="J74" s="717"/>
      <c r="K74" s="717"/>
      <c r="L74" s="717"/>
      <c r="M74" s="490"/>
      <c r="N74" s="631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1" customFormat="1" ht="22.9" customHeight="1">
      <c r="B75" s="655"/>
      <c r="C75" s="656" t="s">
        <v>656</v>
      </c>
      <c r="D75" s="657"/>
      <c r="E75" s="658">
        <f>SUM(E76:E81)</f>
        <v>0</v>
      </c>
      <c r="F75" s="658">
        <f>SUM(F76:F81)</f>
        <v>0</v>
      </c>
      <c r="G75" s="658">
        <f>SUM(G76:G81)</f>
        <v>0</v>
      </c>
      <c r="H75" s="688"/>
      <c r="I75" s="689"/>
      <c r="J75" s="689"/>
      <c r="K75" s="689"/>
      <c r="L75" s="689"/>
      <c r="M75" s="690"/>
      <c r="N75" s="696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4" customFormat="1" ht="22.9" customHeight="1">
      <c r="B76" s="633"/>
      <c r="C76" s="691" t="s">
        <v>651</v>
      </c>
      <c r="D76" s="692"/>
      <c r="E76" s="580"/>
      <c r="F76" s="580"/>
      <c r="G76" s="580"/>
      <c r="H76" s="531"/>
      <c r="I76" s="526"/>
      <c r="J76" s="526"/>
      <c r="K76" s="526"/>
      <c r="L76" s="526"/>
      <c r="M76" s="532"/>
      <c r="N76" s="631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4" customFormat="1" ht="22.9" customHeight="1">
      <c r="B77" s="633"/>
      <c r="C77" s="693" t="s">
        <v>652</v>
      </c>
      <c r="D77" s="667"/>
      <c r="E77" s="582"/>
      <c r="F77" s="582"/>
      <c r="G77" s="582"/>
      <c r="H77" s="536"/>
      <c r="I77" s="713"/>
      <c r="J77" s="713"/>
      <c r="K77" s="713"/>
      <c r="L77" s="713"/>
      <c r="M77" s="533"/>
      <c r="N77" s="631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4" customFormat="1" ht="22.9" customHeight="1">
      <c r="B78" s="633"/>
      <c r="C78" s="693" t="s">
        <v>653</v>
      </c>
      <c r="D78" s="667"/>
      <c r="E78" s="582"/>
      <c r="F78" s="582"/>
      <c r="G78" s="582"/>
      <c r="H78" s="536"/>
      <c r="I78" s="713"/>
      <c r="J78" s="713"/>
      <c r="K78" s="713"/>
      <c r="L78" s="713"/>
      <c r="M78" s="533"/>
      <c r="N78" s="631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4" customFormat="1" ht="22.9" customHeight="1">
      <c r="B79" s="633"/>
      <c r="C79" s="693" t="s">
        <v>654</v>
      </c>
      <c r="D79" s="667"/>
      <c r="E79" s="582"/>
      <c r="F79" s="582"/>
      <c r="G79" s="582"/>
      <c r="H79" s="536"/>
      <c r="I79" s="713"/>
      <c r="J79" s="713"/>
      <c r="K79" s="713"/>
      <c r="L79" s="713"/>
      <c r="M79" s="533"/>
      <c r="N79" s="631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4" customFormat="1" ht="22.9" customHeight="1">
      <c r="B80" s="633"/>
      <c r="C80" s="697" t="s">
        <v>676</v>
      </c>
      <c r="D80" s="667"/>
      <c r="E80" s="582"/>
      <c r="F80" s="582"/>
      <c r="G80" s="582"/>
      <c r="H80" s="536"/>
      <c r="I80" s="713"/>
      <c r="J80" s="713"/>
      <c r="K80" s="713"/>
      <c r="L80" s="713"/>
      <c r="M80" s="533"/>
      <c r="N80" s="631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4" customFormat="1" ht="22.9" customHeight="1">
      <c r="B81" s="633"/>
      <c r="C81" s="665" t="s">
        <v>655</v>
      </c>
      <c r="D81" s="666"/>
      <c r="E81" s="583"/>
      <c r="F81" s="583"/>
      <c r="G81" s="583"/>
      <c r="H81" s="534"/>
      <c r="I81" s="527"/>
      <c r="J81" s="527"/>
      <c r="K81" s="527"/>
      <c r="L81" s="527"/>
      <c r="M81" s="535"/>
      <c r="N81" s="631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4" customFormat="1" ht="22.9" customHeight="1">
      <c r="B82" s="633"/>
      <c r="C82" s="681"/>
      <c r="D82" s="681"/>
      <c r="E82" s="682"/>
      <c r="F82" s="682"/>
      <c r="G82" s="682"/>
      <c r="H82" s="682"/>
      <c r="I82" s="682"/>
      <c r="J82" s="682"/>
      <c r="K82" s="682"/>
      <c r="L82" s="682"/>
      <c r="M82" s="682"/>
      <c r="N82" s="631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4" customFormat="1" ht="22.9" customHeight="1">
      <c r="B83" s="633"/>
      <c r="C83" s="1065" t="s">
        <v>712</v>
      </c>
      <c r="D83" s="1066"/>
      <c r="E83" s="1067"/>
      <c r="F83" s="851" t="s">
        <v>361</v>
      </c>
      <c r="G83" s="683" t="s">
        <v>185</v>
      </c>
      <c r="H83" s="1063" t="s">
        <v>523</v>
      </c>
      <c r="I83" s="1063"/>
      <c r="J83" s="1063"/>
      <c r="K83" s="1063"/>
      <c r="L83" s="1063"/>
      <c r="M83" s="1063"/>
      <c r="N83" s="631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4" customFormat="1" ht="43.15" customHeight="1">
      <c r="B84" s="633"/>
      <c r="C84" s="1068"/>
      <c r="D84" s="1069"/>
      <c r="E84" s="1070"/>
      <c r="F84" s="852" t="s">
        <v>713</v>
      </c>
      <c r="G84" s="684">
        <f>ejercicio</f>
        <v>2018</v>
      </c>
      <c r="H84" s="1064"/>
      <c r="I84" s="1064"/>
      <c r="J84" s="1064"/>
      <c r="K84" s="1064"/>
      <c r="L84" s="1064"/>
      <c r="M84" s="1064"/>
      <c r="N84" s="631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4" customFormat="1" ht="22.9" customHeight="1" thickBot="1">
      <c r="B85" s="633"/>
      <c r="C85" s="676" t="s">
        <v>717</v>
      </c>
      <c r="D85" s="856"/>
      <c r="E85" s="857"/>
      <c r="F85" s="678"/>
      <c r="G85" s="678">
        <f>SUM(G86:G88)</f>
        <v>0</v>
      </c>
      <c r="H85" s="685"/>
      <c r="I85" s="686"/>
      <c r="J85" s="686"/>
      <c r="K85" s="686"/>
      <c r="L85" s="686"/>
      <c r="M85" s="687"/>
      <c r="N85" s="631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4" customFormat="1" ht="22.9" customHeight="1">
      <c r="B86" s="633"/>
      <c r="C86" s="1071" t="s">
        <v>714</v>
      </c>
      <c r="D86" s="1072"/>
      <c r="E86" s="1073"/>
      <c r="F86" s="911"/>
      <c r="G86" s="505"/>
      <c r="H86" s="858"/>
      <c r="I86" s="526"/>
      <c r="J86" s="526"/>
      <c r="K86" s="526"/>
      <c r="L86" s="526"/>
      <c r="M86" s="727"/>
      <c r="N86" s="631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4" customFormat="1" ht="22.9" customHeight="1">
      <c r="B87" s="633"/>
      <c r="C87" s="853" t="s">
        <v>715</v>
      </c>
      <c r="D87" s="854"/>
      <c r="E87" s="855"/>
      <c r="F87" s="911"/>
      <c r="G87" s="505"/>
      <c r="H87" s="726"/>
      <c r="I87" s="526"/>
      <c r="J87" s="526"/>
      <c r="K87" s="526"/>
      <c r="L87" s="526"/>
      <c r="M87" s="727"/>
      <c r="N87" s="631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4" customFormat="1" ht="22.9" customHeight="1">
      <c r="B88" s="633"/>
      <c r="C88" s="1074" t="s">
        <v>716</v>
      </c>
      <c r="D88" s="1075"/>
      <c r="E88" s="1076"/>
      <c r="F88" s="912"/>
      <c r="G88" s="506"/>
      <c r="H88" s="728"/>
      <c r="I88" s="713"/>
      <c r="J88" s="713"/>
      <c r="K88" s="713"/>
      <c r="L88" s="713"/>
      <c r="M88" s="729"/>
      <c r="N88" s="631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4" customFormat="1" ht="22.9" customHeight="1">
      <c r="B89" s="633"/>
      <c r="C89" s="845"/>
      <c r="D89" s="681"/>
      <c r="E89" s="846"/>
      <c r="F89" s="846"/>
      <c r="G89" s="846"/>
      <c r="H89" s="847"/>
      <c r="I89" s="847"/>
      <c r="J89" s="847"/>
      <c r="K89" s="847"/>
      <c r="L89" s="847"/>
      <c r="M89" s="847"/>
      <c r="N89" s="631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4" customFormat="1" ht="22.9" customHeight="1">
      <c r="B90" s="633"/>
      <c r="C90" s="848" t="s">
        <v>354</v>
      </c>
      <c r="D90" s="849"/>
      <c r="E90" s="682"/>
      <c r="F90" s="682"/>
      <c r="G90" s="682"/>
      <c r="H90" s="682"/>
      <c r="I90" s="682"/>
      <c r="J90" s="682"/>
      <c r="K90" s="682"/>
      <c r="L90" s="682"/>
      <c r="M90" s="682"/>
      <c r="N90" s="631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4" customFormat="1" ht="22.9" customHeight="1">
      <c r="B91" s="633"/>
      <c r="C91" s="849" t="s">
        <v>769</v>
      </c>
      <c r="D91" s="849"/>
      <c r="E91" s="700"/>
      <c r="F91" s="700"/>
      <c r="G91" s="700"/>
      <c r="H91" s="700"/>
      <c r="I91" s="700"/>
      <c r="J91" s="700"/>
      <c r="K91" s="700"/>
      <c r="L91" s="700"/>
      <c r="M91" s="700"/>
      <c r="N91" s="631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4" customFormat="1" ht="22.9" customHeight="1">
      <c r="B92" s="633"/>
      <c r="C92" s="850" t="s">
        <v>612</v>
      </c>
      <c r="D92" s="849"/>
      <c r="E92" s="700"/>
      <c r="F92" s="700"/>
      <c r="G92" s="700"/>
      <c r="H92" s="700"/>
      <c r="I92" s="700"/>
      <c r="J92" s="700"/>
      <c r="K92" s="700"/>
      <c r="L92" s="700"/>
      <c r="M92" s="700"/>
      <c r="N92" s="631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4" customFormat="1" ht="22.9" customHeight="1">
      <c r="B93" s="633"/>
      <c r="C93" s="850" t="s">
        <v>770</v>
      </c>
      <c r="D93" s="849"/>
      <c r="E93" s="700"/>
      <c r="F93" s="700"/>
      <c r="G93" s="700"/>
      <c r="H93" s="700"/>
      <c r="I93" s="700"/>
      <c r="J93" s="700"/>
      <c r="K93" s="700"/>
      <c r="L93" s="700"/>
      <c r="M93" s="700"/>
      <c r="N93" s="631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" customHeight="1" thickBot="1">
      <c r="B94" s="701"/>
      <c r="C94" s="1040"/>
      <c r="D94" s="1040"/>
      <c r="E94" s="1040"/>
      <c r="F94" s="1040"/>
      <c r="G94" s="702"/>
      <c r="H94" s="702"/>
      <c r="I94" s="702"/>
      <c r="J94" s="702"/>
      <c r="K94" s="702"/>
      <c r="L94" s="702"/>
      <c r="M94" s="702"/>
      <c r="N94" s="703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" customHeight="1">
      <c r="C95" s="628"/>
      <c r="D95" s="628"/>
      <c r="E95" s="629"/>
      <c r="F95" s="629"/>
      <c r="G95" s="629"/>
      <c r="H95" s="629"/>
      <c r="I95" s="629"/>
      <c r="J95" s="629"/>
      <c r="K95" s="629"/>
      <c r="L95" s="629"/>
      <c r="M95" s="629"/>
    </row>
    <row r="96" spans="2:29" ht="12.75">
      <c r="C96" s="704" t="s">
        <v>77</v>
      </c>
      <c r="D96" s="628"/>
      <c r="E96" s="629"/>
      <c r="F96" s="629"/>
      <c r="G96" s="629"/>
      <c r="H96" s="629"/>
      <c r="I96" s="629"/>
      <c r="J96" s="629"/>
      <c r="K96" s="629"/>
      <c r="L96" s="629"/>
      <c r="M96" s="705" t="s">
        <v>47</v>
      </c>
    </row>
    <row r="97" spans="3:13" ht="12.75">
      <c r="C97" s="706" t="s">
        <v>78</v>
      </c>
      <c r="D97" s="628"/>
      <c r="E97" s="629"/>
      <c r="F97" s="629"/>
      <c r="G97" s="629"/>
      <c r="H97" s="629"/>
      <c r="I97" s="629"/>
      <c r="J97" s="629"/>
      <c r="K97" s="629"/>
      <c r="L97" s="629"/>
      <c r="M97" s="629"/>
    </row>
    <row r="98" spans="3:13" ht="12.75">
      <c r="C98" s="706" t="s">
        <v>79</v>
      </c>
      <c r="D98" s="628"/>
      <c r="E98" s="629"/>
      <c r="F98" s="629"/>
      <c r="G98" s="629"/>
      <c r="H98" s="629"/>
      <c r="I98" s="629"/>
      <c r="J98" s="629"/>
      <c r="K98" s="629"/>
      <c r="L98" s="629"/>
      <c r="M98" s="629"/>
    </row>
    <row r="99" spans="3:13" ht="12.75">
      <c r="C99" s="706" t="s">
        <v>80</v>
      </c>
      <c r="D99" s="628"/>
      <c r="E99" s="629"/>
      <c r="F99" s="629"/>
      <c r="G99" s="629"/>
      <c r="H99" s="629"/>
      <c r="I99" s="629"/>
      <c r="J99" s="629"/>
      <c r="K99" s="629"/>
      <c r="L99" s="629"/>
      <c r="M99" s="629"/>
    </row>
    <row r="100" spans="3:13" ht="12.75">
      <c r="C100" s="706" t="s">
        <v>81</v>
      </c>
      <c r="D100" s="628"/>
      <c r="E100" s="629"/>
      <c r="F100" s="629"/>
      <c r="G100" s="629"/>
      <c r="H100" s="629"/>
      <c r="I100" s="629"/>
      <c r="J100" s="629"/>
      <c r="K100" s="629"/>
      <c r="L100" s="629"/>
      <c r="M100" s="629"/>
    </row>
    <row r="101" spans="3:13" ht="22.9" customHeight="1">
      <c r="C101" s="628"/>
      <c r="D101" s="628"/>
      <c r="E101" s="629"/>
      <c r="F101" s="629"/>
      <c r="G101" s="629"/>
      <c r="H101" s="629"/>
      <c r="I101" s="629"/>
      <c r="J101" s="629"/>
      <c r="K101" s="629"/>
      <c r="L101" s="629"/>
      <c r="M101" s="629"/>
    </row>
    <row r="102" spans="3:13" ht="22.9" customHeight="1">
      <c r="C102" s="628"/>
      <c r="D102" s="628"/>
      <c r="E102" s="629"/>
      <c r="F102" s="629"/>
      <c r="G102" s="629"/>
      <c r="H102" s="629"/>
      <c r="I102" s="629"/>
      <c r="J102" s="629"/>
      <c r="K102" s="629"/>
      <c r="L102" s="629"/>
      <c r="M102" s="629"/>
    </row>
    <row r="103" spans="3:13" ht="22.9" customHeight="1">
      <c r="C103" s="628"/>
      <c r="D103" s="628"/>
      <c r="E103" s="629"/>
      <c r="F103" s="629"/>
      <c r="G103" s="629"/>
      <c r="H103" s="629"/>
      <c r="I103" s="629"/>
      <c r="J103" s="629"/>
      <c r="K103" s="629"/>
      <c r="L103" s="629"/>
      <c r="M103" s="629"/>
    </row>
    <row r="104" spans="3:13" ht="22.9" customHeight="1">
      <c r="C104" s="628"/>
      <c r="D104" s="628"/>
      <c r="E104" s="629"/>
      <c r="F104" s="629"/>
      <c r="G104" s="629"/>
      <c r="H104" s="629"/>
      <c r="I104" s="629"/>
      <c r="J104" s="629"/>
      <c r="K104" s="629"/>
      <c r="L104" s="629"/>
      <c r="M104" s="629"/>
    </row>
    <row r="105" spans="3:13" ht="22.9" customHeight="1">
      <c r="F105" s="629"/>
      <c r="G105" s="629"/>
      <c r="H105" s="629"/>
      <c r="I105" s="629"/>
      <c r="J105" s="629"/>
      <c r="K105" s="629"/>
      <c r="L105" s="629"/>
      <c r="M105" s="629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topLeftCell="A52" zoomScale="76" zoomScaleNormal="76" workbookViewId="0">
      <selection activeCell="D102" sqref="D102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5" t="str">
        <f>Entidad</f>
        <v>Gestión Insular de Aguas de Tenerife, S.A. (GESTA)</v>
      </c>
      <c r="E9" s="1055"/>
      <c r="F9" s="1055"/>
      <c r="G9" s="105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19775.759999999998</v>
      </c>
      <c r="F16" s="332">
        <f>F17+F26+F30+F33+F40+F47+F48</f>
        <v>28054.47</v>
      </c>
      <c r="G16" s="346">
        <f>G17+G26+G30+G33+G40+G47+G48</f>
        <v>17349.759999999998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0</v>
      </c>
      <c r="F17" s="333">
        <f>SUM(F18:F25)</f>
        <v>3950.33</v>
      </c>
      <c r="G17" s="348">
        <f>SUM(G18:G25)</f>
        <v>2445.1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50"/>
      <c r="F22" s="451">
        <v>3950.33</v>
      </c>
      <c r="G22" s="452">
        <v>2445.1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19775.759999999998</v>
      </c>
      <c r="F26" s="333">
        <f>SUM(F27:F29)</f>
        <v>24104.14</v>
      </c>
      <c r="G26" s="348">
        <f>SUM(G27:G29)</f>
        <v>14904.66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50">
        <v>19775.759999999998</v>
      </c>
      <c r="F28" s="451">
        <v>24104.14</v>
      </c>
      <c r="G28" s="452">
        <v>14904.66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48365.669999999991</v>
      </c>
      <c r="F50" s="332">
        <f>F51+F52+F65+F75+F82+F89+F90</f>
        <v>2627582.88</v>
      </c>
      <c r="G50" s="346">
        <f>G51+G52+G65+G75+G82+G89+G90</f>
        <v>9194265.2299999986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20127.990000000002</v>
      </c>
      <c r="F52" s="333">
        <f t="shared" ref="F52:G52" si="0">F53+F54+F57+F60+F63+F64</f>
        <v>2548775.27</v>
      </c>
      <c r="G52" s="348">
        <f t="shared" si="0"/>
        <v>9125917.1400000006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8"/>
      <c r="F55" s="719"/>
      <c r="G55" s="720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8"/>
      <c r="F56" s="719"/>
      <c r="G56" s="72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20127.990000000002</v>
      </c>
      <c r="F57" s="334">
        <f t="shared" ref="F57:G57" si="2">F58+F59</f>
        <v>2548775.27</v>
      </c>
      <c r="G57" s="351">
        <f t="shared" si="2"/>
        <v>9125917.1400000006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8">
        <v>20127.990000000002</v>
      </c>
      <c r="F58" s="719">
        <v>2548775.27</v>
      </c>
      <c r="G58" s="720">
        <v>9125917.1400000006</v>
      </c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8"/>
      <c r="F59" s="719"/>
      <c r="G59" s="720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8"/>
      <c r="F61" s="719"/>
      <c r="G61" s="720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8"/>
      <c r="F62" s="719"/>
      <c r="G62" s="720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26459.989999999998</v>
      </c>
      <c r="F65" s="333">
        <f t="shared" ref="F65:G65" si="4">F66+SUM(F69:F74)</f>
        <v>7678.03</v>
      </c>
      <c r="G65" s="348">
        <f t="shared" si="4"/>
        <v>3246.37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0</v>
      </c>
      <c r="F66" s="334">
        <f t="shared" ref="F66:G66" si="5">F67+F68</f>
        <v>0</v>
      </c>
      <c r="G66" s="351">
        <f t="shared" si="5"/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8"/>
      <c r="F67" s="719"/>
      <c r="G67" s="720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8"/>
      <c r="F68" s="719"/>
      <c r="G68" s="72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50"/>
      <c r="F70" s="451"/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50">
        <v>2259.9899999999998</v>
      </c>
      <c r="F73" s="451">
        <v>7678.03</v>
      </c>
      <c r="G73" s="452">
        <v>3246.37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50">
        <v>24200</v>
      </c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3">
        <v>763.2</v>
      </c>
      <c r="F89" s="454">
        <v>288.43</v>
      </c>
      <c r="G89" s="455">
        <v>288.43</v>
      </c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1014.49</v>
      </c>
      <c r="F90" s="333">
        <f t="shared" ref="F90:G90" si="8">SUM(F91:F92)</f>
        <v>70841.149999999994</v>
      </c>
      <c r="G90" s="348">
        <f t="shared" si="8"/>
        <v>64813.29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50">
        <v>1014.49</v>
      </c>
      <c r="F91" s="451">
        <v>70841.149999999994</v>
      </c>
      <c r="G91" s="452">
        <f>62691.29+2122</f>
        <v>64813.29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68141.429999999993</v>
      </c>
      <c r="F94" s="336">
        <f t="shared" ref="F94:G94" si="9">F50+F16</f>
        <v>2655637.35</v>
      </c>
      <c r="G94" s="321">
        <f t="shared" si="9"/>
        <v>9211614.9899999984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54"/>
      <c r="D95" s="1054"/>
      <c r="E95" s="1054"/>
      <c r="F95" s="1054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30"/>
      <c r="F102" s="722"/>
      <c r="G102" s="722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70" zoomScaleNormal="70" workbookViewId="0">
      <selection activeCell="D79" sqref="D79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3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3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5" t="str">
        <f>Entidad</f>
        <v>Gestión Insular de Aguas de Tenerife, S.A. (GESTA)</v>
      </c>
      <c r="E9" s="1055"/>
      <c r="F9" s="1055"/>
      <c r="G9" s="1055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56640.490000000005</v>
      </c>
      <c r="F16" s="124">
        <f>F17+F35+F41</f>
        <v>85032.549999999988</v>
      </c>
      <c r="G16" s="133">
        <f>G17+G35+G41</f>
        <v>85032.87999999999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56640.490000000005</v>
      </c>
      <c r="F17" s="125">
        <f>+F18+F21+F22+F27+F28+F31+F32+F33+F34</f>
        <v>85032.549999999988</v>
      </c>
      <c r="G17" s="135">
        <f>+G18+G21+G22+G27+G28+G31+G32+G33+G34</f>
        <v>85032.87999999999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60000</v>
      </c>
      <c r="F18" s="125">
        <f>SUM(F19:F20)</f>
        <v>60000</v>
      </c>
      <c r="G18" s="135">
        <f>SUM(G19:G20)</f>
        <v>60000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3">
        <v>60000</v>
      </c>
      <c r="F19" s="443">
        <v>60000</v>
      </c>
      <c r="G19" s="459">
        <v>60000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-787.08</v>
      </c>
      <c r="F22" s="125">
        <f>SUM(F23:F26)</f>
        <v>-787.08</v>
      </c>
      <c r="G22" s="135">
        <f>SUM(G23:G26)</f>
        <v>-787.08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44">
        <v>-787.08</v>
      </c>
      <c r="F24" s="444">
        <v>-787.08</v>
      </c>
      <c r="G24" s="460">
        <v>-787.08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-9465.3799999999992</v>
      </c>
      <c r="F28" s="125">
        <f>SUM(F29:F30)</f>
        <v>-26772.43</v>
      </c>
      <c r="G28" s="135">
        <f>SUM(G29:G30)</f>
        <v>-107972.37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4">
        <v>-9465.3799999999992</v>
      </c>
      <c r="F30" s="444">
        <v>-26772.43</v>
      </c>
      <c r="G30" s="460">
        <v>-107972.37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5">
        <v>24200</v>
      </c>
      <c r="F31" s="445">
        <v>133792</v>
      </c>
      <c r="G31" s="461">
        <f>198440+2122</f>
        <v>200562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45">
        <v>-17307.05</v>
      </c>
      <c r="F32" s="445">
        <v>-81199.94</v>
      </c>
      <c r="G32" s="461">
        <v>-66769.67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45"/>
      <c r="F41" s="445"/>
      <c r="G41" s="461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0</v>
      </c>
      <c r="F43" s="124">
        <f>F44+F49+SUM(F55:F59)</f>
        <v>0</v>
      </c>
      <c r="G43" s="133">
        <f>G44+G49+SUM(G55:G59)</f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4"/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11500.94</v>
      </c>
      <c r="F61" s="124">
        <f>F62+F63+F66+F72+F73+F83+F84</f>
        <v>2570604.8000000003</v>
      </c>
      <c r="G61" s="133">
        <f>G62+G63+G66+G72+G73+G83+G84</f>
        <v>9126582.1099999994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0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44"/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11500.94</v>
      </c>
      <c r="F73" s="125">
        <f>F74+SUM(F77:F82)</f>
        <v>2570604.8000000003</v>
      </c>
      <c r="G73" s="135">
        <f>G74+SUM(G77:G82)</f>
        <v>9126582.1099999994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276849.58</v>
      </c>
      <c r="G74" s="138">
        <f>SUM(G75:G76)</f>
        <v>239376.22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2"/>
      <c r="F76" s="462">
        <v>276849.58</v>
      </c>
      <c r="G76" s="463">
        <v>239376.22</v>
      </c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44">
        <f>11500.94-E81</f>
        <v>3343.8</v>
      </c>
      <c r="F78" s="444">
        <v>4125</v>
      </c>
      <c r="G78" s="460">
        <v>4125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4">
        <v>8157.14</v>
      </c>
      <c r="F81" s="444">
        <v>15575.1</v>
      </c>
      <c r="G81" s="460">
        <v>13414.77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4"/>
      <c r="F82" s="444">
        <v>2274055.12</v>
      </c>
      <c r="G82" s="460">
        <v>8869666.1199999992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68141.430000000008</v>
      </c>
      <c r="F86" s="129">
        <f>F16+F43+F61</f>
        <v>2655637.35</v>
      </c>
      <c r="G86" s="144">
        <f>G16+G43+G61</f>
        <v>9211614.9900000002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54"/>
      <c r="D87" s="1054"/>
      <c r="E87" s="1054"/>
      <c r="F87" s="1054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2" t="str">
        <f>IF(CHECK_LIST!J15&gt;0,"Revisa","")</f>
        <v/>
      </c>
      <c r="F94" s="722" t="str">
        <f>IF(CHECK_LIST!K15&gt;0,"Revisa","")</f>
        <v/>
      </c>
      <c r="G94" s="722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2018-01-26T13:02:07Z</cp:lastPrinted>
  <dcterms:created xsi:type="dcterms:W3CDTF">2017-09-18T15:25:23Z</dcterms:created>
  <dcterms:modified xsi:type="dcterms:W3CDTF">2018-01-26T13:02:35Z</dcterms:modified>
</cp:coreProperties>
</file>