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80" windowWidth="23130" windowHeight="13050" tabRatio="828" firstSheet="2" activeTab="8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34" l="1"/>
  <c r="G79" i="36"/>
  <c r="L22" i="15"/>
  <c r="H19" i="13"/>
  <c r="G17" i="13"/>
  <c r="F77" i="36"/>
  <c r="E41" i="36"/>
  <c r="F41" i="36"/>
  <c r="F31" i="7"/>
  <c r="G31" i="7"/>
  <c r="G32" i="7"/>
  <c r="F32" i="7"/>
  <c r="E32" i="7"/>
  <c r="E31" i="7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52" i="9" s="1"/>
  <c r="E50" i="9" s="1"/>
  <c r="E94" i="9" s="1"/>
  <c r="E60" i="9"/>
  <c r="E66" i="9"/>
  <c r="E65" i="9"/>
  <c r="E75" i="9"/>
  <c r="E82" i="9"/>
  <c r="E90" i="9"/>
  <c r="E63" i="14"/>
  <c r="E66" i="14"/>
  <c r="E61" i="14" s="1"/>
  <c r="E74" i="14"/>
  <c r="E73" i="14"/>
  <c r="E68" i="32"/>
  <c r="G50" i="18"/>
  <c r="G65" i="18"/>
  <c r="E24" i="31" s="1"/>
  <c r="G30" i="7"/>
  <c r="J39" i="25"/>
  <c r="J40" i="25"/>
  <c r="J45" i="25" s="1"/>
  <c r="F31" i="25" s="1"/>
  <c r="G38" i="37" s="1"/>
  <c r="L38" i="37" s="1"/>
  <c r="M38" i="37" s="1"/>
  <c r="J41" i="25"/>
  <c r="J42" i="25"/>
  <c r="J43" i="25"/>
  <c r="J44" i="25"/>
  <c r="F53" i="25"/>
  <c r="J51" i="17"/>
  <c r="J52" i="17"/>
  <c r="J53" i="17"/>
  <c r="J54" i="17"/>
  <c r="J55" i="17"/>
  <c r="J56" i="17"/>
  <c r="J57" i="17"/>
  <c r="J58" i="17"/>
  <c r="G31" i="37" s="1"/>
  <c r="J27" i="17"/>
  <c r="J34" i="17" s="1"/>
  <c r="G29" i="37" s="1"/>
  <c r="J28" i="17"/>
  <c r="J29" i="17"/>
  <c r="J30" i="17"/>
  <c r="J31" i="17"/>
  <c r="J32" i="17"/>
  <c r="J33" i="17"/>
  <c r="J42" i="17"/>
  <c r="J43" i="17"/>
  <c r="J49" i="17" s="1"/>
  <c r="G30" i="37" s="1"/>
  <c r="J44" i="17"/>
  <c r="J45" i="17"/>
  <c r="J46" i="17"/>
  <c r="J47" i="17"/>
  <c r="J48" i="17"/>
  <c r="J18" i="17"/>
  <c r="J25" i="17" s="1"/>
  <c r="G28" i="37" s="1"/>
  <c r="J19" i="17"/>
  <c r="J20" i="17"/>
  <c r="J21" i="17"/>
  <c r="J22" i="17"/>
  <c r="J23" i="17"/>
  <c r="J24" i="17"/>
  <c r="G30" i="9"/>
  <c r="M18" i="15"/>
  <c r="E29" i="15" s="1"/>
  <c r="M29" i="15" s="1"/>
  <c r="G24" i="37" s="1"/>
  <c r="L24" i="37" s="1"/>
  <c r="M24" i="37" s="1"/>
  <c r="M19" i="15"/>
  <c r="E30" i="15"/>
  <c r="M30" i="15" s="1"/>
  <c r="G75" i="9"/>
  <c r="G82" i="9"/>
  <c r="G54" i="9"/>
  <c r="G57" i="9"/>
  <c r="G52" i="9" s="1"/>
  <c r="G50" i="9" s="1"/>
  <c r="G60" i="9"/>
  <c r="G66" i="9"/>
  <c r="G65" i="9"/>
  <c r="G90" i="9"/>
  <c r="F54" i="9"/>
  <c r="F52" i="9" s="1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 s="1"/>
  <c r="L37" i="37" s="1"/>
  <c r="M37" i="37" s="1"/>
  <c r="Q17" i="23"/>
  <c r="Q42" i="23" s="1"/>
  <c r="G36" i="37" s="1"/>
  <c r="L36" i="37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6" i="37" s="1"/>
  <c r="K36" i="37" s="1"/>
  <c r="M36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49" i="7" s="1"/>
  <c r="G55" i="36"/>
  <c r="G85" i="36"/>
  <c r="E42" i="33" s="1"/>
  <c r="G84" i="36"/>
  <c r="J14" i="38"/>
  <c r="J15" i="38"/>
  <c r="J16" i="38"/>
  <c r="J17" i="38"/>
  <c r="J18" i="38"/>
  <c r="J19" i="38"/>
  <c r="J20" i="38"/>
  <c r="J21" i="38"/>
  <c r="J22" i="38"/>
  <c r="J44" i="38" s="1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33" i="9"/>
  <c r="G40" i="9"/>
  <c r="G17" i="9"/>
  <c r="G16" i="9" s="1"/>
  <c r="G26" i="9"/>
  <c r="G18" i="14"/>
  <c r="G17" i="14" s="1"/>
  <c r="G16" i="14" s="1"/>
  <c r="G22" i="14"/>
  <c r="G28" i="14"/>
  <c r="G35" i="14"/>
  <c r="G44" i="14"/>
  <c r="G49" i="14"/>
  <c r="G43" i="14"/>
  <c r="G63" i="14"/>
  <c r="G66" i="14"/>
  <c r="G61" i="14" s="1"/>
  <c r="G74" i="14"/>
  <c r="G73" i="14"/>
  <c r="E17" i="9"/>
  <c r="E16" i="9" s="1"/>
  <c r="E26" i="9"/>
  <c r="E30" i="9"/>
  <c r="E33" i="9"/>
  <c r="E40" i="9"/>
  <c r="E18" i="14"/>
  <c r="E22" i="14"/>
  <c r="E28" i="14"/>
  <c r="E17" i="14"/>
  <c r="E16" i="14" s="1"/>
  <c r="E35" i="14"/>
  <c r="E44" i="14"/>
  <c r="E43" i="14" s="1"/>
  <c r="E49" i="14"/>
  <c r="F17" i="9"/>
  <c r="F26" i="9"/>
  <c r="F23" i="37" s="1"/>
  <c r="K23" i="37" s="1"/>
  <c r="F30" i="9"/>
  <c r="F33" i="9"/>
  <c r="F16" i="9" s="1"/>
  <c r="F40" i="9"/>
  <c r="F18" i="14"/>
  <c r="F17" i="14" s="1"/>
  <c r="F16" i="14" s="1"/>
  <c r="F86" i="14" s="1"/>
  <c r="F22" i="14"/>
  <c r="F28" i="14"/>
  <c r="F35" i="14"/>
  <c r="F44" i="14"/>
  <c r="F49" i="14"/>
  <c r="F43" i="14"/>
  <c r="F63" i="14"/>
  <c r="F66" i="14"/>
  <c r="F61" i="14" s="1"/>
  <c r="F74" i="14"/>
  <c r="F73" i="14"/>
  <c r="E55" i="36"/>
  <c r="E47" i="36"/>
  <c r="E18" i="37" s="1"/>
  <c r="J18" i="37" s="1"/>
  <c r="K32" i="36"/>
  <c r="K31" i="36" s="1"/>
  <c r="K36" i="36"/>
  <c r="G16" i="7"/>
  <c r="G27" i="7"/>
  <c r="G34" i="7"/>
  <c r="G43" i="7"/>
  <c r="G59" i="7"/>
  <c r="G52" i="7"/>
  <c r="E20" i="33" s="1"/>
  <c r="G55" i="7"/>
  <c r="G51" i="7"/>
  <c r="G63" i="7"/>
  <c r="G67" i="7"/>
  <c r="E35" i="29" s="1"/>
  <c r="G70" i="7"/>
  <c r="G74" i="7"/>
  <c r="E18" i="33"/>
  <c r="E19" i="33"/>
  <c r="E19" i="34" s="1"/>
  <c r="E25" i="33"/>
  <c r="E29" i="33"/>
  <c r="E33" i="33"/>
  <c r="E33" i="32" s="1"/>
  <c r="E39" i="33"/>
  <c r="E41" i="33"/>
  <c r="E47" i="33"/>
  <c r="E51" i="33"/>
  <c r="E55" i="33"/>
  <c r="F19" i="20"/>
  <c r="M42" i="23"/>
  <c r="F65" i="18"/>
  <c r="F35" i="37" s="1"/>
  <c r="K35" i="37" s="1"/>
  <c r="M35" i="37" s="1"/>
  <c r="G35" i="37"/>
  <c r="L35" i="37"/>
  <c r="G34" i="37"/>
  <c r="L34" i="37" s="1"/>
  <c r="F50" i="18"/>
  <c r="F34" i="37"/>
  <c r="K34" i="37" s="1"/>
  <c r="M34" i="37" s="1"/>
  <c r="G30" i="18"/>
  <c r="G35" i="18" s="1"/>
  <c r="G32" i="37" s="1"/>
  <c r="L32" i="37" s="1"/>
  <c r="F30" i="18"/>
  <c r="F35" i="18" s="1"/>
  <c r="F32" i="37" s="1"/>
  <c r="K32" i="37" s="1"/>
  <c r="I31" i="15"/>
  <c r="G26" i="37" s="1"/>
  <c r="L26" i="37" s="1"/>
  <c r="I20" i="15"/>
  <c r="F26" i="37"/>
  <c r="K26" i="37" s="1"/>
  <c r="M26" i="37" s="1"/>
  <c r="M22" i="15"/>
  <c r="E33" i="15"/>
  <c r="M33" i="15" s="1"/>
  <c r="G25" i="37" s="1"/>
  <c r="L25" i="37" s="1"/>
  <c r="F24" i="37"/>
  <c r="K24" i="37"/>
  <c r="M17" i="15"/>
  <c r="E28" i="15"/>
  <c r="M28" i="15" s="1"/>
  <c r="M16" i="15"/>
  <c r="E27" i="15" s="1"/>
  <c r="M27" i="15" s="1"/>
  <c r="M15" i="15"/>
  <c r="E26" i="15" s="1"/>
  <c r="G75" i="36"/>
  <c r="G20" i="37" s="1"/>
  <c r="L20" i="37" s="1"/>
  <c r="F75" i="36"/>
  <c r="F20" i="37" s="1"/>
  <c r="K20" i="37" s="1"/>
  <c r="E75" i="36"/>
  <c r="E20" i="37"/>
  <c r="J20" i="37" s="1"/>
  <c r="M20" i="37" s="1"/>
  <c r="G71" i="36"/>
  <c r="G19" i="37" s="1"/>
  <c r="L19" i="37" s="1"/>
  <c r="E71" i="36"/>
  <c r="E19" i="37"/>
  <c r="J19" i="37" s="1"/>
  <c r="M19" i="37" s="1"/>
  <c r="F71" i="36"/>
  <c r="F19" i="37" s="1"/>
  <c r="K19" i="37" s="1"/>
  <c r="G47" i="36"/>
  <c r="E27" i="29" s="1"/>
  <c r="F47" i="36"/>
  <c r="F18" i="37" s="1"/>
  <c r="K18" i="37" s="1"/>
  <c r="F55" i="36"/>
  <c r="K16" i="36"/>
  <c r="K20" i="36"/>
  <c r="K25" i="36"/>
  <c r="K19" i="36" s="1"/>
  <c r="K40" i="36"/>
  <c r="E21" i="31" s="1"/>
  <c r="E16" i="7"/>
  <c r="E16" i="36"/>
  <c r="E20" i="36"/>
  <c r="E19" i="36" s="1"/>
  <c r="E25" i="36"/>
  <c r="E32" i="36"/>
  <c r="E31" i="36" s="1"/>
  <c r="E30" i="36" s="1"/>
  <c r="E36" i="36"/>
  <c r="E40" i="36"/>
  <c r="F16" i="7"/>
  <c r="H16" i="36"/>
  <c r="H20" i="36"/>
  <c r="H25" i="36"/>
  <c r="H19" i="36"/>
  <c r="H32" i="36"/>
  <c r="H31" i="36" s="1"/>
  <c r="H30" i="36" s="1"/>
  <c r="H36" i="36"/>
  <c r="H40" i="36"/>
  <c r="E52" i="7"/>
  <c r="E55" i="7"/>
  <c r="E51" i="7"/>
  <c r="E74" i="7" s="1"/>
  <c r="E59" i="7"/>
  <c r="E63" i="7"/>
  <c r="E67" i="7"/>
  <c r="E70" i="7"/>
  <c r="E22" i="7"/>
  <c r="E49" i="7" s="1"/>
  <c r="E27" i="7"/>
  <c r="E30" i="7"/>
  <c r="E34" i="7"/>
  <c r="E43" i="7"/>
  <c r="F27" i="7"/>
  <c r="F22" i="7"/>
  <c r="F30" i="7"/>
  <c r="F34" i="7"/>
  <c r="F43" i="7"/>
  <c r="F52" i="7"/>
  <c r="F55" i="7"/>
  <c r="F51" i="7" s="1"/>
  <c r="F74" i="7" s="1"/>
  <c r="F59" i="7"/>
  <c r="F63" i="7"/>
  <c r="F67" i="7"/>
  <c r="F70" i="7"/>
  <c r="L16" i="36"/>
  <c r="L20" i="36"/>
  <c r="L19" i="36" s="1"/>
  <c r="L25" i="36"/>
  <c r="L32" i="36"/>
  <c r="L31" i="36" s="1"/>
  <c r="L30" i="36" s="1"/>
  <c r="L36" i="36"/>
  <c r="L40" i="36"/>
  <c r="I16" i="36"/>
  <c r="I43" i="36" s="1"/>
  <c r="I20" i="36"/>
  <c r="I25" i="36"/>
  <c r="I19" i="36" s="1"/>
  <c r="I32" i="36"/>
  <c r="I36" i="36"/>
  <c r="I31" i="36"/>
  <c r="I30" i="36" s="1"/>
  <c r="I40" i="36"/>
  <c r="F16" i="36"/>
  <c r="F20" i="36"/>
  <c r="F19" i="36" s="1"/>
  <c r="F25" i="36"/>
  <c r="F32" i="36"/>
  <c r="F31" i="36" s="1"/>
  <c r="F30" i="36" s="1"/>
  <c r="F36" i="36"/>
  <c r="F40" i="36"/>
  <c r="E40" i="29"/>
  <c r="H31" i="15"/>
  <c r="K31" i="15"/>
  <c r="E39" i="29" s="1"/>
  <c r="E38" i="29"/>
  <c r="E37" i="29"/>
  <c r="E34" i="29"/>
  <c r="E36" i="29"/>
  <c r="E25" i="29"/>
  <c r="E33" i="29"/>
  <c r="E32" i="29"/>
  <c r="E21" i="29"/>
  <c r="E22" i="29"/>
  <c r="E23" i="29"/>
  <c r="E24" i="29"/>
  <c r="E26" i="29"/>
  <c r="G79" i="18"/>
  <c r="E28" i="29" s="1"/>
  <c r="E25" i="31"/>
  <c r="E26" i="31"/>
  <c r="E28" i="31"/>
  <c r="E28" i="34"/>
  <c r="E28" i="32" s="1"/>
  <c r="N42" i="23"/>
  <c r="E50" i="32"/>
  <c r="E70" i="32"/>
  <c r="G31" i="15"/>
  <c r="E63" i="32" s="1"/>
  <c r="E62" i="32" s="1"/>
  <c r="E64" i="32"/>
  <c r="J31" i="15"/>
  <c r="E65" i="32"/>
  <c r="L31" i="15"/>
  <c r="E66" i="32"/>
  <c r="I25" i="17"/>
  <c r="I34" i="17"/>
  <c r="I49" i="17"/>
  <c r="I58" i="17"/>
  <c r="E67" i="32"/>
  <c r="E18" i="34"/>
  <c r="E18" i="32"/>
  <c r="E16" i="32"/>
  <c r="E17" i="32"/>
  <c r="E23" i="34"/>
  <c r="E23" i="32" s="1"/>
  <c r="H25" i="17"/>
  <c r="H34" i="17"/>
  <c r="H49" i="17"/>
  <c r="H58" i="17"/>
  <c r="E27" i="34"/>
  <c r="E29" i="34" s="1"/>
  <c r="E36" i="34"/>
  <c r="E39" i="32" s="1"/>
  <c r="E38" i="34"/>
  <c r="E41" i="32" s="1"/>
  <c r="E42" i="34"/>
  <c r="E45" i="32" s="1"/>
  <c r="E47" i="32" s="1"/>
  <c r="E46" i="32"/>
  <c r="G25" i="17"/>
  <c r="G34" i="17"/>
  <c r="G49" i="17"/>
  <c r="G58" i="17"/>
  <c r="E46" i="34"/>
  <c r="E49" i="32" s="1"/>
  <c r="E51" i="32" s="1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44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24" i="34"/>
  <c r="E25" i="34" s="1"/>
  <c r="E29" i="29"/>
  <c r="G21" i="37"/>
  <c r="L21" i="37" s="1"/>
  <c r="M21" i="37" s="1"/>
  <c r="E19" i="32" l="1"/>
  <c r="E21" i="34"/>
  <c r="E31" i="34" s="1"/>
  <c r="E21" i="33"/>
  <c r="E31" i="33" s="1"/>
  <c r="E35" i="33" s="1"/>
  <c r="E20" i="34"/>
  <c r="E20" i="32" s="1"/>
  <c r="M23" i="37"/>
  <c r="G86" i="14"/>
  <c r="L43" i="36"/>
  <c r="E17" i="31"/>
  <c r="E86" i="14"/>
  <c r="G23" i="37"/>
  <c r="L23" i="37" s="1"/>
  <c r="E21" i="32"/>
  <c r="E76" i="7"/>
  <c r="E79" i="7" s="1"/>
  <c r="E84" i="7" s="1"/>
  <c r="E16" i="37" s="1"/>
  <c r="J16" i="37" s="1"/>
  <c r="E43" i="36"/>
  <c r="E17" i="37" s="1"/>
  <c r="J17" i="37" s="1"/>
  <c r="E20" i="29"/>
  <c r="E45" i="29" s="1"/>
  <c r="M32" i="37"/>
  <c r="G76" i="7"/>
  <c r="G79" i="7" s="1"/>
  <c r="G84" i="7" s="1"/>
  <c r="G94" i="9"/>
  <c r="G15" i="37" s="1"/>
  <c r="L15" i="37" s="1"/>
  <c r="G94" i="14" s="1"/>
  <c r="E31" i="15"/>
  <c r="M26" i="15"/>
  <c r="K30" i="36"/>
  <c r="K43" i="36" s="1"/>
  <c r="G17" i="37" s="1"/>
  <c r="L17" i="37" s="1"/>
  <c r="E18" i="31"/>
  <c r="E40" i="33"/>
  <c r="E39" i="34"/>
  <c r="E42" i="32" s="1"/>
  <c r="E23" i="31"/>
  <c r="E15" i="37"/>
  <c r="J15" i="37" s="1"/>
  <c r="F43" i="36"/>
  <c r="H43" i="36"/>
  <c r="F17" i="37" s="1"/>
  <c r="K17" i="37" s="1"/>
  <c r="E31" i="29"/>
  <c r="E71" i="32"/>
  <c r="F50" i="9"/>
  <c r="F94" i="9" s="1"/>
  <c r="F15" i="37" s="1"/>
  <c r="K15" i="37" s="1"/>
  <c r="F94" i="14" s="1"/>
  <c r="F25" i="37"/>
  <c r="K25" i="37" s="1"/>
  <c r="M25" i="37" s="1"/>
  <c r="F49" i="7"/>
  <c r="F76" i="7" s="1"/>
  <c r="F79" i="7" s="1"/>
  <c r="F84" i="7" s="1"/>
  <c r="F16" i="37" s="1"/>
  <c r="K16" i="37" s="1"/>
  <c r="E24" i="32"/>
  <c r="E25" i="32" s="1"/>
  <c r="E48" i="34"/>
  <c r="E27" i="32"/>
  <c r="E29" i="32" s="1"/>
  <c r="G18" i="37"/>
  <c r="L18" i="37" s="1"/>
  <c r="M18" i="37" s="1"/>
  <c r="F22" i="37"/>
  <c r="K22" i="37" s="1"/>
  <c r="E94" i="14" l="1"/>
  <c r="M15" i="37"/>
  <c r="E43" i="33"/>
  <c r="E53" i="33" s="1"/>
  <c r="E57" i="33" s="1"/>
  <c r="E37" i="34"/>
  <c r="G16" i="37"/>
  <c r="L16" i="37" s="1"/>
  <c r="M16" i="37" s="1"/>
  <c r="E59" i="33"/>
  <c r="G40" i="37" s="1"/>
  <c r="L40" i="37" s="1"/>
  <c r="M40" i="37" s="1"/>
  <c r="G22" i="37"/>
  <c r="L22" i="37" s="1"/>
  <c r="M22" i="37" s="1"/>
  <c r="M31" i="15"/>
  <c r="E69" i="32"/>
  <c r="E61" i="32" s="1"/>
  <c r="M17" i="37"/>
  <c r="E31" i="32"/>
  <c r="E35" i="32" s="1"/>
  <c r="E16" i="31"/>
  <c r="E40" i="32" l="1"/>
  <c r="E43" i="32" s="1"/>
  <c r="E53" i="32" s="1"/>
  <c r="E57" i="32" s="1"/>
  <c r="E40" i="34"/>
  <c r="E50" i="34" s="1"/>
  <c r="F16" i="31"/>
  <c r="E33" i="31"/>
  <c r="E59" i="32"/>
  <c r="E73" i="32" s="1"/>
  <c r="F30" i="31" l="1"/>
  <c r="F19" i="31"/>
  <c r="F33" i="31"/>
  <c r="F29" i="31"/>
  <c r="F31" i="31"/>
  <c r="F26" i="31"/>
  <c r="F21" i="31"/>
  <c r="F25" i="31"/>
  <c r="F24" i="31"/>
  <c r="F28" i="31"/>
  <c r="F23" i="31"/>
  <c r="F18" i="31"/>
  <c r="F17" i="31"/>
</calcChain>
</file>

<file path=xl/sharedStrings.xml><?xml version="1.0" encoding="utf-8"?>
<sst xmlns="http://schemas.openxmlformats.org/spreadsheetml/2006/main" count="1641" uniqueCount="874">
  <si>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</si>
  <si>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</si>
  <si>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</si>
  <si>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</si>
  <si>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</si>
  <si>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</si>
  <si>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</si>
  <si>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</si>
  <si>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</si>
  <si>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</si>
  <si>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</si>
  <si>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</si>
  <si>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</si>
  <si>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</si>
  <si>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</si>
  <si>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</si>
  <si>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</si>
  <si>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</si>
  <si>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</si>
  <si>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</si>
  <si>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</si>
  <si>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</si>
  <si>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</si>
  <si>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</si>
  <si>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</si>
  <si>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</si>
  <si>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</si>
  <si>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</si>
  <si>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</si>
  <si>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</si>
  <si>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</si>
  <si>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</si>
  <si>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</si>
  <si>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</si>
  <si>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</si>
  <si>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</si>
  <si>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</si>
  <si>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</si>
  <si>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</si>
  <si>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</si>
  <si>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</si>
  <si>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</si>
  <si>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</si>
  <si>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</si>
  <si>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</si>
  <si>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</si>
  <si>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</si>
  <si>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</si>
  <si>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</si>
  <si>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</si>
  <si>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</si>
  <si>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</si>
  <si>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</si>
  <si>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</si>
  <si>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</si>
  <si>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</si>
  <si>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</si>
  <si>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</si>
  <si>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</si>
  <si>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</si>
  <si>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</si>
  <si>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</si>
  <si>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</si>
  <si>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</si>
  <si>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</si>
  <si>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</si>
  <si>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</si>
  <si>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</si>
  <si>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</si>
  <si>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</si>
  <si>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</si>
  <si>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</si>
  <si>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</si>
  <si>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</si>
  <si>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</si>
  <si>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</si>
  <si>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</si>
  <si>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</si>
  <si>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</si>
  <si>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</si>
  <si>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</si>
  <si>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</si>
  <si>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</si>
  <si>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</si>
  <si>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</si>
  <si>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</si>
  <si>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</si>
  <si>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</si>
  <si>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</si>
  <si>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</si>
  <si>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</si>
  <si>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</si>
  <si>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</si>
  <si>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</si>
  <si>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</si>
  <si>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</si>
  <si>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</si>
  <si>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</si>
  <si>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</si>
  <si>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</si>
  <si>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</si>
  <si>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</si>
  <si>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</si>
  <si>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</si>
  <si>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</si>
  <si>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</si>
  <si>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</si>
  <si>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</si>
  <si>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</si>
  <si>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</si>
  <si>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</si>
  <si>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</si>
  <si>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</si>
  <si>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</si>
  <si>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</si>
  <si>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</si>
  <si>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</si>
  <si>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</si>
  <si>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</si>
  <si>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</si>
  <si>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</si>
  <si>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</si>
  <si>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</si>
  <si>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</si>
  <si>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</si>
  <si>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</si>
  <si>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</si>
  <si>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</si>
  <si>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</si>
  <si>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</si>
  <si>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</si>
  <si>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</si>
  <si>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</si>
  <si>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</si>
  <si>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</si>
  <si>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</si>
  <si>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</si>
  <si>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</si>
  <si>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</si>
  <si>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</si>
  <si>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</si>
  <si>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</si>
  <si>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</si>
  <si>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</si>
  <si>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</si>
  <si>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</si>
  <si>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</si>
  <si>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</si>
  <si>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</si>
  <si>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</si>
  <si>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</si>
  <si>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</si>
  <si>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</si>
  <si>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</si>
  <si>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</si>
  <si>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</si>
  <si>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</si>
  <si>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</si>
  <si>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</si>
  <si>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</si>
  <si>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</si>
  <si>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</si>
  <si>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</si>
  <si>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</si>
  <si>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</si>
  <si>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</si>
  <si>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</si>
  <si>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</si>
  <si>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</si>
  <si>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</si>
  <si>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</si>
  <si>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</si>
  <si>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</si>
  <si>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</si>
  <si>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</si>
  <si>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</si>
  <si>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</si>
  <si>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</si>
  <si>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</si>
  <si>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</si>
  <si>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</si>
  <si>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</si>
  <si>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</si>
  <si>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</si>
  <si>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</si>
  <si>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</si>
  <si>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</si>
  <si>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</si>
  <si>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</si>
  <si>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</si>
  <si>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</si>
  <si>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</si>
  <si>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</si>
  <si>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</si>
  <si>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</si>
  <si>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</si>
  <si>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</si>
  <si>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</si>
  <si>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</si>
  <si>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</si>
  <si>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</si>
  <si>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</si>
  <si>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</si>
  <si>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</si>
  <si>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</si>
  <si>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</si>
  <si>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</si>
  <si>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</si>
  <si>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</si>
  <si>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</si>
  <si>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</si>
  <si>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</si>
  <si>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</si>
  <si>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</si>
  <si>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</si>
  <si>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</si>
  <si>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</si>
  <si>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</si>
  <si>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</si>
  <si>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</si>
  <si>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</si>
  <si>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</si>
  <si>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</si>
  <si>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</si>
  <si>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</si>
  <si>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</si>
  <si>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</si>
  <si>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</si>
  <si>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</si>
  <si>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</si>
  <si>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</si>
  <si>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</si>
  <si>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</si>
  <si>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</si>
  <si>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</si>
  <si>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</si>
  <si>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</si>
  <si>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</si>
  <si>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</si>
  <si>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</si>
  <si>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</si>
  <si>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</si>
  <si>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</si>
  <si>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</si>
  <si>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</si>
  <si>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</si>
  <si>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</si>
  <si>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</si>
  <si>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</si>
  <si>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</si>
  <si>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</si>
  <si>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</si>
  <si>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</si>
  <si>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</si>
  <si>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</si>
  <si>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</si>
  <si>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</si>
  <si>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</si>
  <si>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</si>
  <si>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</si>
  <si>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</si>
  <si>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</si>
  <si>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</si>
  <si>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</si>
  <si>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</si>
  <si>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</si>
  <si>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</si>
  <si>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</si>
  <si>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</si>
  <si>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</si>
  <si>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</si>
  <si>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</si>
  <si>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</si>
  <si>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</si>
  <si>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</si>
  <si>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</si>
  <si>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</si>
  <si>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</si>
  <si>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</si>
  <si>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</si>
  <si>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</si>
  <si>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</si>
  <si>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</si>
  <si>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</si>
  <si>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</si>
  <si>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</si>
  <si>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</si>
  <si>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</si>
  <si>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</si>
  <si>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</si>
  <si>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</si>
  <si>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</si>
  <si>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</si>
  <si>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</si>
  <si>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</si>
  <si>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</si>
  <si>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</si>
  <si>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</si>
  <si>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</si>
  <si>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</si>
  <si>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</si>
  <si>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</si>
  <si>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</si>
  <si>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</si>
  <si>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</si>
  <si>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</si>
  <si>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</si>
  <si>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</si>
  <si>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</si>
  <si>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</si>
  <si>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</si>
  <si>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</si>
  <si>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</si>
  <si>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</si>
  <si>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</si>
  <si>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</si>
  <si>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</si>
  <si>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</si>
  <si>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</si>
  <si>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</si>
  <si>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</si>
  <si>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</si>
  <si>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</si>
  <si>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</si>
  <si>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</si>
  <si>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</si>
  <si>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</si>
  <si>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</si>
  <si>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</si>
  <si>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</si>
  <si>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</si>
  <si>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</si>
  <si>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</si>
  <si>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</si>
  <si>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</si>
  <si>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</si>
  <si>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</si>
  <si>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</si>
  <si>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</si>
  <si>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</si>
  <si>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</si>
  <si>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</si>
  <si>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</si>
  <si>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</si>
  <si>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</si>
  <si>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</si>
  <si>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</si>
  <si>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</si>
  <si>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</si>
  <si>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</si>
  <si>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</si>
  <si>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</si>
  <si>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</si>
  <si>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</si>
  <si>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</si>
  <si>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</si>
  <si>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</si>
  <si>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</si>
  <si>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</si>
  <si>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</si>
  <si>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</si>
  <si>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</si>
  <si>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</si>
  <si>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</si>
  <si>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</si>
  <si>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</si>
  <si>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</si>
  <si>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</si>
  <si>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</si>
  <si>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</si>
  <si>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</si>
  <si>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</si>
  <si>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</si>
  <si>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</si>
  <si>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</si>
  <si>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</si>
  <si>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</si>
  <si>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</si>
  <si>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</si>
  <si>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</si>
  <si>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</si>
  <si>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</si>
  <si>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</si>
  <si>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</si>
  <si>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</si>
  <si>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</si>
  <si>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</si>
  <si>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</si>
  <si>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</si>
  <si>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</si>
  <si>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</si>
  <si>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</si>
  <si>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</si>
  <si>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</si>
  <si>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</si>
  <si>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</si>
  <si>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</si>
  <si>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</si>
  <si>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</si>
  <si>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</si>
  <si>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</si>
  <si>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</si>
  <si>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</si>
  <si>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</si>
  <si>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</si>
  <si>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</si>
  <si>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</si>
  <si>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</si>
  <si>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</si>
  <si>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</si>
  <si>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</si>
  <si>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</si>
  <si>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</si>
  <si>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</si>
  <si>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</si>
  <si>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</si>
  <si>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</si>
  <si>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</si>
  <si>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</si>
  <si>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</si>
  <si>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</si>
  <si>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</si>
  <si>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</si>
  <si>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</si>
  <si>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</si>
  <si>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</si>
  <si>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</si>
  <si>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</si>
  <si>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</si>
  <si>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</si>
  <si>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</si>
  <si>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</si>
  <si>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</si>
  <si>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</si>
  <si>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</si>
  <si>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</si>
  <si>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</si>
  <si>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</si>
  <si>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</si>
  <si>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</si>
  <si>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</si>
  <si>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</si>
  <si>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</si>
  <si>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</si>
  <si>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</si>
  <si>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</si>
  <si>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</si>
  <si>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</si>
  <si>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</si>
  <si>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</si>
  <si>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</si>
  <si>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</si>
  <si>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</si>
  <si>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</si>
  <si>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</si>
  <si>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</si>
  <si>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</si>
  <si>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</si>
  <si>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</si>
  <si>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</si>
  <si>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</si>
  <si>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</si>
  <si>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</si>
  <si>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</si>
  <si>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</si>
  <si>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</si>
  <si>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</si>
  <si>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</si>
  <si>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</si>
  <si>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</si>
  <si>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</si>
  <si>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</si>
  <si>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</si>
  <si>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</si>
  <si>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</si>
  <si>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</si>
  <si>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</si>
  <si>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</si>
  <si>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</si>
  <si>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</si>
  <si>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</si>
  <si>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</si>
  <si>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</si>
  <si>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</si>
  <si>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</si>
  <si>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</si>
  <si>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</si>
  <si>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</si>
  <si>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</si>
  <si>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</si>
  <si>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</si>
  <si>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</si>
  <si>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</si>
  <si>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</si>
  <si>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</si>
  <si>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</si>
  <si>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</si>
  <si>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</si>
  <si>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</si>
  <si>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</si>
  <si>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</si>
  <si>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</si>
  <si>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</si>
  <si>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</si>
  <si>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</si>
  <si>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</si>
  <si>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</si>
  <si>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</si>
  <si>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</si>
  <si>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</si>
  <si>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</si>
  <si>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</si>
  <si>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</si>
  <si>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</si>
  <si>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</si>
  <si>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</si>
  <si>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</si>
  <si>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</si>
  <si>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</si>
  <si>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</si>
  <si>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</si>
  <si>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</si>
  <si>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</si>
  <si>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</si>
  <si>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</si>
  <si>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</si>
  <si>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</si>
  <si>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</si>
  <si>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</si>
  <si>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</si>
  <si>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</si>
  <si>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</si>
  <si>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</si>
  <si>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</si>
  <si>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</si>
  <si>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</si>
  <si>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</si>
  <si>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</si>
  <si>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</si>
  <si>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</si>
  <si>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</si>
  <si>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</si>
  <si>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</si>
  <si>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</si>
  <si>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</si>
  <si>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</si>
  <si>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</si>
  <si>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</si>
  <si>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</si>
  <si>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</si>
  <si>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</si>
  <si>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</si>
  <si>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</si>
  <si>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</si>
  <si>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</si>
  <si>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</si>
  <si>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</si>
  <si>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</si>
  <si>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</si>
  <si>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</si>
  <si>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</si>
  <si>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</si>
  <si>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</si>
  <si>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</si>
  <si>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</si>
  <si>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</si>
  <si>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</si>
  <si>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</si>
  <si>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</si>
  <si>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</si>
  <si>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</si>
  <si>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</si>
  <si>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</si>
  <si>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</si>
  <si>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</si>
  <si>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</si>
  <si>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</si>
  <si>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</si>
  <si>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</si>
  <si>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</si>
  <si>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</si>
  <si>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</si>
  <si>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</si>
  <si>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</si>
  <si>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</si>
  <si>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</si>
  <si>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</si>
  <si>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</si>
  <si>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</si>
  <si>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</si>
  <si>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</si>
  <si>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</si>
  <si>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</si>
  <si>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</si>
  <si>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</si>
  <si>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</si>
  <si>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</si>
  <si>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</si>
  <si>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</si>
  <si>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</si>
  <si>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</si>
  <si>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</si>
  <si>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</si>
  <si>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</si>
  <si>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</si>
  <si>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</si>
  <si>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</si>
  <si>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</si>
  <si>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</si>
  <si>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</si>
  <si>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</si>
  <si>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</si>
  <si>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</si>
  <si>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</si>
  <si>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</si>
  <si>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</si>
  <si>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</si>
  <si>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</si>
  <si>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</si>
  <si>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</si>
  <si>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</si>
  <si>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</si>
  <si>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</si>
  <si>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</si>
  <si>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</si>
  <si>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</si>
  <si>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</si>
  <si>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</si>
  <si>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</si>
  <si>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</si>
  <si>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</si>
  <si>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</si>
  <si>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</si>
  <si>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</si>
  <si>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</si>
  <si>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</si>
  <si>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</si>
  <si>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</si>
  <si>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</si>
  <si>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</si>
  <si>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</si>
  <si>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</si>
  <si>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</si>
  <si>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</si>
  <si>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</si>
  <si>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</si>
  <si>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</si>
  <si>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</si>
  <si>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</si>
  <si>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</si>
  <si>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</si>
  <si>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</si>
  <si>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</si>
  <si>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</si>
  <si>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</si>
  <si>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</si>
  <si>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</si>
  <si>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</si>
  <si>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</si>
  <si>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</si>
  <si>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</si>
  <si>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</si>
  <si>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</si>
  <si>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</si>
  <si>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</si>
  <si>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</si>
  <si>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</si>
  <si>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</si>
  <si>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</si>
  <si>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</si>
  <si>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</si>
  <si>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</si>
  <si>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</si>
  <si>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</si>
  <si>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</si>
  <si>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</si>
  <si>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</si>
  <si>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</si>
  <si>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</si>
  <si>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</si>
  <si>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</si>
  <si>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</si>
  <si>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</si>
  <si>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</si>
  <si>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</si>
  <si>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</si>
  <si>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</si>
  <si>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</si>
  <si>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</si>
  <si>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</si>
  <si>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</si>
  <si>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</si>
  <si>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</si>
  <si>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</si>
  <si>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</si>
  <si>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</si>
  <si>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</si>
  <si>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</si>
  <si>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</si>
  <si>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</si>
  <si>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</si>
  <si>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</si>
  <si>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</si>
  <si>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</si>
  <si>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</si>
  <si>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</si>
  <si>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</si>
  <si>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</si>
  <si>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</si>
  <si>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</si>
  <si>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</si>
  <si>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</si>
  <si>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</si>
  <si>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</si>
  <si>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</si>
  <si>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</si>
  <si>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</si>
  <si>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</si>
  <si>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</si>
  <si>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</si>
  <si>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</si>
  <si>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</si>
  <si>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</si>
  <si>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</si>
  <si>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</si>
  <si>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</si>
  <si>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</si>
  <si>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</si>
  <si>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</si>
  <si>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</si>
  <si>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</si>
  <si>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</si>
  <si>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</si>
  <si>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</si>
  <si>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</si>
  <si>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</si>
  <si>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</si>
  <si>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</si>
  <si>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</si>
  <si>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</si>
  <si>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</si>
  <si>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</si>
  <si>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</si>
  <si>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</si>
  <si>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</si>
  <si>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</si>
  <si>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</si>
  <si>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</si>
  <si>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</si>
  <si>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</si>
  <si>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</si>
  <si>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</si>
  <si>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</si>
  <si>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</si>
  <si>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</si>
  <si>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</si>
  <si>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</si>
  <si>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</si>
  <si>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</si>
  <si>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</si>
  <si>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</si>
  <si>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</si>
  <si>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</si>
  <si>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</si>
  <si>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</si>
  <si>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</si>
  <si>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</si>
  <si>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</si>
  <si>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</si>
  <si>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</si>
  <si>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</si>
  <si>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</si>
  <si>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</si>
  <si>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</si>
  <si>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</si>
  <si>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</si>
  <si>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</si>
  <si>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</si>
  <si>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</si>
  <si>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</si>
  <si>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</si>
  <si>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</si>
  <si>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</si>
  <si>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</si>
  <si>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</si>
  <si>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</si>
  <si>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</si>
  <si>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</si>
  <si>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</si>
  <si>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</si>
  <si>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</si>
  <si>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</si>
  <si>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</si>
  <si>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</si>
  <si>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</si>
  <si>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</si>
  <si>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</si>
  <si>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</si>
  <si>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</si>
  <si>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</si>
  <si>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</si>
  <si>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</si>
  <si>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</si>
  <si>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</si>
  <si>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</si>
  <si>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</si>
  <si>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</si>
  <si>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</si>
  <si>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</si>
  <si>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</si>
  <si>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</si>
  <si>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</si>
  <si>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</si>
  <si>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</si>
  <si>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CDAD.AUTONOMA CANARIAS</t>
  </si>
  <si>
    <t>ICIA</t>
  </si>
  <si>
    <t>AEAT 2011</t>
  </si>
  <si>
    <t>Recargos AEAT y Seg.Social</t>
  </si>
  <si>
    <t>Indemnizaciones Seguros</t>
  </si>
  <si>
    <t>Ayto. La Orotava</t>
  </si>
  <si>
    <t>Ampliación laboratorio</t>
  </si>
  <si>
    <t>Mejoras finca La Mosca</t>
  </si>
  <si>
    <t>Otras instalaciones</t>
  </si>
  <si>
    <t>Cámara etiolación aguacates</t>
  </si>
  <si>
    <t>Cabildo Tenerife</t>
  </si>
  <si>
    <t>Inversión Papas Saneadas</t>
  </si>
  <si>
    <t>Cabildo Tenerife (2017)</t>
  </si>
  <si>
    <t>Cabildo Tenerife (2015)</t>
  </si>
  <si>
    <t>I+D Papaya</t>
  </si>
  <si>
    <t>Ayuda plátano (OPP)</t>
  </si>
  <si>
    <t>CCAA Canarias</t>
  </si>
  <si>
    <t>RSE</t>
  </si>
  <si>
    <t>CULTESA</t>
  </si>
  <si>
    <t>Fianzas suministros</t>
  </si>
  <si>
    <t>Jesús Manuel Morales Martínez</t>
  </si>
  <si>
    <t>Francisco Javier González-Palenzuela Gallego</t>
  </si>
  <si>
    <t>Susana Rodríguez Baeza</t>
  </si>
  <si>
    <t>María del Cristo Pérez Zamora</t>
  </si>
  <si>
    <t>Miguel Ángel Pérez Hernández</t>
  </si>
  <si>
    <t>Antonio García Marichal</t>
  </si>
  <si>
    <t>Ángela Delgado Díaz</t>
  </si>
  <si>
    <t>Antonio Miguel Suárez Linares</t>
  </si>
  <si>
    <t>Francisco Javier López Cepero</t>
  </si>
  <si>
    <t>María Teresa Cruz Bacallado</t>
  </si>
  <si>
    <t>BURGUEÑO-SAMARÍN,C.A.</t>
  </si>
  <si>
    <t>P3800001D</t>
  </si>
  <si>
    <t>A</t>
  </si>
  <si>
    <t>Entidad para el Desarrollo Agrícola, Ganadero y Pesquero de Tenerife</t>
  </si>
  <si>
    <t>V76532688</t>
  </si>
  <si>
    <t>COPLACA SDAD.COOP.</t>
  </si>
  <si>
    <t>F38008579</t>
  </si>
  <si>
    <t>B</t>
  </si>
  <si>
    <t>ASAGA CANARIAS-ASAJA</t>
  </si>
  <si>
    <t>G38023362</t>
  </si>
  <si>
    <t>BROS AUDITORES, S.L.</t>
  </si>
  <si>
    <t>Mejora Tomates Total</t>
  </si>
  <si>
    <t>Construcción edificio y otras instalaciones</t>
  </si>
  <si>
    <t>Producción papa semilla aire libre</t>
  </si>
  <si>
    <t>Periodificación Mejora Tomates</t>
  </si>
  <si>
    <t xml:space="preserve">La aportación Mejora de Tomates Tradicionales de Canarias (0602-4192-44934) se destina a los gastos de derivados de la ejecución del proyecto DESARROLLO DE VARIEDADES DERIVADAS DE TOMATE CANARIO ORONE®  </t>
  </si>
  <si>
    <t>servicio que contrataremos con las universidades públicas UPV y UHM. En la planificación de ese proyecto está previsto una ejecución de 21.189,00 euros para el año 2018 y el resto en el año 2019. Contabilizaríamos 21.189,00 euros</t>
  </si>
  <si>
    <t>a la cuenta 740 (subvenciones explotación) en el 2018 y el resto 38.811,00 a una cuenta 485 de ingresos anticipados, desde donde se traspasará a 740 en el siguiente año 2019.</t>
  </si>
  <si>
    <t>Cabildo Tenerife (2018)</t>
  </si>
  <si>
    <t>0602</t>
  </si>
  <si>
    <t>4196</t>
  </si>
  <si>
    <t>74145</t>
  </si>
  <si>
    <t>4199</t>
  </si>
  <si>
    <t>44934</t>
  </si>
  <si>
    <t>I+D colección Papa, Batata y Ajo</t>
  </si>
  <si>
    <t>4142</t>
  </si>
  <si>
    <t>4192</t>
  </si>
  <si>
    <r>
      <t xml:space="preserve">      En las notas siguientes, cuando se refiere a</t>
    </r>
    <r>
      <rPr>
        <b/>
        <sz val="8.5"/>
        <color theme="1"/>
        <rFont val="Arial"/>
        <family val="2"/>
      </rPr>
      <t xml:space="preserve"> importes estimados</t>
    </r>
    <r>
      <rPr>
        <sz val="8.5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</si>
  <si>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.5"/>
        <color theme="1"/>
        <rFont val="Arial"/>
        <family val="2"/>
      </rPr>
      <t xml:space="preserve"> importes previsibles</t>
    </r>
    <r>
      <rPr>
        <sz val="8.5"/>
        <color theme="1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</si>
  <si>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.5"/>
        <rFont val="Arial"/>
        <family val="2"/>
      </rPr>
      <t>aportaciones genéricas</t>
    </r>
    <r>
      <rPr>
        <sz val="8.5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</si>
</sst>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69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65" xfId="0" applyFont="1" applyFill="1" applyBorder="1" applyAlignment="1" applyProtection="1">
      <alignment vertical="center"/>
      <protection locked="0"/>
    </xf>
    <xf numFmtId="0" fontId="1" fillId="2" borderId="156" xfId="0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0" fontId="1" fillId="2" borderId="63" xfId="0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horizontal="right" vertical="center"/>
      <protection locked="0"/>
    </xf>
    <xf numFmtId="165" fontId="1" fillId="2" borderId="77" xfId="0" applyNumberFormat="1" applyFont="1" applyFill="1" applyBorder="1" applyAlignment="1" applyProtection="1">
      <alignment horizontal="center"/>
      <protection locked="0"/>
    </xf>
    <xf numFmtId="0" fontId="1" fillId="2" borderId="77" xfId="0" applyFont="1" applyFill="1" applyBorder="1" applyAlignment="1" applyProtection="1">
      <alignment horizontal="center"/>
      <protection locked="0"/>
    </xf>
    <xf numFmtId="4" fontId="1" fillId="2" borderId="78" xfId="0" applyNumberFormat="1" applyFont="1" applyFill="1" applyBorder="1" applyAlignment="1" applyProtection="1">
      <alignment vertical="center"/>
      <protection locked="0"/>
    </xf>
    <xf numFmtId="4" fontId="23" fillId="2" borderId="0" xfId="0" applyNumberFormat="1" applyFont="1" applyFill="1" applyAlignment="1" applyProtection="1">
      <alignment horizontal="left"/>
      <protection locked="0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98" xfId="0" applyNumberFormat="1" applyFont="1" applyFill="1" applyBorder="1" applyAlignment="1" applyProtection="1">
      <alignment horizontal="center" vertical="center"/>
      <protection locked="0"/>
    </xf>
    <xf numFmtId="49" fontId="1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0" borderId="105" xfId="0" applyNumberFormat="1" applyFont="1" applyFill="1" applyBorder="1" applyAlignment="1" applyProtection="1">
      <alignment vertical="center"/>
      <protection locked="0"/>
    </xf>
    <xf numFmtId="4" fontId="12" fillId="0" borderId="15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4" fontId="8" fillId="0" borderId="81" xfId="0" applyNumberFormat="1" applyFont="1" applyFill="1" applyBorder="1" applyAlignment="1" applyProtection="1">
      <alignment vertical="center"/>
      <protection locked="0"/>
    </xf>
    <xf numFmtId="4" fontId="8" fillId="0" borderId="77" xfId="0" applyNumberFormat="1" applyFont="1" applyFill="1" applyBorder="1" applyAlignment="1" applyProtection="1">
      <alignment vertical="center"/>
      <protection locked="0"/>
    </xf>
    <xf numFmtId="4" fontId="8" fillId="0" borderId="102" xfId="0" applyNumberFormat="1" applyFont="1" applyFill="1" applyBorder="1" applyAlignment="1" applyProtection="1">
      <alignment vertical="center"/>
      <protection locked="0"/>
    </xf>
    <xf numFmtId="4" fontId="8" fillId="0" borderId="101" xfId="0" applyNumberFormat="1" applyFont="1" applyFill="1" applyBorder="1" applyAlignment="1" applyProtection="1">
      <alignment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0" fontId="55" fillId="2" borderId="0" xfId="0" applyFont="1" applyFill="1" applyBorder="1" applyAlignment="1" applyProtection="1">
      <alignment horizontal="left" vertical="center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4" fontId="56" fillId="2" borderId="0" xfId="0" applyNumberFormat="1" applyFont="1" applyFill="1" applyBorder="1" applyAlignment="1" applyProtection="1">
      <alignment horizontal="left" vertical="center"/>
      <protection locked="0"/>
    </xf>
    <xf numFmtId="0" fontId="56" fillId="2" borderId="0" xfId="0" quotePrefix="1" applyFont="1" applyFill="1" applyBorder="1" applyAlignment="1" applyProtection="1">
      <alignment horizontal="left" vertical="center"/>
      <protection locked="0"/>
    </xf>
    <xf numFmtId="3" fontId="55" fillId="2" borderId="0" xfId="0" applyNumberFormat="1" applyFont="1" applyFill="1" applyBorder="1" applyAlignment="1" applyProtection="1">
      <alignment horizontal="left" vertical="center"/>
      <protection locked="0"/>
    </xf>
    <xf numFmtId="0" fontId="56" fillId="0" borderId="0" xfId="0" quotePrefix="1" applyFont="1" applyFill="1" applyBorder="1" applyAlignment="1" applyProtection="1">
      <alignment horizontal="left" vertical="center"/>
      <protection locked="0"/>
    </xf>
    <xf numFmtId="0" fontId="56" fillId="0" borderId="0" xfId="0" applyFont="1" applyFill="1" applyBorder="1" applyAlignment="1" applyProtection="1">
      <alignment horizontal="left" vertical="center"/>
      <protection locked="0"/>
    </xf>
    <xf numFmtId="4" fontId="56" fillId="0" borderId="0" xfId="0" applyNumberFormat="1" applyFont="1" applyFill="1" applyBorder="1" applyAlignment="1" applyProtection="1">
      <alignment horizontal="left" vertical="center"/>
      <protection locked="0"/>
    </xf>
    <xf numFmtId="0" fontId="56" fillId="2" borderId="12" xfId="0" applyFont="1" applyFill="1" applyBorder="1" applyAlignment="1">
      <alignment horizontal="left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56" fillId="2" borderId="12" xfId="0" applyFont="1" applyFill="1" applyBorder="1" applyAlignment="1">
      <alignment horizontal="left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13" zoomScale="108" workbookViewId="0">
      <selection activeCell="G27" sqref="G27"/>
    </sheetView>
  </sheetViews>
  <sheetFormatPr baseColWidth="10" defaultColWidth="10.5546875" defaultRowHeight="15"/>
  <cols>
    <col min="1" max="1" width="3.21875" style="4" customWidth="1"/>
    <col min="2" max="2" width="3.44140625" style="2" customWidth="1"/>
    <col min="3" max="3" width="12.44140625" style="4" customWidth="1"/>
    <col min="4" max="13" width="10.5546875" style="4"/>
    <col min="14" max="14" width="3.21875" style="2" customWidth="1"/>
    <col min="15" max="17" width="10.5546875" style="2"/>
    <col min="18" max="16384" width="10.55468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48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48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49" t="s">
        <v>832</v>
      </c>
      <c r="E13" s="1050"/>
      <c r="F13" s="1050"/>
      <c r="G13" s="1050"/>
      <c r="H13" s="1050"/>
      <c r="I13" s="1050"/>
      <c r="J13" s="1050"/>
      <c r="K13" s="1050"/>
      <c r="L13" s="1050"/>
      <c r="M13" s="1051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6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5" t="s">
        <v>719</v>
      </c>
      <c r="D21" s="855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06" t="s">
        <v>44</v>
      </c>
      <c r="D25" s="1006" t="s">
        <v>45</v>
      </c>
      <c r="E25" s="1006"/>
      <c r="F25" s="1006"/>
      <c r="G25" s="1007" t="s">
        <v>812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637</v>
      </c>
      <c r="D34" s="2" t="s">
        <v>64</v>
      </c>
      <c r="N34" s="9"/>
    </row>
    <row r="35" spans="2:14" s="2" customFormat="1" ht="25.15" customHeight="1">
      <c r="B35" s="8"/>
      <c r="C35" s="397" t="s">
        <v>638</v>
      </c>
      <c r="D35" s="2" t="s">
        <v>65</v>
      </c>
      <c r="N35" s="9"/>
    </row>
    <row r="36" spans="2:14" s="2" customFormat="1" ht="25.15" customHeight="1">
      <c r="B36" s="8"/>
      <c r="C36" s="397" t="s">
        <v>639</v>
      </c>
      <c r="D36" s="2" t="s">
        <v>66</v>
      </c>
      <c r="N36" s="9"/>
    </row>
    <row r="37" spans="2:14" s="2" customFormat="1" ht="25.15" customHeight="1">
      <c r="B37" s="8"/>
      <c r="C37" s="397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66" zoomScaleNormal="66" zoomScalePageLayoutView="66" workbookViewId="0">
      <selection activeCell="X49" sqref="X49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42.5546875" style="90" customWidth="1"/>
    <col min="5" max="6" width="12.5546875" style="91" customWidth="1"/>
    <col min="7" max="8" width="15.5546875" style="91" customWidth="1"/>
    <col min="9" max="18" width="12.5546875" style="91" customWidth="1"/>
    <col min="19" max="19" width="3.44140625" style="90" customWidth="1"/>
    <col min="20" max="16384" width="10.55468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48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48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092" t="s">
        <v>730</v>
      </c>
      <c r="J13" s="1093"/>
      <c r="K13" s="1093"/>
      <c r="L13" s="1093"/>
      <c r="M13" s="1094"/>
      <c r="N13" s="382"/>
      <c r="O13" s="383"/>
      <c r="P13" s="384" t="s">
        <v>330</v>
      </c>
      <c r="Q13" s="385">
        <f>ejercicio-1</f>
        <v>2017</v>
      </c>
      <c r="R13" s="866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8"/>
      <c r="D17" s="1018" t="s">
        <v>820</v>
      </c>
      <c r="E17" s="470">
        <v>2017</v>
      </c>
      <c r="F17" s="470">
        <v>2018</v>
      </c>
      <c r="G17" s="471">
        <f>146753.24+25000</f>
        <v>171753.24</v>
      </c>
      <c r="H17" s="471">
        <v>146753.24</v>
      </c>
      <c r="I17" s="471">
        <v>25000</v>
      </c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8"/>
      <c r="D18" s="1018" t="s">
        <v>821</v>
      </c>
      <c r="E18" s="470">
        <v>2017</v>
      </c>
      <c r="F18" s="470">
        <v>2017</v>
      </c>
      <c r="G18" s="471">
        <v>121718.58</v>
      </c>
      <c r="H18" s="471">
        <v>121718.58</v>
      </c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8"/>
      <c r="D19" s="1018" t="s">
        <v>822</v>
      </c>
      <c r="E19" s="470">
        <v>2017</v>
      </c>
      <c r="F19" s="470">
        <v>2018</v>
      </c>
      <c r="G19" s="471">
        <v>61201.27</v>
      </c>
      <c r="H19" s="471">
        <f>304673.09-146753.24-121718.58</f>
        <v>36201.270000000033</v>
      </c>
      <c r="I19" s="471">
        <v>25000</v>
      </c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8"/>
      <c r="D20" s="1018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095" t="s">
        <v>331</v>
      </c>
      <c r="D46" s="1096"/>
      <c r="E46" s="119">
        <f>MIN(E16:E45)</f>
        <v>2017</v>
      </c>
      <c r="F46" s="119">
        <f>MAX(F16:F45)</f>
        <v>2018</v>
      </c>
      <c r="G46" s="120">
        <f t="shared" ref="G46:R46" si="0">SUM(G16:G45)</f>
        <v>354673.09</v>
      </c>
      <c r="H46" s="120">
        <f t="shared" si="0"/>
        <v>304673.09000000003</v>
      </c>
      <c r="I46" s="120">
        <f t="shared" si="0"/>
        <v>50000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59"/>
      <c r="D47" s="859"/>
      <c r="E47" s="860"/>
      <c r="F47" s="860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1" t="s">
        <v>721</v>
      </c>
      <c r="D48" s="859"/>
      <c r="E48" s="860"/>
      <c r="F48" s="860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2" t="s">
        <v>722</v>
      </c>
      <c r="D49" s="859"/>
      <c r="E49" s="860"/>
      <c r="F49" s="863">
        <f>ejercicio-1</f>
        <v>2017</v>
      </c>
      <c r="G49" s="864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5" t="s">
        <v>724</v>
      </c>
      <c r="D50" s="859"/>
      <c r="E50" s="860"/>
      <c r="F50" s="860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2" t="s">
        <v>727</v>
      </c>
      <c r="D51" s="859"/>
      <c r="E51" s="860"/>
      <c r="F51" s="860"/>
      <c r="G51" s="863">
        <f>ejercicio-1</f>
        <v>2017</v>
      </c>
      <c r="H51" s="864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2" t="s">
        <v>729</v>
      </c>
      <c r="D52" s="859"/>
      <c r="E52" s="860"/>
      <c r="F52" s="860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2" t="s">
        <v>733</v>
      </c>
      <c r="D53" s="859"/>
      <c r="E53" s="860"/>
      <c r="F53" s="860"/>
      <c r="G53" s="863">
        <f>ejercicio-1</f>
        <v>2017</v>
      </c>
      <c r="H53" s="864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59"/>
      <c r="D54" s="859"/>
      <c r="E54" s="860"/>
      <c r="F54" s="860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69"/>
      <c r="D55" s="1069"/>
      <c r="E55" s="1069"/>
      <c r="F55" s="1069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J1" zoomScale="81" zoomScaleNormal="81" zoomScalePageLayoutView="81" workbookViewId="0">
      <selection activeCell="S45" sqref="S45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5546875" style="91" customWidth="1"/>
    <col min="15" max="15" width="3.44140625" style="90" customWidth="1"/>
    <col min="16" max="16384" width="10.55468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8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8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097"/>
      <c r="D13" s="1098"/>
      <c r="E13" s="193" t="s">
        <v>355</v>
      </c>
      <c r="F13" s="1101" t="s">
        <v>345</v>
      </c>
      <c r="G13" s="1102"/>
      <c r="H13" s="1102"/>
      <c r="I13" s="1102"/>
      <c r="J13" s="1102"/>
      <c r="K13" s="1102"/>
      <c r="L13" s="1103"/>
      <c r="M13" s="193" t="s">
        <v>356</v>
      </c>
      <c r="N13" s="1099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100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338</v>
      </c>
      <c r="D15" s="152"/>
      <c r="E15" s="472">
        <v>44583.71</v>
      </c>
      <c r="F15" s="473"/>
      <c r="G15" s="474"/>
      <c r="H15" s="474"/>
      <c r="I15" s="474">
        <v>-21390.71</v>
      </c>
      <c r="J15" s="474"/>
      <c r="K15" s="474"/>
      <c r="L15" s="475"/>
      <c r="M15" s="167">
        <f>SUM(E15:L15)</f>
        <v>23193</v>
      </c>
      <c r="N15" s="503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879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339</v>
      </c>
      <c r="D17" s="154"/>
      <c r="E17" s="476">
        <v>738475.6</v>
      </c>
      <c r="F17" s="477">
        <v>304673.09999999998</v>
      </c>
      <c r="G17" s="478"/>
      <c r="H17" s="478"/>
      <c r="I17" s="478">
        <v>-160867.70000000001</v>
      </c>
      <c r="J17" s="478">
        <v>-6253.64</v>
      </c>
      <c r="K17" s="478"/>
      <c r="L17" s="479"/>
      <c r="M17" s="171">
        <f t="shared" si="0"/>
        <v>876027.36</v>
      </c>
      <c r="N17" s="879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79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0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343</v>
      </c>
      <c r="D20" s="158"/>
      <c r="E20" s="170">
        <f>SUM(E15:E19)</f>
        <v>783059.30999999994</v>
      </c>
      <c r="F20" s="170">
        <f t="shared" ref="F20:M20" si="1">SUM(F15:F19)</f>
        <v>304673.09999999998</v>
      </c>
      <c r="G20" s="170">
        <f t="shared" si="1"/>
        <v>0</v>
      </c>
      <c r="H20" s="170">
        <f t="shared" si="1"/>
        <v>0</v>
      </c>
      <c r="I20" s="170">
        <f t="shared" si="1"/>
        <v>-182258.41</v>
      </c>
      <c r="J20" s="170">
        <f t="shared" si="1"/>
        <v>-6253.64</v>
      </c>
      <c r="K20" s="170">
        <f t="shared" si="1"/>
        <v>0</v>
      </c>
      <c r="L20" s="170">
        <f t="shared" si="1"/>
        <v>0</v>
      </c>
      <c r="M20" s="170">
        <f t="shared" si="1"/>
        <v>899220.36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344</v>
      </c>
      <c r="D22" s="162"/>
      <c r="E22" s="549">
        <v>534117.6</v>
      </c>
      <c r="F22" s="550"/>
      <c r="G22" s="551"/>
      <c r="H22" s="551"/>
      <c r="I22" s="551"/>
      <c r="J22" s="551"/>
      <c r="K22" s="551"/>
      <c r="L22" s="552">
        <f>56919.09-50</f>
        <v>56869.09</v>
      </c>
      <c r="M22" s="170">
        <f>SUM(E22:L22)</f>
        <v>590986.68999999994</v>
      </c>
      <c r="N22" s="909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097"/>
      <c r="D24" s="1098"/>
      <c r="E24" s="193" t="s">
        <v>355</v>
      </c>
      <c r="F24" s="1101" t="s">
        <v>345</v>
      </c>
      <c r="G24" s="1102"/>
      <c r="H24" s="1102"/>
      <c r="I24" s="1102"/>
      <c r="J24" s="1102"/>
      <c r="K24" s="1102"/>
      <c r="L24" s="1103"/>
      <c r="M24" s="193" t="s">
        <v>356</v>
      </c>
      <c r="N24" s="1099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100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338</v>
      </c>
      <c r="D26" s="152"/>
      <c r="E26" s="167">
        <f>+M15</f>
        <v>23193</v>
      </c>
      <c r="F26" s="473"/>
      <c r="G26" s="474"/>
      <c r="H26" s="474"/>
      <c r="I26" s="474">
        <v>-20977.279999999999</v>
      </c>
      <c r="J26" s="474"/>
      <c r="K26" s="474"/>
      <c r="L26" s="475">
        <v>0.01</v>
      </c>
      <c r="M26" s="167">
        <f>SUM(E26:L26)</f>
        <v>2215.7300000000014</v>
      </c>
      <c r="N26" s="503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79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339</v>
      </c>
      <c r="D28" s="154"/>
      <c r="E28" s="171">
        <f>+M17</f>
        <v>876027.36</v>
      </c>
      <c r="F28" s="477">
        <v>50000</v>
      </c>
      <c r="G28" s="478"/>
      <c r="H28" s="478"/>
      <c r="I28" s="478">
        <v>-177925.62</v>
      </c>
      <c r="J28" s="478"/>
      <c r="K28" s="478"/>
      <c r="L28" s="479">
        <v>-0.01</v>
      </c>
      <c r="M28" s="171">
        <f t="shared" si="2"/>
        <v>748101.73</v>
      </c>
      <c r="N28" s="879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79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0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343</v>
      </c>
      <c r="D31" s="158"/>
      <c r="E31" s="170">
        <f>SUM(E26:E30)</f>
        <v>899220.36</v>
      </c>
      <c r="F31" s="170">
        <f t="shared" ref="F31" si="3">SUM(F26:F30)</f>
        <v>50000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-198902.9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750317.46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344</v>
      </c>
      <c r="D33" s="162"/>
      <c r="E33" s="170">
        <f>+M22</f>
        <v>590986.68999999994</v>
      </c>
      <c r="F33" s="550"/>
      <c r="G33" s="551"/>
      <c r="H33" s="551"/>
      <c r="I33" s="551"/>
      <c r="J33" s="551"/>
      <c r="K33" s="551"/>
      <c r="L33" s="552">
        <v>0</v>
      </c>
      <c r="M33" s="170">
        <f>SUM(E33:L33)</f>
        <v>590986.68999999994</v>
      </c>
      <c r="N33" s="909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69"/>
      <c r="D46" s="1069"/>
      <c r="E46" s="1069"/>
      <c r="F46" s="1069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68" zoomScaleNormal="68" zoomScalePageLayoutView="68" workbookViewId="0">
      <selection activeCell="X11" sqref="X11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44140625" style="90" customWidth="1"/>
    <col min="15" max="16384" width="10.55468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48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48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101" t="s">
        <v>345</v>
      </c>
      <c r="H15" s="1102"/>
      <c r="I15" s="1102"/>
      <c r="J15" s="193" t="s">
        <v>356</v>
      </c>
      <c r="K15" s="193" t="s">
        <v>366</v>
      </c>
      <c r="L15" s="193" t="s">
        <v>367</v>
      </c>
      <c r="M15" s="1099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100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112" t="s">
        <v>368</v>
      </c>
      <c r="D17" s="1112"/>
      <c r="E17" s="1112"/>
      <c r="F17" s="1112"/>
      <c r="G17" s="1112"/>
      <c r="H17" s="1112"/>
      <c r="I17" s="1112"/>
      <c r="J17" s="1112"/>
      <c r="K17" s="1112"/>
      <c r="L17" s="1112"/>
      <c r="M17" s="1112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110"/>
      <c r="D18" s="1109"/>
      <c r="E18" s="918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14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104"/>
      <c r="D19" s="1105"/>
      <c r="E19" s="919"/>
      <c r="F19" s="477"/>
      <c r="G19" s="478"/>
      <c r="H19" s="478"/>
      <c r="I19" s="478"/>
      <c r="J19" s="171">
        <f t="shared" si="0"/>
        <v>0</v>
      </c>
      <c r="K19" s="494"/>
      <c r="L19" s="495"/>
      <c r="M19" s="915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104"/>
      <c r="D20" s="1105"/>
      <c r="E20" s="919"/>
      <c r="F20" s="477"/>
      <c r="G20" s="478"/>
      <c r="H20" s="478"/>
      <c r="I20" s="478"/>
      <c r="J20" s="171">
        <f t="shared" si="0"/>
        <v>0</v>
      </c>
      <c r="K20" s="494"/>
      <c r="L20" s="495"/>
      <c r="M20" s="915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104"/>
      <c r="D21" s="1105"/>
      <c r="E21" s="919"/>
      <c r="F21" s="477"/>
      <c r="G21" s="478"/>
      <c r="H21" s="478"/>
      <c r="I21" s="478"/>
      <c r="J21" s="171">
        <f t="shared" si="0"/>
        <v>0</v>
      </c>
      <c r="K21" s="494"/>
      <c r="L21" s="495"/>
      <c r="M21" s="915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104"/>
      <c r="D22" s="1105"/>
      <c r="E22" s="920"/>
      <c r="F22" s="486"/>
      <c r="G22" s="487"/>
      <c r="H22" s="487"/>
      <c r="I22" s="487"/>
      <c r="J22" s="171">
        <f t="shared" si="0"/>
        <v>0</v>
      </c>
      <c r="K22" s="496"/>
      <c r="L22" s="497"/>
      <c r="M22" s="916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104"/>
      <c r="D23" s="1105"/>
      <c r="E23" s="920"/>
      <c r="F23" s="486"/>
      <c r="G23" s="487"/>
      <c r="H23" s="487"/>
      <c r="I23" s="487"/>
      <c r="J23" s="171">
        <f t="shared" si="0"/>
        <v>0</v>
      </c>
      <c r="K23" s="496"/>
      <c r="L23" s="497"/>
      <c r="M23" s="916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8"/>
      <c r="D24" s="489"/>
      <c r="E24" s="921"/>
      <c r="F24" s="481"/>
      <c r="G24" s="482"/>
      <c r="H24" s="482"/>
      <c r="I24" s="482"/>
      <c r="J24" s="172">
        <f t="shared" si="0"/>
        <v>0</v>
      </c>
      <c r="K24" s="498"/>
      <c r="L24" s="499"/>
      <c r="M24" s="917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113" t="s">
        <v>369</v>
      </c>
      <c r="D26" s="1113"/>
      <c r="E26" s="1113"/>
      <c r="F26" s="1113"/>
      <c r="G26" s="1113"/>
      <c r="H26" s="1113"/>
      <c r="I26" s="1113"/>
      <c r="J26" s="1113"/>
      <c r="K26" s="1113"/>
      <c r="L26" s="1113"/>
      <c r="M26" s="1113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110"/>
      <c r="D27" s="1109"/>
      <c r="E27" s="918"/>
      <c r="F27" s="484"/>
      <c r="G27" s="485"/>
      <c r="H27" s="485"/>
      <c r="I27" s="485"/>
      <c r="J27" s="180">
        <f t="shared" ref="J27:J33" si="1">SUM(F27:I27)</f>
        <v>0</v>
      </c>
      <c r="K27" s="492"/>
      <c r="L27" s="493"/>
      <c r="M27" s="914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104"/>
      <c r="D28" s="1105"/>
      <c r="E28" s="919"/>
      <c r="F28" s="477"/>
      <c r="G28" s="478"/>
      <c r="H28" s="478"/>
      <c r="I28" s="478"/>
      <c r="J28" s="171">
        <f t="shared" si="1"/>
        <v>0</v>
      </c>
      <c r="K28" s="494"/>
      <c r="L28" s="495"/>
      <c r="M28" s="915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104"/>
      <c r="D29" s="1105"/>
      <c r="E29" s="919"/>
      <c r="F29" s="477"/>
      <c r="G29" s="478"/>
      <c r="H29" s="478"/>
      <c r="I29" s="478"/>
      <c r="J29" s="171">
        <f t="shared" si="1"/>
        <v>0</v>
      </c>
      <c r="K29" s="494"/>
      <c r="L29" s="495"/>
      <c r="M29" s="915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104"/>
      <c r="D30" s="1105"/>
      <c r="E30" s="919"/>
      <c r="F30" s="477"/>
      <c r="G30" s="478"/>
      <c r="H30" s="478"/>
      <c r="I30" s="478"/>
      <c r="J30" s="171">
        <f t="shared" si="1"/>
        <v>0</v>
      </c>
      <c r="K30" s="494"/>
      <c r="L30" s="495"/>
      <c r="M30" s="915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104"/>
      <c r="D31" s="1105"/>
      <c r="E31" s="920"/>
      <c r="F31" s="486"/>
      <c r="G31" s="487"/>
      <c r="H31" s="487"/>
      <c r="I31" s="487"/>
      <c r="J31" s="171">
        <f t="shared" si="1"/>
        <v>0</v>
      </c>
      <c r="K31" s="496"/>
      <c r="L31" s="497"/>
      <c r="M31" s="916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104"/>
      <c r="D32" s="1105"/>
      <c r="E32" s="920"/>
      <c r="F32" s="486"/>
      <c r="G32" s="487"/>
      <c r="H32" s="487"/>
      <c r="I32" s="487"/>
      <c r="J32" s="171">
        <f t="shared" si="1"/>
        <v>0</v>
      </c>
      <c r="K32" s="496"/>
      <c r="L32" s="497"/>
      <c r="M32" s="916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106"/>
      <c r="D33" s="1107"/>
      <c r="E33" s="921"/>
      <c r="F33" s="481"/>
      <c r="G33" s="482"/>
      <c r="H33" s="482"/>
      <c r="I33" s="482"/>
      <c r="J33" s="172">
        <f t="shared" si="1"/>
        <v>0</v>
      </c>
      <c r="K33" s="498"/>
      <c r="L33" s="499"/>
      <c r="M33" s="917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101" t="s">
        <v>345</v>
      </c>
      <c r="H39" s="1102"/>
      <c r="I39" s="1102"/>
      <c r="J39" s="193" t="s">
        <v>356</v>
      </c>
      <c r="K39" s="193" t="s">
        <v>366</v>
      </c>
      <c r="L39" s="193" t="s">
        <v>367</v>
      </c>
      <c r="M39" s="1099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100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112" t="s">
        <v>372</v>
      </c>
      <c r="D41" s="1112"/>
      <c r="E41" s="1112"/>
      <c r="F41" s="1112"/>
      <c r="G41" s="1112"/>
      <c r="H41" s="1112"/>
      <c r="I41" s="1112"/>
      <c r="J41" s="1112"/>
      <c r="K41" s="1112"/>
      <c r="L41" s="1112"/>
      <c r="M41" s="1112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110"/>
      <c r="D42" s="1109"/>
      <c r="E42" s="918"/>
      <c r="F42" s="484"/>
      <c r="G42" s="485"/>
      <c r="H42" s="485"/>
      <c r="I42" s="485"/>
      <c r="J42" s="180">
        <f t="shared" ref="J42:J48" si="2">SUM(F42:I42)</f>
        <v>0</v>
      </c>
      <c r="K42" s="492"/>
      <c r="L42" s="910"/>
      <c r="M42" s="914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104"/>
      <c r="D43" s="1105"/>
      <c r="E43" s="919"/>
      <c r="F43" s="477"/>
      <c r="G43" s="478"/>
      <c r="H43" s="478"/>
      <c r="I43" s="478"/>
      <c r="J43" s="171">
        <f t="shared" si="2"/>
        <v>0</v>
      </c>
      <c r="K43" s="494"/>
      <c r="L43" s="911"/>
      <c r="M43" s="915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104"/>
      <c r="D44" s="1105"/>
      <c r="E44" s="919"/>
      <c r="F44" s="477"/>
      <c r="G44" s="478"/>
      <c r="H44" s="478"/>
      <c r="I44" s="478"/>
      <c r="J44" s="171">
        <f t="shared" si="2"/>
        <v>0</v>
      </c>
      <c r="K44" s="494"/>
      <c r="L44" s="911"/>
      <c r="M44" s="915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104"/>
      <c r="D45" s="1105"/>
      <c r="E45" s="919"/>
      <c r="F45" s="477"/>
      <c r="G45" s="478"/>
      <c r="H45" s="478"/>
      <c r="I45" s="478"/>
      <c r="J45" s="171">
        <f t="shared" si="2"/>
        <v>0</v>
      </c>
      <c r="K45" s="494"/>
      <c r="L45" s="911"/>
      <c r="M45" s="915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104"/>
      <c r="D46" s="1105"/>
      <c r="E46" s="920"/>
      <c r="F46" s="486"/>
      <c r="G46" s="487"/>
      <c r="H46" s="487"/>
      <c r="I46" s="487"/>
      <c r="J46" s="171">
        <f t="shared" si="2"/>
        <v>0</v>
      </c>
      <c r="K46" s="496"/>
      <c r="L46" s="912"/>
      <c r="M46" s="916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104"/>
      <c r="D47" s="1105"/>
      <c r="E47" s="920"/>
      <c r="F47" s="486"/>
      <c r="G47" s="487"/>
      <c r="H47" s="487"/>
      <c r="I47" s="487"/>
      <c r="J47" s="171">
        <f t="shared" si="2"/>
        <v>0</v>
      </c>
      <c r="K47" s="496"/>
      <c r="L47" s="912"/>
      <c r="M47" s="916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106"/>
      <c r="D48" s="1107"/>
      <c r="E48" s="921"/>
      <c r="F48" s="481"/>
      <c r="G48" s="482"/>
      <c r="H48" s="482"/>
      <c r="I48" s="482"/>
      <c r="J48" s="172">
        <f t="shared" si="2"/>
        <v>0</v>
      </c>
      <c r="K48" s="498"/>
      <c r="L48" s="913"/>
      <c r="M48" s="917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113" t="s">
        <v>373</v>
      </c>
      <c r="D50" s="1113"/>
      <c r="E50" s="1113"/>
      <c r="F50" s="1113"/>
      <c r="G50" s="1113"/>
      <c r="H50" s="1113"/>
      <c r="I50" s="1113"/>
      <c r="J50" s="1113"/>
      <c r="K50" s="1113"/>
      <c r="L50" s="1113"/>
      <c r="M50" s="1113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108" t="s">
        <v>833</v>
      </c>
      <c r="D51" s="1109"/>
      <c r="E51" s="918">
        <v>260</v>
      </c>
      <c r="F51" s="484">
        <v>750</v>
      </c>
      <c r="G51" s="485"/>
      <c r="H51" s="485"/>
      <c r="I51" s="485"/>
      <c r="J51" s="180">
        <f t="shared" ref="J51:J57" si="3">SUM(F51:I51)</f>
        <v>750</v>
      </c>
      <c r="K51" s="492"/>
      <c r="L51" s="493"/>
      <c r="M51" s="914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104"/>
      <c r="D52" s="1105"/>
      <c r="E52" s="919"/>
      <c r="F52" s="477"/>
      <c r="G52" s="478"/>
      <c r="H52" s="478"/>
      <c r="I52" s="478"/>
      <c r="J52" s="171">
        <f t="shared" si="3"/>
        <v>0</v>
      </c>
      <c r="K52" s="494"/>
      <c r="L52" s="495"/>
      <c r="M52" s="915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104"/>
      <c r="D53" s="1105"/>
      <c r="E53" s="919"/>
      <c r="F53" s="477"/>
      <c r="G53" s="478"/>
      <c r="H53" s="478"/>
      <c r="I53" s="478"/>
      <c r="J53" s="171">
        <f t="shared" si="3"/>
        <v>0</v>
      </c>
      <c r="K53" s="494"/>
      <c r="L53" s="495"/>
      <c r="M53" s="915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104"/>
      <c r="D54" s="1105"/>
      <c r="E54" s="919"/>
      <c r="F54" s="477"/>
      <c r="G54" s="478"/>
      <c r="H54" s="478"/>
      <c r="I54" s="478"/>
      <c r="J54" s="171">
        <f t="shared" si="3"/>
        <v>0</v>
      </c>
      <c r="K54" s="494"/>
      <c r="L54" s="495"/>
      <c r="M54" s="915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104"/>
      <c r="D55" s="1105"/>
      <c r="E55" s="920"/>
      <c r="F55" s="486"/>
      <c r="G55" s="487"/>
      <c r="H55" s="487"/>
      <c r="I55" s="487"/>
      <c r="J55" s="171">
        <f t="shared" si="3"/>
        <v>0</v>
      </c>
      <c r="K55" s="496"/>
      <c r="L55" s="497"/>
      <c r="M55" s="916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104"/>
      <c r="D56" s="1105"/>
      <c r="E56" s="920"/>
      <c r="F56" s="486"/>
      <c r="G56" s="487"/>
      <c r="H56" s="487"/>
      <c r="I56" s="487"/>
      <c r="J56" s="171">
        <f t="shared" si="3"/>
        <v>0</v>
      </c>
      <c r="K56" s="496"/>
      <c r="L56" s="497"/>
      <c r="M56" s="916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106"/>
      <c r="D57" s="1107"/>
      <c r="E57" s="921"/>
      <c r="F57" s="481"/>
      <c r="G57" s="482"/>
      <c r="H57" s="482"/>
      <c r="I57" s="482"/>
      <c r="J57" s="172">
        <f t="shared" si="3"/>
        <v>0</v>
      </c>
      <c r="K57" s="498"/>
      <c r="L57" s="499"/>
      <c r="M57" s="917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750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750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69"/>
      <c r="D71" s="1069"/>
      <c r="E71" s="1069"/>
      <c r="F71" s="1069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topLeftCell="A3" zoomScale="73" zoomScaleNormal="73" zoomScalePageLayoutView="73" workbookViewId="0">
      <selection activeCell="S102" sqref="S102:T102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2.77734375" style="90" customWidth="1"/>
    <col min="5" max="5" width="27.77734375" style="91" customWidth="1"/>
    <col min="6" max="9" width="15.21875" style="91" customWidth="1"/>
    <col min="10" max="12" width="9.5546875" style="91" customWidth="1"/>
    <col min="13" max="13" width="3.44140625" style="90" customWidth="1"/>
    <col min="14" max="16384" width="10.55468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48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48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3" customFormat="1" ht="36" customHeight="1">
      <c r="B15" s="984"/>
      <c r="C15" s="1118" t="s">
        <v>781</v>
      </c>
      <c r="D15" s="1119"/>
      <c r="E15" s="985"/>
      <c r="F15" s="1116" t="s">
        <v>787</v>
      </c>
      <c r="G15" s="1117"/>
      <c r="H15" s="1116" t="s">
        <v>786</v>
      </c>
      <c r="I15" s="1117"/>
      <c r="J15" s="986"/>
      <c r="K15" s="986"/>
      <c r="L15" s="986"/>
      <c r="M15" s="987"/>
      <c r="O15" s="988"/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89"/>
      <c r="AB15" s="990"/>
    </row>
    <row r="16" spans="2:28" s="991" customFormat="1" ht="22.9" customHeight="1">
      <c r="B16" s="992"/>
      <c r="C16" s="1114" t="s">
        <v>782</v>
      </c>
      <c r="D16" s="1115"/>
      <c r="E16" s="993" t="s">
        <v>384</v>
      </c>
      <c r="F16" s="986">
        <f>ejercicio-1</f>
        <v>2017</v>
      </c>
      <c r="G16" s="986">
        <f>ejercicio</f>
        <v>2018</v>
      </c>
      <c r="H16" s="986">
        <f>ejercicio-1</f>
        <v>2017</v>
      </c>
      <c r="I16" s="986">
        <f>ejercicio</f>
        <v>2018</v>
      </c>
      <c r="J16" s="986" t="s">
        <v>386</v>
      </c>
      <c r="K16" s="986" t="s">
        <v>388</v>
      </c>
      <c r="L16" s="986" t="s">
        <v>387</v>
      </c>
      <c r="M16" s="994"/>
      <c r="O16" s="988"/>
      <c r="P16" s="989"/>
      <c r="Q16" s="989"/>
      <c r="R16" s="989"/>
      <c r="S16" s="989"/>
      <c r="T16" s="989"/>
      <c r="U16" s="989"/>
      <c r="V16" s="989"/>
      <c r="W16" s="989"/>
      <c r="X16" s="989"/>
      <c r="Y16" s="989"/>
      <c r="Z16" s="989"/>
      <c r="AA16" s="989"/>
      <c r="AB16" s="990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31" t="s">
        <v>660</v>
      </c>
      <c r="D18" s="1132"/>
      <c r="E18" s="1133"/>
      <c r="F18" s="1031">
        <v>6528.08</v>
      </c>
      <c r="G18" s="1032">
        <v>13128.08</v>
      </c>
      <c r="H18" s="842"/>
      <c r="I18" s="842"/>
      <c r="J18" s="842"/>
      <c r="K18" s="842"/>
      <c r="L18" s="842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1"/>
      <c r="F19" s="1033"/>
      <c r="G19" s="1033"/>
      <c r="H19" s="501"/>
      <c r="I19" s="501"/>
      <c r="J19" s="922"/>
      <c r="K19" s="922"/>
      <c r="L19" s="922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1019" t="s">
        <v>825</v>
      </c>
      <c r="D20" s="558"/>
      <c r="E20" s="1017" t="s">
        <v>827</v>
      </c>
      <c r="F20" s="1034"/>
      <c r="G20" s="1035"/>
      <c r="H20" s="978"/>
      <c r="I20" s="978"/>
      <c r="J20" s="1026"/>
      <c r="K20" s="1026"/>
      <c r="L20" s="1026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1016" t="s">
        <v>823</v>
      </c>
      <c r="D21" s="560"/>
      <c r="E21" s="1020" t="s">
        <v>826</v>
      </c>
      <c r="F21" s="1036">
        <v>10000</v>
      </c>
      <c r="G21" s="1037"/>
      <c r="H21" s="979"/>
      <c r="I21" s="979"/>
      <c r="J21" s="1027"/>
      <c r="K21" s="1027"/>
      <c r="L21" s="1027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1016" t="s">
        <v>856</v>
      </c>
      <c r="D22" s="560"/>
      <c r="E22" s="1020" t="s">
        <v>862</v>
      </c>
      <c r="F22" s="1036"/>
      <c r="G22" s="1037">
        <v>10000</v>
      </c>
      <c r="H22" s="979"/>
      <c r="I22" s="979">
        <v>10000</v>
      </c>
      <c r="J22" s="1027" t="s">
        <v>863</v>
      </c>
      <c r="K22" s="1027" t="s">
        <v>864</v>
      </c>
      <c r="L22" s="1027" t="s">
        <v>865</v>
      </c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559"/>
      <c r="D23" s="560"/>
      <c r="E23" s="553"/>
      <c r="F23" s="484"/>
      <c r="G23" s="504"/>
      <c r="H23" s="979"/>
      <c r="I23" s="979"/>
      <c r="J23" s="1027"/>
      <c r="K23" s="1027"/>
      <c r="L23" s="1027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559"/>
      <c r="D24" s="560"/>
      <c r="E24" s="554"/>
      <c r="F24" s="477"/>
      <c r="G24" s="505"/>
      <c r="H24" s="980"/>
      <c r="I24" s="980"/>
      <c r="J24" s="1028"/>
      <c r="K24" s="1028"/>
      <c r="L24" s="1028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59"/>
      <c r="D25" s="560"/>
      <c r="E25" s="554"/>
      <c r="F25" s="477"/>
      <c r="G25" s="505"/>
      <c r="H25" s="980"/>
      <c r="I25" s="980"/>
      <c r="J25" s="1028"/>
      <c r="K25" s="1028"/>
      <c r="L25" s="1028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59"/>
      <c r="D26" s="560"/>
      <c r="E26" s="554"/>
      <c r="F26" s="477"/>
      <c r="G26" s="505"/>
      <c r="H26" s="980"/>
      <c r="I26" s="980"/>
      <c r="J26" s="1028"/>
      <c r="K26" s="1028"/>
      <c r="L26" s="1028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59"/>
      <c r="D27" s="560"/>
      <c r="E27" s="555"/>
      <c r="F27" s="486"/>
      <c r="G27" s="506"/>
      <c r="H27" s="981"/>
      <c r="I27" s="981"/>
      <c r="J27" s="1029"/>
      <c r="K27" s="1029"/>
      <c r="L27" s="1029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59"/>
      <c r="D28" s="560"/>
      <c r="E28" s="555"/>
      <c r="F28" s="486"/>
      <c r="G28" s="506"/>
      <c r="H28" s="981"/>
      <c r="I28" s="981"/>
      <c r="J28" s="1029"/>
      <c r="K28" s="1029"/>
      <c r="L28" s="1029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1"/>
      <c r="D29" s="562"/>
      <c r="E29" s="556"/>
      <c r="F29" s="481"/>
      <c r="G29" s="507"/>
      <c r="H29" s="982"/>
      <c r="I29" s="982"/>
      <c r="J29" s="1030"/>
      <c r="K29" s="1030"/>
      <c r="L29" s="1030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10000</v>
      </c>
      <c r="G30" s="170">
        <f>SUM(G20:G29)</f>
        <v>10000</v>
      </c>
      <c r="H30" s="170">
        <f>SUM(H20:H29)</f>
        <v>0</v>
      </c>
      <c r="I30" s="170">
        <f>SUM(I20:I29)</f>
        <v>10000</v>
      </c>
      <c r="J30" s="933"/>
      <c r="K30" s="934"/>
      <c r="L30" s="933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22" t="s">
        <v>390</v>
      </c>
      <c r="D32" s="1123"/>
      <c r="E32" s="1124"/>
      <c r="F32" s="512">
        <v>-2500</v>
      </c>
      <c r="G32" s="502">
        <v>-2500</v>
      </c>
      <c r="H32" s="842"/>
      <c r="I32" s="842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25" t="s">
        <v>391</v>
      </c>
      <c r="D33" s="1126"/>
      <c r="E33" s="1127"/>
      <c r="F33" s="513">
        <v>-1200</v>
      </c>
      <c r="G33" s="505">
        <v>-2504.11</v>
      </c>
      <c r="H33" s="842"/>
      <c r="I33" s="842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392</v>
      </c>
      <c r="D34" s="154"/>
      <c r="E34" s="171"/>
      <c r="F34" s="513">
        <v>300</v>
      </c>
      <c r="G34" s="507">
        <v>626.03</v>
      </c>
      <c r="H34" s="842"/>
      <c r="I34" s="842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13128.080000000002</v>
      </c>
      <c r="G35" s="170">
        <f>G18+G30+SUM(G32:G34)</f>
        <v>18750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18" t="s">
        <v>781</v>
      </c>
      <c r="D38" s="1119"/>
      <c r="E38" s="985"/>
      <c r="F38" s="1116" t="s">
        <v>790</v>
      </c>
      <c r="G38" s="1117"/>
      <c r="H38" s="1116" t="s">
        <v>791</v>
      </c>
      <c r="I38" s="1117"/>
      <c r="J38" s="986"/>
      <c r="K38" s="986"/>
      <c r="L38" s="986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114" t="s">
        <v>782</v>
      </c>
      <c r="D39" s="1115"/>
      <c r="E39" s="993" t="s">
        <v>384</v>
      </c>
      <c r="F39" s="986">
        <f>ejercicio-1</f>
        <v>2017</v>
      </c>
      <c r="G39" s="986">
        <f>ejercicio</f>
        <v>2018</v>
      </c>
      <c r="H39" s="986">
        <f>ejercicio-1</f>
        <v>2017</v>
      </c>
      <c r="I39" s="986">
        <f>ejercicio</f>
        <v>2018</v>
      </c>
      <c r="J39" s="986" t="s">
        <v>386</v>
      </c>
      <c r="K39" s="986" t="s">
        <v>388</v>
      </c>
      <c r="L39" s="986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1019" t="s">
        <v>868</v>
      </c>
      <c r="D40" s="558"/>
      <c r="E40" s="1017" t="s">
        <v>824</v>
      </c>
      <c r="F40" s="473">
        <v>8460.34</v>
      </c>
      <c r="G40" s="502">
        <v>8460.34</v>
      </c>
      <c r="H40" s="978"/>
      <c r="I40" s="978">
        <v>8460.34</v>
      </c>
      <c r="J40" s="1026" t="s">
        <v>863</v>
      </c>
      <c r="K40" s="1026" t="s">
        <v>866</v>
      </c>
      <c r="L40" s="1026" t="s">
        <v>867</v>
      </c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1016" t="s">
        <v>828</v>
      </c>
      <c r="D41" s="560"/>
      <c r="E41" s="1020" t="s">
        <v>824</v>
      </c>
      <c r="F41" s="484">
        <v>4028.84</v>
      </c>
      <c r="G41" s="504">
        <v>4028.84</v>
      </c>
      <c r="H41" s="979"/>
      <c r="I41" s="979">
        <v>4028.84</v>
      </c>
      <c r="J41" s="1027" t="s">
        <v>863</v>
      </c>
      <c r="K41" s="1027" t="s">
        <v>869</v>
      </c>
      <c r="L41" s="1027" t="s">
        <v>867</v>
      </c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1016" t="s">
        <v>829</v>
      </c>
      <c r="D42" s="560"/>
      <c r="E42" s="1020" t="s">
        <v>830</v>
      </c>
      <c r="F42" s="484">
        <v>26228.18</v>
      </c>
      <c r="G42" s="504">
        <v>24213.1</v>
      </c>
      <c r="H42" s="979"/>
      <c r="I42" s="979"/>
      <c r="J42" s="1027"/>
      <c r="K42" s="1027"/>
      <c r="L42" s="1027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1016" t="s">
        <v>831</v>
      </c>
      <c r="D43" s="560"/>
      <c r="E43" s="1020" t="s">
        <v>824</v>
      </c>
      <c r="F43" s="484">
        <v>2857.14</v>
      </c>
      <c r="G43" s="504"/>
      <c r="H43" s="979"/>
      <c r="I43" s="979"/>
      <c r="J43" s="1027"/>
      <c r="K43" s="1027"/>
      <c r="L43" s="1027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1016" t="s">
        <v>855</v>
      </c>
      <c r="D44" s="560"/>
      <c r="E44" s="1024" t="s">
        <v>824</v>
      </c>
      <c r="F44" s="477"/>
      <c r="G44" s="505">
        <v>60000</v>
      </c>
      <c r="H44" s="980"/>
      <c r="I44" s="980">
        <v>60000</v>
      </c>
      <c r="J44" s="1028" t="s">
        <v>863</v>
      </c>
      <c r="K44" s="1028" t="s">
        <v>870</v>
      </c>
      <c r="L44" s="1028" t="s">
        <v>867</v>
      </c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1016" t="s">
        <v>858</v>
      </c>
      <c r="D45" s="560"/>
      <c r="E45" s="1024" t="s">
        <v>824</v>
      </c>
      <c r="F45" s="477"/>
      <c r="G45" s="505">
        <v>-38811</v>
      </c>
      <c r="H45" s="980"/>
      <c r="I45" s="980"/>
      <c r="J45" s="1028"/>
      <c r="K45" s="1028"/>
      <c r="L45" s="1028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1016" t="s">
        <v>857</v>
      </c>
      <c r="D46" s="560"/>
      <c r="E46" s="1024" t="s">
        <v>824</v>
      </c>
      <c r="F46" s="477"/>
      <c r="G46" s="505">
        <v>5000</v>
      </c>
      <c r="H46" s="980"/>
      <c r="I46" s="980">
        <v>5000</v>
      </c>
      <c r="J46" s="1028" t="s">
        <v>863</v>
      </c>
      <c r="K46" s="1028" t="s">
        <v>866</v>
      </c>
      <c r="L46" s="1028" t="s">
        <v>867</v>
      </c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559"/>
      <c r="D47" s="560"/>
      <c r="E47" s="555"/>
      <c r="F47" s="486"/>
      <c r="G47" s="506"/>
      <c r="H47" s="981"/>
      <c r="I47" s="981"/>
      <c r="J47" s="1029"/>
      <c r="K47" s="1029"/>
      <c r="L47" s="1029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" customHeight="1">
      <c r="B48" s="110"/>
      <c r="C48" s="559"/>
      <c r="D48" s="560"/>
      <c r="E48" s="555"/>
      <c r="F48" s="486"/>
      <c r="G48" s="506"/>
      <c r="H48" s="981"/>
      <c r="I48" s="981"/>
      <c r="J48" s="1029"/>
      <c r="K48" s="1029"/>
      <c r="L48" s="1029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" customHeight="1">
      <c r="B49" s="110"/>
      <c r="C49" s="561"/>
      <c r="D49" s="562"/>
      <c r="E49" s="556"/>
      <c r="F49" s="481"/>
      <c r="G49" s="507"/>
      <c r="H49" s="982"/>
      <c r="I49" s="982"/>
      <c r="J49" s="1030"/>
      <c r="K49" s="1030"/>
      <c r="L49" s="1030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" customHeight="1" thickBot="1">
      <c r="B50" s="110"/>
      <c r="C50" s="1128" t="s">
        <v>389</v>
      </c>
      <c r="D50" s="1129"/>
      <c r="E50" s="1130"/>
      <c r="F50" s="170">
        <f>SUM(F40:F49)</f>
        <v>41574.5</v>
      </c>
      <c r="G50" s="170">
        <f>SUM(G40:G49)</f>
        <v>62891.28</v>
      </c>
      <c r="H50" s="170">
        <f t="shared" ref="H50:I50" si="0">SUM(H40:H49)</f>
        <v>0</v>
      </c>
      <c r="I50" s="170">
        <f t="shared" si="0"/>
        <v>77489.179999999993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18" t="s">
        <v>781</v>
      </c>
      <c r="D53" s="1119"/>
      <c r="E53" s="985"/>
      <c r="F53" s="1116" t="s">
        <v>792</v>
      </c>
      <c r="G53" s="1117"/>
      <c r="H53" s="1116" t="s">
        <v>793</v>
      </c>
      <c r="I53" s="1117"/>
      <c r="J53" s="986"/>
      <c r="K53" s="986"/>
      <c r="L53" s="986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1114" t="s">
        <v>782</v>
      </c>
      <c r="D54" s="1115"/>
      <c r="E54" s="993" t="s">
        <v>384</v>
      </c>
      <c r="F54" s="986">
        <f>ejercicio-1</f>
        <v>2017</v>
      </c>
      <c r="G54" s="986">
        <f>ejercicio</f>
        <v>2018</v>
      </c>
      <c r="H54" s="986">
        <f>ejercicio-1</f>
        <v>2017</v>
      </c>
      <c r="I54" s="986">
        <f>ejercicio</f>
        <v>2018</v>
      </c>
      <c r="J54" s="986" t="s">
        <v>386</v>
      </c>
      <c r="K54" s="986" t="s">
        <v>388</v>
      </c>
      <c r="L54" s="986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" customHeight="1">
      <c r="B55" s="110"/>
      <c r="C55" s="557"/>
      <c r="D55" s="558"/>
      <c r="E55" s="563"/>
      <c r="F55" s="473"/>
      <c r="G55" s="502"/>
      <c r="H55" s="978"/>
      <c r="I55" s="978"/>
      <c r="J55" s="923"/>
      <c r="K55" s="923"/>
      <c r="L55" s="924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" customHeight="1">
      <c r="B56" s="110"/>
      <c r="C56" s="559"/>
      <c r="D56" s="560"/>
      <c r="E56" s="553"/>
      <c r="F56" s="484"/>
      <c r="G56" s="504"/>
      <c r="H56" s="979"/>
      <c r="I56" s="979"/>
      <c r="J56" s="925"/>
      <c r="K56" s="925"/>
      <c r="L56" s="926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559"/>
      <c r="D57" s="560"/>
      <c r="E57" s="553"/>
      <c r="F57" s="484"/>
      <c r="G57" s="504"/>
      <c r="H57" s="979"/>
      <c r="I57" s="979"/>
      <c r="J57" s="925"/>
      <c r="K57" s="925"/>
      <c r="L57" s="926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559"/>
      <c r="D58" s="560"/>
      <c r="E58" s="553"/>
      <c r="F58" s="484"/>
      <c r="G58" s="504"/>
      <c r="H58" s="979"/>
      <c r="I58" s="979"/>
      <c r="J58" s="925"/>
      <c r="K58" s="925"/>
      <c r="L58" s="926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559"/>
      <c r="D59" s="560"/>
      <c r="E59" s="554"/>
      <c r="F59" s="477"/>
      <c r="G59" s="505"/>
      <c r="H59" s="980"/>
      <c r="I59" s="980"/>
      <c r="J59" s="927"/>
      <c r="K59" s="927"/>
      <c r="L59" s="928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559"/>
      <c r="D60" s="560"/>
      <c r="E60" s="554"/>
      <c r="F60" s="477"/>
      <c r="G60" s="505"/>
      <c r="H60" s="980"/>
      <c r="I60" s="980"/>
      <c r="J60" s="927"/>
      <c r="K60" s="927"/>
      <c r="L60" s="928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559"/>
      <c r="D61" s="560"/>
      <c r="E61" s="554"/>
      <c r="F61" s="477"/>
      <c r="G61" s="505"/>
      <c r="H61" s="980"/>
      <c r="I61" s="980"/>
      <c r="J61" s="927"/>
      <c r="K61" s="927"/>
      <c r="L61" s="928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559"/>
      <c r="D62" s="560"/>
      <c r="E62" s="555"/>
      <c r="F62" s="486"/>
      <c r="G62" s="506"/>
      <c r="H62" s="981"/>
      <c r="I62" s="981"/>
      <c r="J62" s="929"/>
      <c r="K62" s="929"/>
      <c r="L62" s="930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559"/>
      <c r="D63" s="560"/>
      <c r="E63" s="555"/>
      <c r="F63" s="486"/>
      <c r="G63" s="506"/>
      <c r="H63" s="981"/>
      <c r="I63" s="981"/>
      <c r="J63" s="929"/>
      <c r="K63" s="929"/>
      <c r="L63" s="930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561"/>
      <c r="D64" s="562"/>
      <c r="E64" s="556"/>
      <c r="F64" s="481"/>
      <c r="G64" s="507"/>
      <c r="H64" s="982"/>
      <c r="I64" s="982"/>
      <c r="J64" s="931"/>
      <c r="K64" s="931"/>
      <c r="L64" s="932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" customHeight="1" thickBot="1">
      <c r="B65" s="110"/>
      <c r="C65" s="1128" t="s">
        <v>389</v>
      </c>
      <c r="D65" s="1129"/>
      <c r="E65" s="1130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804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>
      <c r="B68" s="110"/>
      <c r="C68" s="1101" t="s">
        <v>781</v>
      </c>
      <c r="D68" s="1103"/>
      <c r="E68" s="986" t="s">
        <v>384</v>
      </c>
      <c r="F68" s="986">
        <f>ejercicio-1</f>
        <v>2017</v>
      </c>
      <c r="G68" s="986">
        <f>ejercicio</f>
        <v>2018</v>
      </c>
      <c r="H68" s="986" t="s">
        <v>386</v>
      </c>
      <c r="I68" s="986" t="s">
        <v>388</v>
      </c>
      <c r="J68" s="986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" customHeight="1">
      <c r="B69" s="110"/>
      <c r="C69" s="557"/>
      <c r="D69" s="558"/>
      <c r="E69" s="563"/>
      <c r="F69" s="473"/>
      <c r="G69" s="502"/>
      <c r="H69" s="923"/>
      <c r="I69" s="923"/>
      <c r="J69" s="924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" customHeight="1">
      <c r="B70" s="110"/>
      <c r="C70" s="559"/>
      <c r="D70" s="560"/>
      <c r="E70" s="553"/>
      <c r="F70" s="484"/>
      <c r="G70" s="504"/>
      <c r="H70" s="925"/>
      <c r="I70" s="925"/>
      <c r="J70" s="926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559"/>
      <c r="D71" s="560"/>
      <c r="E71" s="553"/>
      <c r="F71" s="484"/>
      <c r="G71" s="504"/>
      <c r="H71" s="925"/>
      <c r="I71" s="925"/>
      <c r="J71" s="926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559"/>
      <c r="D72" s="560"/>
      <c r="E72" s="553"/>
      <c r="F72" s="484"/>
      <c r="G72" s="504"/>
      <c r="H72" s="925"/>
      <c r="I72" s="925"/>
      <c r="J72" s="926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59"/>
      <c r="D73" s="560"/>
      <c r="E73" s="554"/>
      <c r="F73" s="477"/>
      <c r="G73" s="505"/>
      <c r="H73" s="927"/>
      <c r="I73" s="927"/>
      <c r="J73" s="928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59"/>
      <c r="D74" s="560"/>
      <c r="E74" s="554"/>
      <c r="F74" s="477"/>
      <c r="G74" s="505"/>
      <c r="H74" s="927"/>
      <c r="I74" s="927"/>
      <c r="J74" s="928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59"/>
      <c r="D75" s="560"/>
      <c r="E75" s="554"/>
      <c r="F75" s="477"/>
      <c r="G75" s="505"/>
      <c r="H75" s="927"/>
      <c r="I75" s="927"/>
      <c r="J75" s="928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59"/>
      <c r="D76" s="560"/>
      <c r="E76" s="555"/>
      <c r="F76" s="486"/>
      <c r="G76" s="506"/>
      <c r="H76" s="929"/>
      <c r="I76" s="929"/>
      <c r="J76" s="930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59"/>
      <c r="D77" s="560"/>
      <c r="E77" s="555"/>
      <c r="F77" s="486"/>
      <c r="G77" s="506"/>
      <c r="H77" s="929"/>
      <c r="I77" s="929"/>
      <c r="J77" s="930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1"/>
      <c r="D78" s="562"/>
      <c r="E78" s="556"/>
      <c r="F78" s="481"/>
      <c r="G78" s="507"/>
      <c r="H78" s="931"/>
      <c r="I78" s="931"/>
      <c r="J78" s="932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 thickBot="1">
      <c r="B79" s="110"/>
      <c r="C79" s="1128" t="s">
        <v>805</v>
      </c>
      <c r="D79" s="1129"/>
      <c r="E79" s="1130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8">
      <c r="B82" s="110"/>
      <c r="C82" s="971" t="s">
        <v>859</v>
      </c>
      <c r="D82" s="971"/>
      <c r="E82" s="972"/>
      <c r="F82" s="972"/>
      <c r="G82" s="972"/>
      <c r="H82" s="972"/>
      <c r="I82" s="972"/>
      <c r="J82" s="972"/>
      <c r="K82" s="972"/>
      <c r="L82" s="973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8">
      <c r="B83" s="110"/>
      <c r="C83" s="974" t="s">
        <v>860</v>
      </c>
      <c r="D83" s="974"/>
      <c r="E83" s="975"/>
      <c r="F83" s="975"/>
      <c r="G83" s="975"/>
      <c r="H83" s="975"/>
      <c r="I83" s="975"/>
      <c r="J83" s="975"/>
      <c r="K83" s="975"/>
      <c r="L83" s="976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8">
      <c r="B84" s="110"/>
      <c r="C84" s="974" t="s">
        <v>861</v>
      </c>
      <c r="D84" s="974"/>
      <c r="E84" s="975"/>
      <c r="F84" s="975"/>
      <c r="G84" s="975"/>
      <c r="H84" s="975"/>
      <c r="I84" s="975"/>
      <c r="J84" s="975"/>
      <c r="K84" s="975"/>
      <c r="L84" s="976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4"/>
      <c r="D85" s="974"/>
      <c r="E85" s="975"/>
      <c r="F85" s="975"/>
      <c r="G85" s="975"/>
      <c r="H85" s="975"/>
      <c r="I85" s="975"/>
      <c r="J85" s="975"/>
      <c r="K85" s="975"/>
      <c r="L85" s="976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4"/>
      <c r="D86" s="974"/>
      <c r="E86" s="975"/>
      <c r="F86" s="975"/>
      <c r="G86" s="975"/>
      <c r="H86" s="975"/>
      <c r="I86" s="975"/>
      <c r="J86" s="975"/>
      <c r="K86" s="975"/>
      <c r="L86" s="976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4"/>
      <c r="D87" s="974"/>
      <c r="E87" s="975"/>
      <c r="F87" s="975"/>
      <c r="G87" s="975"/>
      <c r="H87" s="975"/>
      <c r="I87" s="975"/>
      <c r="J87" s="975"/>
      <c r="K87" s="975"/>
      <c r="L87" s="976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4"/>
      <c r="D88" s="974"/>
      <c r="E88" s="975"/>
      <c r="F88" s="1025"/>
      <c r="G88" s="975"/>
      <c r="H88" s="975"/>
      <c r="I88" s="975"/>
      <c r="J88" s="975"/>
      <c r="K88" s="975"/>
      <c r="L88" s="976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4"/>
      <c r="D89" s="974"/>
      <c r="E89" s="975"/>
      <c r="F89" s="975"/>
      <c r="G89" s="975"/>
      <c r="H89" s="975"/>
      <c r="I89" s="975"/>
      <c r="J89" s="975"/>
      <c r="K89" s="975"/>
      <c r="L89" s="976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4"/>
      <c r="D90" s="974"/>
      <c r="E90" s="975"/>
      <c r="F90" s="975"/>
      <c r="G90" s="975"/>
      <c r="H90" s="975"/>
      <c r="I90" s="975"/>
      <c r="J90" s="975"/>
      <c r="K90" s="975"/>
      <c r="L90" s="976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4"/>
      <c r="D91" s="974"/>
      <c r="E91" s="975"/>
      <c r="F91" s="975"/>
      <c r="G91" s="975"/>
      <c r="H91" s="975"/>
      <c r="I91" s="975"/>
      <c r="J91" s="975"/>
      <c r="K91" s="975"/>
      <c r="L91" s="976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8">
      <c r="B92" s="110"/>
      <c r="C92" s="1039" t="s">
        <v>785</v>
      </c>
      <c r="D92" s="1040"/>
      <c r="E92" s="1041"/>
      <c r="F92" s="1041"/>
      <c r="G92" s="1041"/>
      <c r="H92" s="1041"/>
      <c r="I92" s="995"/>
      <c r="J92" s="995"/>
      <c r="K92" s="995"/>
      <c r="L92" s="996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8">
      <c r="B93" s="110"/>
      <c r="C93" s="1042" t="s">
        <v>797</v>
      </c>
      <c r="D93" s="1040"/>
      <c r="E93" s="1041"/>
      <c r="F93" s="1041"/>
      <c r="G93" s="1041"/>
      <c r="H93" s="1041"/>
      <c r="I93" s="995"/>
      <c r="J93" s="995"/>
      <c r="K93" s="995"/>
      <c r="L93" s="996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8">
      <c r="B94" s="110"/>
      <c r="C94" s="1042" t="s">
        <v>871</v>
      </c>
      <c r="D94" s="1040"/>
      <c r="E94" s="1041"/>
      <c r="F94" s="1043">
        <f>ejercicio-1</f>
        <v>2017</v>
      </c>
      <c r="G94" s="1041" t="s">
        <v>872</v>
      </c>
      <c r="H94" s="1041"/>
      <c r="I94" s="995"/>
      <c r="J94" s="997">
        <f>ejercicio</f>
        <v>2018</v>
      </c>
      <c r="K94" s="995"/>
      <c r="L94" s="996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8">
      <c r="B95" s="110"/>
      <c r="C95" s="1042" t="s">
        <v>799</v>
      </c>
      <c r="D95" s="1040"/>
      <c r="E95" s="1041"/>
      <c r="F95" s="1041"/>
      <c r="G95" s="1041"/>
      <c r="H95" s="1041"/>
      <c r="I95" s="995"/>
      <c r="J95" s="995"/>
      <c r="K95" s="995"/>
      <c r="L95" s="996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8">
      <c r="B96" s="110"/>
      <c r="C96" s="1040" t="s">
        <v>798</v>
      </c>
      <c r="D96" s="1040"/>
      <c r="E96" s="1041"/>
      <c r="F96" s="1041"/>
      <c r="G96" s="1041"/>
      <c r="H96" s="1041"/>
      <c r="I96" s="995"/>
      <c r="J96" s="995"/>
      <c r="K96" s="995"/>
      <c r="L96" s="996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8">
      <c r="B97" s="110"/>
      <c r="C97" s="1042" t="s">
        <v>800</v>
      </c>
      <c r="D97" s="1040"/>
      <c r="E97" s="1041"/>
      <c r="F97" s="1041"/>
      <c r="G97" s="1041"/>
      <c r="H97" s="1041"/>
      <c r="I97" s="995"/>
      <c r="J97" s="995"/>
      <c r="K97" s="995"/>
      <c r="L97" s="996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8">
      <c r="B98" s="110"/>
      <c r="C98" s="1040" t="s">
        <v>788</v>
      </c>
      <c r="D98" s="1040"/>
      <c r="E98" s="1041"/>
      <c r="F98" s="1041"/>
      <c r="G98" s="1041"/>
      <c r="H98" s="1041"/>
      <c r="I98" s="995"/>
      <c r="J98" s="995"/>
      <c r="K98" s="995"/>
      <c r="L98" s="996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1040" t="s">
        <v>806</v>
      </c>
      <c r="D99" s="1040"/>
      <c r="E99" s="1041"/>
      <c r="F99" s="1041"/>
      <c r="G99" s="1041"/>
      <c r="H99" s="1041"/>
      <c r="I99" s="995"/>
      <c r="J99" s="995"/>
      <c r="K99" s="995"/>
      <c r="L99" s="996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1040" t="s">
        <v>789</v>
      </c>
      <c r="D100" s="1040"/>
      <c r="E100" s="1041"/>
      <c r="F100" s="1041"/>
      <c r="G100" s="1041"/>
      <c r="H100" s="1041"/>
      <c r="I100" s="995"/>
      <c r="J100" s="995"/>
      <c r="K100" s="995"/>
      <c r="L100" s="996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1042" t="s">
        <v>801</v>
      </c>
      <c r="D101" s="1040"/>
      <c r="E101" s="1041"/>
      <c r="F101" s="1041"/>
      <c r="G101" s="1041"/>
      <c r="H101" s="1041"/>
      <c r="I101" s="995"/>
      <c r="J101" s="995"/>
      <c r="K101" s="995"/>
      <c r="L101" s="996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1042" t="s">
        <v>807</v>
      </c>
      <c r="D102" s="1040"/>
      <c r="E102" s="1041"/>
      <c r="F102" s="1041"/>
      <c r="G102" s="1041"/>
      <c r="H102" s="1041"/>
      <c r="I102" s="995"/>
      <c r="J102" s="995"/>
      <c r="K102" s="995"/>
      <c r="L102" s="996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1040" t="s">
        <v>794</v>
      </c>
      <c r="D103" s="1040"/>
      <c r="E103" s="1041"/>
      <c r="F103" s="1041"/>
      <c r="G103" s="1041"/>
      <c r="H103" s="1041"/>
      <c r="I103" s="995"/>
      <c r="J103" s="995"/>
      <c r="K103" s="995"/>
      <c r="L103" s="996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1042" t="s">
        <v>802</v>
      </c>
      <c r="D104" s="1040"/>
      <c r="E104" s="1041"/>
      <c r="F104" s="1041"/>
      <c r="G104" s="1041"/>
      <c r="H104" s="1041"/>
      <c r="I104" s="995"/>
      <c r="J104" s="995"/>
      <c r="K104" s="995"/>
      <c r="L104" s="996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02" customFormat="1" ht="18">
      <c r="B105" s="998"/>
      <c r="C105" s="1044" t="s">
        <v>873</v>
      </c>
      <c r="D105" s="1045"/>
      <c r="E105" s="1046"/>
      <c r="F105" s="1046"/>
      <c r="G105" s="1046"/>
      <c r="H105" s="1046"/>
      <c r="I105" s="999"/>
      <c r="J105" s="999"/>
      <c r="K105" s="999"/>
      <c r="L105" s="1000"/>
      <c r="M105" s="1001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1040" t="s">
        <v>795</v>
      </c>
      <c r="D106" s="1040"/>
      <c r="E106" s="1041"/>
      <c r="F106" s="1041"/>
      <c r="G106" s="1041"/>
      <c r="H106" s="1041"/>
      <c r="I106" s="995"/>
      <c r="J106" s="995"/>
      <c r="K106" s="995"/>
      <c r="L106" s="996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1042" t="s">
        <v>803</v>
      </c>
      <c r="D107" s="1040"/>
      <c r="E107" s="1041"/>
      <c r="F107" s="1041"/>
      <c r="G107" s="1041"/>
      <c r="H107" s="1041"/>
      <c r="I107" s="995"/>
      <c r="J107" s="995"/>
      <c r="K107" s="995"/>
      <c r="L107" s="996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8">
      <c r="B108" s="110"/>
      <c r="C108" s="1040" t="s">
        <v>796</v>
      </c>
      <c r="D108" s="1040"/>
      <c r="E108" s="1041"/>
      <c r="F108" s="1041"/>
      <c r="G108" s="1041"/>
      <c r="H108" s="1041"/>
      <c r="I108" s="995"/>
      <c r="J108" s="995"/>
      <c r="K108" s="995"/>
      <c r="L108" s="996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" customHeight="1" thickBot="1">
      <c r="B109" s="114"/>
      <c r="C109" s="1121"/>
      <c r="D109" s="1121"/>
      <c r="E109" s="1121"/>
      <c r="F109" s="1121"/>
      <c r="G109" s="1047"/>
      <c r="H109" s="1047"/>
      <c r="I109" s="977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F120" s="98"/>
      <c r="G120" s="98"/>
      <c r="H120" s="98"/>
      <c r="I120" s="98"/>
      <c r="J120" s="98"/>
      <c r="K120" s="98"/>
      <c r="L120" s="98"/>
    </row>
  </sheetData>
  <sheetProtection password="E799" sheet="1" objects="1" scenarios="1" insertRows="0"/>
  <mergeCells count="24"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  <mergeCell ref="C54:D54"/>
    <mergeCell ref="C68:D68"/>
    <mergeCell ref="F38:G38"/>
    <mergeCell ref="H38:I38"/>
    <mergeCell ref="C39:D39"/>
    <mergeCell ref="C53:D53"/>
    <mergeCell ref="F53:G53"/>
    <mergeCell ref="H53:I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7" zoomScaleNormal="47" zoomScalePageLayoutView="47" workbookViewId="0">
      <selection activeCell="AA41" sqref="AA41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44140625" style="90" customWidth="1"/>
    <col min="21" max="16384" width="10.55468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48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48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70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7" t="s">
        <v>645</v>
      </c>
      <c r="N15" s="193" t="s">
        <v>634</v>
      </c>
      <c r="O15" s="193" t="s">
        <v>633</v>
      </c>
      <c r="P15" s="868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4"/>
      <c r="D17" s="508"/>
      <c r="E17" s="576"/>
      <c r="F17" s="576"/>
      <c r="G17" s="514"/>
      <c r="H17" s="576"/>
      <c r="I17" s="576"/>
      <c r="J17" s="576"/>
      <c r="K17" s="588"/>
      <c r="L17" s="588"/>
      <c r="M17" s="877"/>
      <c r="N17" s="877"/>
      <c r="O17" s="877"/>
      <c r="P17" s="728"/>
      <c r="Q17" s="584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4"/>
      <c r="D18" s="508"/>
      <c r="E18" s="576"/>
      <c r="F18" s="576"/>
      <c r="G18" s="514"/>
      <c r="H18" s="576"/>
      <c r="I18" s="576"/>
      <c r="J18" s="576"/>
      <c r="K18" s="588"/>
      <c r="L18" s="588"/>
      <c r="M18" s="588"/>
      <c r="N18" s="588"/>
      <c r="O18" s="588"/>
      <c r="P18" s="728"/>
      <c r="Q18" s="585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4"/>
      <c r="D19" s="508"/>
      <c r="E19" s="576" t="s">
        <v>619</v>
      </c>
      <c r="F19" s="576"/>
      <c r="G19" s="514"/>
      <c r="H19" s="576"/>
      <c r="I19" s="576"/>
      <c r="J19" s="576"/>
      <c r="K19" s="588"/>
      <c r="L19" s="588"/>
      <c r="M19" s="588"/>
      <c r="N19" s="588"/>
      <c r="O19" s="588"/>
      <c r="P19" s="728"/>
      <c r="Q19" s="585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4"/>
      <c r="D20" s="508"/>
      <c r="E20" s="576"/>
      <c r="F20" s="576"/>
      <c r="G20" s="514"/>
      <c r="H20" s="576"/>
      <c r="I20" s="576"/>
      <c r="J20" s="576"/>
      <c r="K20" s="588"/>
      <c r="L20" s="588"/>
      <c r="M20" s="588"/>
      <c r="N20" s="588"/>
      <c r="O20" s="588"/>
      <c r="P20" s="728"/>
      <c r="Q20" s="585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4"/>
      <c r="D21" s="508"/>
      <c r="E21" s="576"/>
      <c r="F21" s="576"/>
      <c r="G21" s="514"/>
      <c r="H21" s="576"/>
      <c r="I21" s="576"/>
      <c r="J21" s="576"/>
      <c r="K21" s="588"/>
      <c r="L21" s="588"/>
      <c r="M21" s="588"/>
      <c r="N21" s="588"/>
      <c r="O21" s="588"/>
      <c r="P21" s="728"/>
      <c r="Q21" s="585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4"/>
      <c r="D22" s="508"/>
      <c r="E22" s="576"/>
      <c r="F22" s="576"/>
      <c r="G22" s="514"/>
      <c r="H22" s="576"/>
      <c r="I22" s="576"/>
      <c r="J22" s="576"/>
      <c r="K22" s="588"/>
      <c r="L22" s="588"/>
      <c r="M22" s="588"/>
      <c r="N22" s="588"/>
      <c r="O22" s="588"/>
      <c r="P22" s="728"/>
      <c r="Q22" s="585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4"/>
      <c r="D23" s="508"/>
      <c r="E23" s="576"/>
      <c r="F23" s="576"/>
      <c r="G23" s="514"/>
      <c r="H23" s="576"/>
      <c r="I23" s="576"/>
      <c r="J23" s="576"/>
      <c r="K23" s="588"/>
      <c r="L23" s="588"/>
      <c r="M23" s="588"/>
      <c r="N23" s="588"/>
      <c r="O23" s="588"/>
      <c r="P23" s="728"/>
      <c r="Q23" s="585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4"/>
      <c r="D24" s="508"/>
      <c r="E24" s="576"/>
      <c r="F24" s="576"/>
      <c r="G24" s="514"/>
      <c r="H24" s="576"/>
      <c r="I24" s="576"/>
      <c r="J24" s="576"/>
      <c r="K24" s="588"/>
      <c r="L24" s="588"/>
      <c r="M24" s="588"/>
      <c r="N24" s="588"/>
      <c r="O24" s="588"/>
      <c r="P24" s="728"/>
      <c r="Q24" s="585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4"/>
      <c r="D25" s="508"/>
      <c r="E25" s="576"/>
      <c r="F25" s="576"/>
      <c r="G25" s="514"/>
      <c r="H25" s="576"/>
      <c r="I25" s="576"/>
      <c r="J25" s="576"/>
      <c r="K25" s="588"/>
      <c r="L25" s="588"/>
      <c r="M25" s="588"/>
      <c r="N25" s="588"/>
      <c r="O25" s="588"/>
      <c r="P25" s="728"/>
      <c r="Q25" s="585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4"/>
      <c r="D26" s="508"/>
      <c r="E26" s="576"/>
      <c r="F26" s="576"/>
      <c r="G26" s="514"/>
      <c r="H26" s="576"/>
      <c r="I26" s="576"/>
      <c r="J26" s="576"/>
      <c r="K26" s="588"/>
      <c r="L26" s="588"/>
      <c r="M26" s="588"/>
      <c r="N26" s="588"/>
      <c r="O26" s="588"/>
      <c r="P26" s="728"/>
      <c r="Q26" s="585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4"/>
      <c r="D27" s="508"/>
      <c r="E27" s="576"/>
      <c r="F27" s="576"/>
      <c r="G27" s="514"/>
      <c r="H27" s="576"/>
      <c r="I27" s="576"/>
      <c r="J27" s="576"/>
      <c r="K27" s="588"/>
      <c r="L27" s="588"/>
      <c r="M27" s="588"/>
      <c r="N27" s="588"/>
      <c r="O27" s="588"/>
      <c r="P27" s="728"/>
      <c r="Q27" s="585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4"/>
      <c r="D28" s="508"/>
      <c r="E28" s="576"/>
      <c r="F28" s="576"/>
      <c r="G28" s="514"/>
      <c r="H28" s="576"/>
      <c r="I28" s="576"/>
      <c r="J28" s="576"/>
      <c r="K28" s="588"/>
      <c r="L28" s="588"/>
      <c r="M28" s="588"/>
      <c r="N28" s="588"/>
      <c r="O28" s="588"/>
      <c r="P28" s="728"/>
      <c r="Q28" s="585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4"/>
      <c r="D29" s="508"/>
      <c r="E29" s="576"/>
      <c r="F29" s="576"/>
      <c r="G29" s="514"/>
      <c r="H29" s="576"/>
      <c r="I29" s="576"/>
      <c r="J29" s="576"/>
      <c r="K29" s="588"/>
      <c r="L29" s="588"/>
      <c r="M29" s="588"/>
      <c r="N29" s="588"/>
      <c r="O29" s="588"/>
      <c r="P29" s="728"/>
      <c r="Q29" s="585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4"/>
      <c r="D30" s="508"/>
      <c r="E30" s="576"/>
      <c r="F30" s="576"/>
      <c r="G30" s="514"/>
      <c r="H30" s="576"/>
      <c r="I30" s="576"/>
      <c r="J30" s="576"/>
      <c r="K30" s="588"/>
      <c r="L30" s="588"/>
      <c r="M30" s="588"/>
      <c r="N30" s="588"/>
      <c r="O30" s="588"/>
      <c r="P30" s="728"/>
      <c r="Q30" s="585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4"/>
      <c r="D31" s="508"/>
      <c r="E31" s="576"/>
      <c r="F31" s="576"/>
      <c r="G31" s="514"/>
      <c r="H31" s="576"/>
      <c r="I31" s="576"/>
      <c r="J31" s="576"/>
      <c r="K31" s="588"/>
      <c r="L31" s="588"/>
      <c r="M31" s="588"/>
      <c r="N31" s="588"/>
      <c r="O31" s="588"/>
      <c r="P31" s="728"/>
      <c r="Q31" s="585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4"/>
      <c r="D32" s="508"/>
      <c r="E32" s="576"/>
      <c r="F32" s="576"/>
      <c r="G32" s="514"/>
      <c r="H32" s="576"/>
      <c r="I32" s="576"/>
      <c r="J32" s="576"/>
      <c r="K32" s="588"/>
      <c r="L32" s="588"/>
      <c r="M32" s="588"/>
      <c r="N32" s="588"/>
      <c r="O32" s="588"/>
      <c r="P32" s="728"/>
      <c r="Q32" s="585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4"/>
      <c r="D33" s="508"/>
      <c r="E33" s="576"/>
      <c r="F33" s="576"/>
      <c r="G33" s="514"/>
      <c r="H33" s="576"/>
      <c r="I33" s="576"/>
      <c r="J33" s="576"/>
      <c r="K33" s="588"/>
      <c r="L33" s="588"/>
      <c r="M33" s="588"/>
      <c r="N33" s="588"/>
      <c r="O33" s="588"/>
      <c r="P33" s="728"/>
      <c r="Q33" s="585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4"/>
      <c r="D34" s="508"/>
      <c r="E34" s="576"/>
      <c r="F34" s="576"/>
      <c r="G34" s="514"/>
      <c r="H34" s="576"/>
      <c r="I34" s="576"/>
      <c r="J34" s="576"/>
      <c r="K34" s="588"/>
      <c r="L34" s="588"/>
      <c r="M34" s="588"/>
      <c r="N34" s="588"/>
      <c r="O34" s="588"/>
      <c r="P34" s="728"/>
      <c r="Q34" s="585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4"/>
      <c r="D35" s="508"/>
      <c r="E35" s="576"/>
      <c r="F35" s="576"/>
      <c r="G35" s="514"/>
      <c r="H35" s="576"/>
      <c r="I35" s="576"/>
      <c r="J35" s="576"/>
      <c r="K35" s="588"/>
      <c r="L35" s="588"/>
      <c r="M35" s="588"/>
      <c r="N35" s="588"/>
      <c r="O35" s="588"/>
      <c r="P35" s="728"/>
      <c r="Q35" s="585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4"/>
      <c r="D36" s="508"/>
      <c r="E36" s="576"/>
      <c r="F36" s="576"/>
      <c r="G36" s="514"/>
      <c r="H36" s="576"/>
      <c r="I36" s="576"/>
      <c r="J36" s="576"/>
      <c r="K36" s="588"/>
      <c r="L36" s="588"/>
      <c r="M36" s="588"/>
      <c r="N36" s="588"/>
      <c r="O36" s="588"/>
      <c r="P36" s="728"/>
      <c r="Q36" s="585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4"/>
      <c r="D37" s="508"/>
      <c r="E37" s="576"/>
      <c r="F37" s="576"/>
      <c r="G37" s="514"/>
      <c r="H37" s="576"/>
      <c r="I37" s="576"/>
      <c r="J37" s="576"/>
      <c r="K37" s="588"/>
      <c r="L37" s="588"/>
      <c r="M37" s="588"/>
      <c r="N37" s="588"/>
      <c r="O37" s="588"/>
      <c r="P37" s="728"/>
      <c r="Q37" s="585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4"/>
      <c r="D38" s="508"/>
      <c r="E38" s="576"/>
      <c r="F38" s="576"/>
      <c r="G38" s="514"/>
      <c r="H38" s="576"/>
      <c r="I38" s="576"/>
      <c r="J38" s="576"/>
      <c r="K38" s="588"/>
      <c r="L38" s="588"/>
      <c r="M38" s="588"/>
      <c r="N38" s="588"/>
      <c r="O38" s="588"/>
      <c r="P38" s="728"/>
      <c r="Q38" s="585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4"/>
      <c r="D39" s="508"/>
      <c r="E39" s="576"/>
      <c r="F39" s="576"/>
      <c r="G39" s="514"/>
      <c r="H39" s="576"/>
      <c r="I39" s="576"/>
      <c r="J39" s="576"/>
      <c r="K39" s="588"/>
      <c r="L39" s="588"/>
      <c r="M39" s="588"/>
      <c r="N39" s="588"/>
      <c r="O39" s="588"/>
      <c r="P39" s="728"/>
      <c r="Q39" s="585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4"/>
      <c r="D40" s="509"/>
      <c r="E40" s="577"/>
      <c r="F40" s="577"/>
      <c r="G40" s="515"/>
      <c r="H40" s="577"/>
      <c r="I40" s="577"/>
      <c r="J40" s="577"/>
      <c r="K40" s="589"/>
      <c r="L40" s="589"/>
      <c r="M40" s="589"/>
      <c r="N40" s="589"/>
      <c r="O40" s="589"/>
      <c r="P40" s="729"/>
      <c r="Q40" s="586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6"/>
      <c r="D41" s="510"/>
      <c r="E41" s="578"/>
      <c r="F41" s="578"/>
      <c r="G41" s="516"/>
      <c r="H41" s="578"/>
      <c r="I41" s="578"/>
      <c r="J41" s="578"/>
      <c r="K41" s="590"/>
      <c r="L41" s="590"/>
      <c r="M41" s="590"/>
      <c r="N41" s="590"/>
      <c r="O41" s="590"/>
      <c r="P41" s="730"/>
      <c r="Q41" s="587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34" t="s">
        <v>424</v>
      </c>
      <c r="I42" s="1135"/>
      <c r="J42" s="1136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59"/>
      <c r="I43" s="859"/>
      <c r="J43" s="859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59"/>
      <c r="I44" s="859"/>
      <c r="J44" s="859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743</v>
      </c>
      <c r="D45" s="731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1"/>
      <c r="D46" s="731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7" t="s">
        <v>645</v>
      </c>
      <c r="N47" s="193" t="s">
        <v>634</v>
      </c>
      <c r="O47" s="193" t="s">
        <v>633</v>
      </c>
      <c r="P47" s="868" t="s">
        <v>689</v>
      </c>
      <c r="Q47" s="193" t="s">
        <v>632</v>
      </c>
      <c r="R47" s="1118" t="s">
        <v>742</v>
      </c>
      <c r="S47" s="1119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4"/>
      <c r="D49" s="508"/>
      <c r="E49" s="576"/>
      <c r="F49" s="576"/>
      <c r="G49" s="514"/>
      <c r="H49" s="576"/>
      <c r="I49" s="576"/>
      <c r="J49" s="869"/>
      <c r="K49" s="588"/>
      <c r="L49" s="588"/>
      <c r="M49" s="877"/>
      <c r="N49" s="877"/>
      <c r="O49" s="877"/>
      <c r="P49" s="728"/>
      <c r="Q49" s="584">
        <f>L49+M49-N49</f>
        <v>0</v>
      </c>
      <c r="R49" s="937"/>
      <c r="S49" s="938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4"/>
      <c r="D50" s="508"/>
      <c r="E50" s="576"/>
      <c r="F50" s="576"/>
      <c r="G50" s="514"/>
      <c r="H50" s="576"/>
      <c r="I50" s="576"/>
      <c r="J50" s="576"/>
      <c r="K50" s="588"/>
      <c r="L50" s="588"/>
      <c r="M50" s="588"/>
      <c r="N50" s="588"/>
      <c r="O50" s="588"/>
      <c r="P50" s="728"/>
      <c r="Q50" s="585">
        <f t="shared" ref="Q50:Q73" si="2">L50+M50-N50</f>
        <v>0</v>
      </c>
      <c r="R50" s="939"/>
      <c r="S50" s="940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4"/>
      <c r="D51" s="508"/>
      <c r="E51" s="576" t="s">
        <v>619</v>
      </c>
      <c r="F51" s="576"/>
      <c r="G51" s="514"/>
      <c r="H51" s="576"/>
      <c r="I51" s="576"/>
      <c r="J51" s="576"/>
      <c r="K51" s="588"/>
      <c r="L51" s="588"/>
      <c r="M51" s="588"/>
      <c r="N51" s="588"/>
      <c r="O51" s="588"/>
      <c r="P51" s="728"/>
      <c r="Q51" s="585">
        <f t="shared" si="2"/>
        <v>0</v>
      </c>
      <c r="R51" s="939"/>
      <c r="S51" s="940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4"/>
      <c r="D52" s="508"/>
      <c r="E52" s="576"/>
      <c r="F52" s="576"/>
      <c r="G52" s="514"/>
      <c r="H52" s="576"/>
      <c r="I52" s="576"/>
      <c r="J52" s="576"/>
      <c r="K52" s="588"/>
      <c r="L52" s="588"/>
      <c r="M52" s="588"/>
      <c r="N52" s="588"/>
      <c r="O52" s="588"/>
      <c r="P52" s="728"/>
      <c r="Q52" s="585">
        <f t="shared" si="2"/>
        <v>0</v>
      </c>
      <c r="R52" s="939"/>
      <c r="S52" s="940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4"/>
      <c r="D53" s="508"/>
      <c r="E53" s="576"/>
      <c r="F53" s="576"/>
      <c r="G53" s="514"/>
      <c r="H53" s="576"/>
      <c r="I53" s="576"/>
      <c r="J53" s="576"/>
      <c r="K53" s="588"/>
      <c r="L53" s="588"/>
      <c r="M53" s="588"/>
      <c r="N53" s="588"/>
      <c r="O53" s="588"/>
      <c r="P53" s="728"/>
      <c r="Q53" s="585">
        <f t="shared" si="2"/>
        <v>0</v>
      </c>
      <c r="R53" s="939"/>
      <c r="S53" s="940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4"/>
      <c r="D54" s="508"/>
      <c r="E54" s="576"/>
      <c r="F54" s="576"/>
      <c r="G54" s="514"/>
      <c r="H54" s="576"/>
      <c r="I54" s="576"/>
      <c r="J54" s="576"/>
      <c r="K54" s="588"/>
      <c r="L54" s="588"/>
      <c r="M54" s="588"/>
      <c r="N54" s="588"/>
      <c r="O54" s="588"/>
      <c r="P54" s="728"/>
      <c r="Q54" s="585">
        <f t="shared" si="2"/>
        <v>0</v>
      </c>
      <c r="R54" s="939"/>
      <c r="S54" s="940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4"/>
      <c r="D55" s="508"/>
      <c r="E55" s="576"/>
      <c r="F55" s="576"/>
      <c r="G55" s="514"/>
      <c r="H55" s="576"/>
      <c r="I55" s="576"/>
      <c r="J55" s="576"/>
      <c r="K55" s="588"/>
      <c r="L55" s="588"/>
      <c r="M55" s="588"/>
      <c r="N55" s="588"/>
      <c r="O55" s="588"/>
      <c r="P55" s="728"/>
      <c r="Q55" s="585">
        <f t="shared" si="2"/>
        <v>0</v>
      </c>
      <c r="R55" s="939"/>
      <c r="S55" s="940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4"/>
      <c r="D56" s="508"/>
      <c r="E56" s="576"/>
      <c r="F56" s="576"/>
      <c r="G56" s="514"/>
      <c r="H56" s="576"/>
      <c r="I56" s="576"/>
      <c r="J56" s="576"/>
      <c r="K56" s="588"/>
      <c r="L56" s="588"/>
      <c r="M56" s="588"/>
      <c r="N56" s="588"/>
      <c r="O56" s="588"/>
      <c r="P56" s="728"/>
      <c r="Q56" s="585">
        <f t="shared" si="2"/>
        <v>0</v>
      </c>
      <c r="R56" s="939"/>
      <c r="S56" s="940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4"/>
      <c r="D57" s="508"/>
      <c r="E57" s="576"/>
      <c r="F57" s="576"/>
      <c r="G57" s="514"/>
      <c r="H57" s="576"/>
      <c r="I57" s="576"/>
      <c r="J57" s="576"/>
      <c r="K57" s="588"/>
      <c r="L57" s="588"/>
      <c r="M57" s="588"/>
      <c r="N57" s="588"/>
      <c r="O57" s="588"/>
      <c r="P57" s="728"/>
      <c r="Q57" s="585">
        <f t="shared" si="2"/>
        <v>0</v>
      </c>
      <c r="R57" s="939"/>
      <c r="S57" s="940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4"/>
      <c r="D58" s="508"/>
      <c r="E58" s="576"/>
      <c r="F58" s="576"/>
      <c r="G58" s="514"/>
      <c r="H58" s="576"/>
      <c r="I58" s="576"/>
      <c r="J58" s="576"/>
      <c r="K58" s="588"/>
      <c r="L58" s="588"/>
      <c r="M58" s="588"/>
      <c r="N58" s="588"/>
      <c r="O58" s="588"/>
      <c r="P58" s="728"/>
      <c r="Q58" s="585">
        <f t="shared" si="2"/>
        <v>0</v>
      </c>
      <c r="R58" s="939"/>
      <c r="S58" s="940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4"/>
      <c r="D59" s="508"/>
      <c r="E59" s="576"/>
      <c r="F59" s="576"/>
      <c r="G59" s="514"/>
      <c r="H59" s="576"/>
      <c r="I59" s="576"/>
      <c r="J59" s="576"/>
      <c r="K59" s="588"/>
      <c r="L59" s="588"/>
      <c r="M59" s="588"/>
      <c r="N59" s="588"/>
      <c r="O59" s="588"/>
      <c r="P59" s="728"/>
      <c r="Q59" s="585">
        <f t="shared" si="2"/>
        <v>0</v>
      </c>
      <c r="R59" s="939"/>
      <c r="S59" s="940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4"/>
      <c r="D60" s="508"/>
      <c r="E60" s="576"/>
      <c r="F60" s="576"/>
      <c r="G60" s="514"/>
      <c r="H60" s="576"/>
      <c r="I60" s="576"/>
      <c r="J60" s="576"/>
      <c r="K60" s="588"/>
      <c r="L60" s="588"/>
      <c r="M60" s="588"/>
      <c r="N60" s="588"/>
      <c r="O60" s="588"/>
      <c r="P60" s="728"/>
      <c r="Q60" s="585">
        <f t="shared" si="2"/>
        <v>0</v>
      </c>
      <c r="R60" s="939"/>
      <c r="S60" s="940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4"/>
      <c r="D61" s="508"/>
      <c r="E61" s="576"/>
      <c r="F61" s="576"/>
      <c r="G61" s="514"/>
      <c r="H61" s="576"/>
      <c r="I61" s="576"/>
      <c r="J61" s="576"/>
      <c r="K61" s="588"/>
      <c r="L61" s="588"/>
      <c r="M61" s="588"/>
      <c r="N61" s="588"/>
      <c r="O61" s="588"/>
      <c r="P61" s="728"/>
      <c r="Q61" s="585">
        <f t="shared" si="2"/>
        <v>0</v>
      </c>
      <c r="R61" s="939"/>
      <c r="S61" s="940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4"/>
      <c r="D62" s="508"/>
      <c r="E62" s="576"/>
      <c r="F62" s="576"/>
      <c r="G62" s="514"/>
      <c r="H62" s="576"/>
      <c r="I62" s="576"/>
      <c r="J62" s="576"/>
      <c r="K62" s="588"/>
      <c r="L62" s="588"/>
      <c r="M62" s="588"/>
      <c r="N62" s="588"/>
      <c r="O62" s="588"/>
      <c r="P62" s="728"/>
      <c r="Q62" s="585">
        <f t="shared" si="2"/>
        <v>0</v>
      </c>
      <c r="R62" s="939"/>
      <c r="S62" s="940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4"/>
      <c r="D63" s="508"/>
      <c r="E63" s="576"/>
      <c r="F63" s="576"/>
      <c r="G63" s="514"/>
      <c r="H63" s="576"/>
      <c r="I63" s="576"/>
      <c r="J63" s="576"/>
      <c r="K63" s="588"/>
      <c r="L63" s="588"/>
      <c r="M63" s="588"/>
      <c r="N63" s="588"/>
      <c r="O63" s="588"/>
      <c r="P63" s="728"/>
      <c r="Q63" s="585">
        <f t="shared" si="2"/>
        <v>0</v>
      </c>
      <c r="R63" s="939"/>
      <c r="S63" s="940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4"/>
      <c r="D64" s="508"/>
      <c r="E64" s="576"/>
      <c r="F64" s="576"/>
      <c r="G64" s="514"/>
      <c r="H64" s="576"/>
      <c r="I64" s="576"/>
      <c r="J64" s="576"/>
      <c r="K64" s="588"/>
      <c r="L64" s="588"/>
      <c r="M64" s="588"/>
      <c r="N64" s="588"/>
      <c r="O64" s="588"/>
      <c r="P64" s="728"/>
      <c r="Q64" s="585">
        <f t="shared" si="2"/>
        <v>0</v>
      </c>
      <c r="R64" s="939"/>
      <c r="S64" s="940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4"/>
      <c r="D65" s="508"/>
      <c r="E65" s="576"/>
      <c r="F65" s="576"/>
      <c r="G65" s="514"/>
      <c r="H65" s="576"/>
      <c r="I65" s="576"/>
      <c r="J65" s="576"/>
      <c r="K65" s="588"/>
      <c r="L65" s="588"/>
      <c r="M65" s="588"/>
      <c r="N65" s="588"/>
      <c r="O65" s="588"/>
      <c r="P65" s="728"/>
      <c r="Q65" s="585">
        <f t="shared" si="2"/>
        <v>0</v>
      </c>
      <c r="R65" s="939"/>
      <c r="S65" s="940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4"/>
      <c r="D66" s="508"/>
      <c r="E66" s="576"/>
      <c r="F66" s="576"/>
      <c r="G66" s="514"/>
      <c r="H66" s="576"/>
      <c r="I66" s="576"/>
      <c r="J66" s="576"/>
      <c r="K66" s="588"/>
      <c r="L66" s="588"/>
      <c r="M66" s="588"/>
      <c r="N66" s="588"/>
      <c r="O66" s="588"/>
      <c r="P66" s="728"/>
      <c r="Q66" s="585">
        <f t="shared" si="2"/>
        <v>0</v>
      </c>
      <c r="R66" s="939"/>
      <c r="S66" s="940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4"/>
      <c r="D67" s="508"/>
      <c r="E67" s="576"/>
      <c r="F67" s="576"/>
      <c r="G67" s="514"/>
      <c r="H67" s="576"/>
      <c r="I67" s="576"/>
      <c r="J67" s="576"/>
      <c r="K67" s="588"/>
      <c r="L67" s="588"/>
      <c r="M67" s="588"/>
      <c r="N67" s="588"/>
      <c r="O67" s="588"/>
      <c r="P67" s="728"/>
      <c r="Q67" s="585">
        <f t="shared" si="2"/>
        <v>0</v>
      </c>
      <c r="R67" s="939"/>
      <c r="S67" s="940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4"/>
      <c r="D68" s="508"/>
      <c r="E68" s="576"/>
      <c r="F68" s="576"/>
      <c r="G68" s="514"/>
      <c r="H68" s="576"/>
      <c r="I68" s="576"/>
      <c r="J68" s="576"/>
      <c r="K68" s="588"/>
      <c r="L68" s="588"/>
      <c r="M68" s="588"/>
      <c r="N68" s="588"/>
      <c r="O68" s="588"/>
      <c r="P68" s="728"/>
      <c r="Q68" s="585">
        <f t="shared" si="2"/>
        <v>0</v>
      </c>
      <c r="R68" s="939"/>
      <c r="S68" s="940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4"/>
      <c r="D69" s="508"/>
      <c r="E69" s="576"/>
      <c r="F69" s="576"/>
      <c r="G69" s="514"/>
      <c r="H69" s="576"/>
      <c r="I69" s="576"/>
      <c r="J69" s="576"/>
      <c r="K69" s="588"/>
      <c r="L69" s="588"/>
      <c r="M69" s="588"/>
      <c r="N69" s="588"/>
      <c r="O69" s="588"/>
      <c r="P69" s="728"/>
      <c r="Q69" s="585">
        <f t="shared" si="2"/>
        <v>0</v>
      </c>
      <c r="R69" s="939"/>
      <c r="S69" s="940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4"/>
      <c r="D70" s="508"/>
      <c r="E70" s="576"/>
      <c r="F70" s="576"/>
      <c r="G70" s="514"/>
      <c r="H70" s="576"/>
      <c r="I70" s="576"/>
      <c r="J70" s="576"/>
      <c r="K70" s="588"/>
      <c r="L70" s="588"/>
      <c r="M70" s="588"/>
      <c r="N70" s="588"/>
      <c r="O70" s="588"/>
      <c r="P70" s="728"/>
      <c r="Q70" s="585">
        <f t="shared" si="2"/>
        <v>0</v>
      </c>
      <c r="R70" s="939"/>
      <c r="S70" s="940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4"/>
      <c r="D71" s="508"/>
      <c r="E71" s="576"/>
      <c r="F71" s="576"/>
      <c r="G71" s="514"/>
      <c r="H71" s="576"/>
      <c r="I71" s="576"/>
      <c r="J71" s="576"/>
      <c r="K71" s="588"/>
      <c r="L71" s="588"/>
      <c r="M71" s="588"/>
      <c r="N71" s="588"/>
      <c r="O71" s="588"/>
      <c r="P71" s="728"/>
      <c r="Q71" s="585">
        <f t="shared" si="2"/>
        <v>0</v>
      </c>
      <c r="R71" s="939"/>
      <c r="S71" s="940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4"/>
      <c r="D72" s="509"/>
      <c r="E72" s="577"/>
      <c r="F72" s="577"/>
      <c r="G72" s="515"/>
      <c r="H72" s="577"/>
      <c r="I72" s="577"/>
      <c r="J72" s="577"/>
      <c r="K72" s="589"/>
      <c r="L72" s="589"/>
      <c r="M72" s="589"/>
      <c r="N72" s="589"/>
      <c r="O72" s="589"/>
      <c r="P72" s="729"/>
      <c r="Q72" s="586">
        <f t="shared" si="2"/>
        <v>0</v>
      </c>
      <c r="R72" s="939"/>
      <c r="S72" s="940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6"/>
      <c r="D73" s="510"/>
      <c r="E73" s="578"/>
      <c r="F73" s="578"/>
      <c r="G73" s="516"/>
      <c r="H73" s="578"/>
      <c r="I73" s="578"/>
      <c r="J73" s="578"/>
      <c r="K73" s="590"/>
      <c r="L73" s="590"/>
      <c r="M73" s="590"/>
      <c r="N73" s="590"/>
      <c r="O73" s="590"/>
      <c r="P73" s="730"/>
      <c r="Q73" s="587">
        <f t="shared" si="2"/>
        <v>0</v>
      </c>
      <c r="R73" s="941"/>
      <c r="S73" s="942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34" t="s">
        <v>424</v>
      </c>
      <c r="I74" s="1135"/>
      <c r="J74" s="1136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59"/>
      <c r="I75" s="859"/>
      <c r="J75" s="859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0"/>
      <c r="C76" s="871" t="s">
        <v>354</v>
      </c>
      <c r="D76" s="872"/>
      <c r="E76" s="873"/>
      <c r="F76" s="873"/>
      <c r="G76" s="873"/>
      <c r="H76" s="873"/>
      <c r="I76" s="873"/>
      <c r="J76" s="873"/>
      <c r="K76" s="873"/>
      <c r="L76" s="873"/>
      <c r="M76" s="873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0"/>
      <c r="C77" s="872" t="s">
        <v>760</v>
      </c>
      <c r="D77" s="872"/>
      <c r="E77" s="873"/>
      <c r="F77" s="873"/>
      <c r="G77" s="873"/>
      <c r="H77" s="873"/>
      <c r="I77" s="873"/>
      <c r="J77" s="873"/>
      <c r="K77" s="873"/>
      <c r="L77" s="873"/>
      <c r="M77" s="873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0"/>
      <c r="C78" s="872" t="s">
        <v>761</v>
      </c>
      <c r="D78" s="872"/>
      <c r="E78" s="873"/>
      <c r="F78" s="873"/>
      <c r="G78" s="873"/>
      <c r="H78" s="873"/>
      <c r="I78" s="873"/>
      <c r="J78" s="873"/>
      <c r="K78" s="873"/>
      <c r="L78" s="873"/>
      <c r="M78" s="873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0"/>
      <c r="C79" s="874" t="s">
        <v>739</v>
      </c>
      <c r="D79" s="872"/>
      <c r="E79" s="873"/>
      <c r="F79" s="873"/>
      <c r="G79" s="873"/>
      <c r="H79" s="873"/>
      <c r="I79" s="873"/>
      <c r="J79" s="873"/>
      <c r="K79" s="873"/>
      <c r="L79" s="873"/>
      <c r="M79" s="873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0"/>
      <c r="C80" s="238" t="s">
        <v>762</v>
      </c>
      <c r="D80" s="872"/>
      <c r="E80" s="873"/>
      <c r="F80" s="873"/>
      <c r="G80" s="873"/>
      <c r="H80" s="873"/>
      <c r="I80" s="873"/>
      <c r="J80" s="873"/>
      <c r="K80" s="873"/>
      <c r="L80" s="873"/>
      <c r="M80" s="873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0"/>
      <c r="C81" s="875" t="s">
        <v>740</v>
      </c>
      <c r="D81" s="872"/>
      <c r="E81" s="876"/>
      <c r="F81" s="876"/>
      <c r="G81" s="876"/>
      <c r="H81" s="876"/>
      <c r="I81" s="876"/>
      <c r="J81" s="876"/>
      <c r="K81" s="876"/>
      <c r="L81" s="876"/>
      <c r="M81" s="876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0"/>
      <c r="C82" s="875" t="s">
        <v>741</v>
      </c>
      <c r="D82" s="872"/>
      <c r="E82" s="876"/>
      <c r="F82" s="876"/>
      <c r="G82" s="876"/>
      <c r="H82" s="876"/>
      <c r="I82" s="876"/>
      <c r="J82" s="876"/>
      <c r="K82" s="876"/>
      <c r="L82" s="876"/>
      <c r="M82" s="876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0"/>
      <c r="C83" s="875" t="s">
        <v>763</v>
      </c>
      <c r="D83" s="872"/>
      <c r="E83" s="876"/>
      <c r="F83" s="876"/>
      <c r="G83" s="876"/>
      <c r="H83" s="876"/>
      <c r="I83" s="876"/>
      <c r="J83" s="876"/>
      <c r="K83" s="876"/>
      <c r="L83" s="876"/>
      <c r="M83" s="876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69"/>
      <c r="D84" s="1069"/>
      <c r="E84" s="57"/>
      <c r="F84" s="393"/>
      <c r="G84" s="57"/>
      <c r="H84" s="57"/>
      <c r="I84" s="57"/>
      <c r="J84" s="721"/>
      <c r="K84" s="57"/>
      <c r="L84" s="57"/>
      <c r="M84" s="396"/>
      <c r="N84" s="57"/>
      <c r="O84" s="57"/>
      <c r="P84" s="721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6" zoomScaleNormal="86" zoomScalePageLayoutView="86" workbookViewId="0">
      <selection activeCell="Q47" sqref="Q47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44140625" style="90" customWidth="1"/>
    <col min="11" max="16384" width="10.55468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48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48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37" t="s">
        <v>401</v>
      </c>
      <c r="H13" s="1138"/>
      <c r="I13" s="1139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40" t="s">
        <v>395</v>
      </c>
      <c r="D15" s="1141"/>
      <c r="E15" s="1142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8"/>
      <c r="G17" s="519"/>
      <c r="H17" s="520"/>
      <c r="I17" s="564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403</v>
      </c>
      <c r="D20" s="179"/>
      <c r="E20" s="181"/>
      <c r="F20" s="504"/>
      <c r="G20" s="521"/>
      <c r="H20" s="485"/>
      <c r="I20" s="565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404</v>
      </c>
      <c r="D21" s="179"/>
      <c r="E21" s="181"/>
      <c r="F21" s="504"/>
      <c r="G21" s="521"/>
      <c r="H21" s="485"/>
      <c r="I21" s="565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405</v>
      </c>
      <c r="D22" s="179"/>
      <c r="E22" s="181"/>
      <c r="F22" s="504"/>
      <c r="G22" s="521"/>
      <c r="H22" s="485"/>
      <c r="I22" s="565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406</v>
      </c>
      <c r="D23" s="154"/>
      <c r="E23" s="173"/>
      <c r="F23" s="505"/>
      <c r="G23" s="522"/>
      <c r="H23" s="478"/>
      <c r="I23" s="566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407</v>
      </c>
      <c r="D24" s="156"/>
      <c r="E24" s="174"/>
      <c r="F24" s="507"/>
      <c r="G24" s="523"/>
      <c r="H24" s="482"/>
      <c r="I24" s="567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20"/>
      <c r="D25" s="1120"/>
      <c r="E25" s="1120"/>
      <c r="F25" s="1120"/>
      <c r="G25" s="1120"/>
      <c r="H25" s="1120"/>
      <c r="I25" s="1120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409</v>
      </c>
      <c r="D27" s="179"/>
      <c r="E27" s="181"/>
      <c r="F27" s="504"/>
      <c r="G27" s="568"/>
      <c r="H27" s="569"/>
      <c r="I27" s="565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410</v>
      </c>
      <c r="D28" s="156"/>
      <c r="E28" s="174"/>
      <c r="F28" s="507"/>
      <c r="G28" s="570"/>
      <c r="H28" s="571"/>
      <c r="I28" s="572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20"/>
      <c r="D29" s="1120"/>
      <c r="E29" s="1120"/>
      <c r="F29" s="1120"/>
      <c r="G29" s="1120"/>
      <c r="H29" s="1120"/>
      <c r="I29" s="1120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409</v>
      </c>
      <c r="D31" s="179"/>
      <c r="E31" s="181"/>
      <c r="F31" s="504"/>
      <c r="G31" s="573"/>
      <c r="H31" s="574"/>
      <c r="I31" s="575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410</v>
      </c>
      <c r="D32" s="156"/>
      <c r="E32" s="174"/>
      <c r="F32" s="507"/>
      <c r="G32" s="570"/>
      <c r="H32" s="571"/>
      <c r="I32" s="572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69"/>
      <c r="D36" s="1069"/>
      <c r="E36" s="1069"/>
      <c r="F36" s="1069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8" zoomScaleNormal="78" zoomScalePageLayoutView="78" workbookViewId="0">
      <selection activeCell="U15" sqref="U15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44140625" style="90" customWidth="1"/>
    <col min="16" max="16384" width="10.55468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8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8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43" t="s">
        <v>413</v>
      </c>
      <c r="F13" s="1144"/>
      <c r="G13" s="1144"/>
      <c r="H13" s="1144"/>
      <c r="I13" s="1144"/>
      <c r="J13" s="1144"/>
      <c r="K13" s="1144"/>
      <c r="L13" s="1144"/>
      <c r="M13" s="1144"/>
      <c r="N13" s="1145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40" t="s">
        <v>395</v>
      </c>
      <c r="D14" s="1141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36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5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5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6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7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809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69"/>
      <c r="D24" s="1069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86" zoomScaleNormal="86" zoomScalePageLayoutView="86" workbookViewId="0">
      <selection activeCell="R61" sqref="R61"/>
    </sheetView>
  </sheetViews>
  <sheetFormatPr baseColWidth="10" defaultColWidth="10.5546875" defaultRowHeight="22.9" customHeight="1"/>
  <cols>
    <col min="1" max="2" width="3.21875" style="90" customWidth="1"/>
    <col min="3" max="3" width="5.44140625" style="90" customWidth="1"/>
    <col min="4" max="4" width="18.77734375" style="90" customWidth="1"/>
    <col min="5" max="5" width="13.44140625" style="90" customWidth="1"/>
    <col min="6" max="10" width="18.5546875" style="91" customWidth="1"/>
    <col min="11" max="11" width="3.44140625" style="90" customWidth="1"/>
    <col min="12" max="16384" width="10.55468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48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48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70" t="str">
        <f>Entidad</f>
        <v>CULTESA</v>
      </c>
      <c r="F9" s="1070"/>
      <c r="G9" s="1070"/>
      <c r="H9" s="1070"/>
      <c r="I9" s="1070"/>
      <c r="J9" s="1070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11"/>
      <c r="D12" s="1111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1" t="s">
        <v>462</v>
      </c>
      <c r="D14" s="592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4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4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4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4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4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28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661507.94999999995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101" t="s">
        <v>456</v>
      </c>
      <c r="G36" s="1102"/>
      <c r="H36" s="1102"/>
      <c r="I36" s="1102"/>
      <c r="J36" s="1103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48" t="s">
        <v>438</v>
      </c>
      <c r="D37" s="1149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14" t="s">
        <v>62</v>
      </c>
      <c r="D38" s="1115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439</v>
      </c>
      <c r="D39" s="262"/>
      <c r="E39" s="580"/>
      <c r="F39" s="579"/>
      <c r="G39" s="579"/>
      <c r="H39" s="579"/>
      <c r="I39" s="579"/>
      <c r="J39" s="593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440</v>
      </c>
      <c r="D40" s="262"/>
      <c r="E40" s="580">
        <v>1</v>
      </c>
      <c r="F40" s="579">
        <v>52073.82</v>
      </c>
      <c r="G40" s="579">
        <v>0</v>
      </c>
      <c r="H40" s="579">
        <v>0</v>
      </c>
      <c r="I40" s="579">
        <v>-411.45</v>
      </c>
      <c r="J40" s="593">
        <f>SUM(F40:I40)</f>
        <v>51662.37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441</v>
      </c>
      <c r="D41" s="262"/>
      <c r="E41" s="580"/>
      <c r="F41" s="579"/>
      <c r="G41" s="579"/>
      <c r="H41" s="579"/>
      <c r="I41" s="579"/>
      <c r="J41" s="593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442</v>
      </c>
      <c r="D42" s="262"/>
      <c r="E42" s="580">
        <v>23</v>
      </c>
      <c r="F42" s="579">
        <v>285291.78000000003</v>
      </c>
      <c r="G42" s="579">
        <v>0</v>
      </c>
      <c r="H42" s="579">
        <v>0</v>
      </c>
      <c r="I42" s="1021">
        <v>117789.95</v>
      </c>
      <c r="J42" s="593">
        <f t="shared" si="0"/>
        <v>403081.73000000004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443</v>
      </c>
      <c r="D43" s="262"/>
      <c r="E43" s="580">
        <v>4</v>
      </c>
      <c r="F43" s="579">
        <v>39463.85</v>
      </c>
      <c r="G43" s="579"/>
      <c r="H43" s="579"/>
      <c r="I43" s="579">
        <v>9620.4599999999991</v>
      </c>
      <c r="J43" s="593">
        <f t="shared" si="0"/>
        <v>49084.31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444</v>
      </c>
      <c r="D44" s="263"/>
      <c r="E44" s="583"/>
      <c r="F44" s="582"/>
      <c r="G44" s="582"/>
      <c r="H44" s="582"/>
      <c r="I44" s="582"/>
      <c r="J44" s="593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46" t="s">
        <v>458</v>
      </c>
      <c r="D45" s="1147"/>
      <c r="E45" s="269">
        <f t="shared" ref="E45:J45" si="1">SUM(E39:E44)</f>
        <v>28</v>
      </c>
      <c r="F45" s="269">
        <f t="shared" si="1"/>
        <v>376829.45</v>
      </c>
      <c r="G45" s="269">
        <f t="shared" si="1"/>
        <v>0</v>
      </c>
      <c r="H45" s="269">
        <f t="shared" si="1"/>
        <v>0</v>
      </c>
      <c r="I45" s="269">
        <f t="shared" si="1"/>
        <v>126998.95999999999</v>
      </c>
      <c r="J45" s="269">
        <f t="shared" si="1"/>
        <v>503828.41000000003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101" t="s">
        <v>395</v>
      </c>
      <c r="D50" s="1102"/>
      <c r="E50" s="1150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459</v>
      </c>
      <c r="D51" s="267"/>
      <c r="E51" s="267"/>
      <c r="F51" s="594">
        <v>83708.17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460</v>
      </c>
      <c r="D52" s="267"/>
      <c r="E52" s="267"/>
      <c r="F52" s="594">
        <v>73971.37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46" t="s">
        <v>458</v>
      </c>
      <c r="D53" s="1151"/>
      <c r="E53" s="270"/>
      <c r="F53" s="269">
        <f>SUM(F51:F52)</f>
        <v>157679.53999999998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5"/>
      <c r="D57" s="596"/>
      <c r="E57" s="596"/>
      <c r="F57" s="596"/>
      <c r="G57" s="596"/>
      <c r="H57" s="596"/>
      <c r="I57" s="596"/>
      <c r="J57" s="597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8"/>
      <c r="D58" s="599"/>
      <c r="E58" s="599"/>
      <c r="F58" s="599"/>
      <c r="G58" s="599"/>
      <c r="H58" s="599"/>
      <c r="I58" s="599"/>
      <c r="J58" s="600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8"/>
      <c r="D59" s="599"/>
      <c r="E59" s="599"/>
      <c r="F59" s="599"/>
      <c r="G59" s="599"/>
      <c r="H59" s="599"/>
      <c r="I59" s="599"/>
      <c r="J59" s="600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601"/>
      <c r="D60" s="602"/>
      <c r="E60" s="602"/>
      <c r="F60" s="602"/>
      <c r="G60" s="602"/>
      <c r="H60" s="602"/>
      <c r="I60" s="602"/>
      <c r="J60" s="603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03"/>
      <c r="D61" s="1003"/>
      <c r="E61" s="1003"/>
      <c r="F61" s="1003"/>
      <c r="G61" s="1003"/>
      <c r="H61" s="1003"/>
      <c r="I61" s="1003"/>
      <c r="J61" s="1003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04" t="s">
        <v>785</v>
      </c>
      <c r="D62" s="1003"/>
      <c r="E62" s="1003"/>
      <c r="F62" s="1003"/>
      <c r="G62" s="1003"/>
      <c r="H62" s="1003"/>
      <c r="I62" s="1003"/>
      <c r="J62" s="1003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05" t="s">
        <v>808</v>
      </c>
      <c r="D63" s="1003"/>
      <c r="E63" s="1003"/>
      <c r="F63" s="1003"/>
      <c r="G63" s="1003"/>
      <c r="H63" s="1003"/>
      <c r="I63" s="1003"/>
      <c r="J63" s="1003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03"/>
      <c r="D64" s="1003"/>
      <c r="E64" s="1003"/>
      <c r="F64" s="1003"/>
      <c r="G64" s="1003"/>
      <c r="H64" s="1003"/>
      <c r="I64" s="1003"/>
      <c r="J64" s="1003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69"/>
      <c r="E65" s="1069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topLeftCell="A52" zoomScale="53" zoomScaleNormal="53" zoomScalePageLayoutView="53" workbookViewId="0">
      <selection activeCell="T71" sqref="T71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66.44140625" style="90" customWidth="1"/>
    <col min="5" max="5" width="14.21875" style="91" customWidth="1"/>
    <col min="6" max="6" width="2.5546875" style="91" customWidth="1"/>
    <col min="7" max="7" width="79.21875" style="91" customWidth="1"/>
    <col min="8" max="8" width="14.21875" style="91" customWidth="1"/>
    <col min="9" max="9" width="3.44140625" style="90" customWidth="1"/>
    <col min="10" max="16384" width="10.55468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48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48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070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11"/>
      <c r="D12" s="1111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52" t="s">
        <v>466</v>
      </c>
      <c r="D13" s="1153"/>
      <c r="E13" s="1153"/>
      <c r="F13" s="1153"/>
      <c r="G13" s="1153"/>
      <c r="H13" s="1154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101" t="s">
        <v>469</v>
      </c>
      <c r="D15" s="1102"/>
      <c r="E15" s="1103"/>
      <c r="F15" s="146"/>
      <c r="G15" s="1101" t="s">
        <v>470</v>
      </c>
      <c r="H15" s="1103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101" t="s">
        <v>384</v>
      </c>
      <c r="D16" s="1103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471</v>
      </c>
      <c r="D17" s="281"/>
      <c r="E17" s="528"/>
      <c r="F17" s="283"/>
      <c r="G17" s="282" t="str">
        <f>C17</f>
        <v>CABILDO INSULAR DE TENERIFE</v>
      </c>
      <c r="H17" s="528">
        <v>40407.379999999997</v>
      </c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472</v>
      </c>
      <c r="D18" s="285"/>
      <c r="E18" s="528"/>
      <c r="F18" s="283"/>
      <c r="G18" s="282" t="str">
        <f t="shared" ref="G18:G55" si="0">C18</f>
        <v>O.A. DE MUSEOS Y CENTROS</v>
      </c>
      <c r="H18" s="528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473</v>
      </c>
      <c r="D19" s="285"/>
      <c r="E19" s="528"/>
      <c r="F19" s="283"/>
      <c r="G19" s="282" t="str">
        <f t="shared" si="0"/>
        <v>O.A. INST. INS. ATENCIÓN SOC. Y SOCIOSAN.</v>
      </c>
      <c r="H19" s="528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474</v>
      </c>
      <c r="D20" s="285"/>
      <c r="E20" s="528"/>
      <c r="F20" s="283"/>
      <c r="G20" s="282" t="str">
        <f t="shared" si="0"/>
        <v>O.A. PATRONATO INSULAR DE MUSICA</v>
      </c>
      <c r="H20" s="528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475</v>
      </c>
      <c r="D21" s="285"/>
      <c r="E21" s="528"/>
      <c r="F21" s="283"/>
      <c r="G21" s="282" t="str">
        <f t="shared" si="0"/>
        <v>O.A. CONSEJO INSULAR DE AGUAS</v>
      </c>
      <c r="H21" s="528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476</v>
      </c>
      <c r="D22" s="285"/>
      <c r="E22" s="528"/>
      <c r="F22" s="283"/>
      <c r="G22" s="282" t="str">
        <f t="shared" si="0"/>
        <v>EPEL. BALSAS DE TENERIFE</v>
      </c>
      <c r="H22" s="528">
        <v>17000</v>
      </c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779</v>
      </c>
      <c r="D23" s="285"/>
      <c r="E23" s="528"/>
      <c r="F23" s="283"/>
      <c r="G23" s="282" t="str">
        <f t="shared" si="0"/>
        <v>EPEL TEA, TENERFE ESPACIO DE LAS ARTES</v>
      </c>
      <c r="H23" s="528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477</v>
      </c>
      <c r="D24" s="285"/>
      <c r="E24" s="528"/>
      <c r="F24" s="283"/>
      <c r="G24" s="282" t="str">
        <f t="shared" si="0"/>
        <v>EPEL AGROTEIDE ENTIDAD INSULAR DESARROLLO AGRICOLA Y GANADERO</v>
      </c>
      <c r="H24" s="528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478</v>
      </c>
      <c r="D25" s="285"/>
      <c r="E25" s="528"/>
      <c r="F25" s="283"/>
      <c r="G25" s="282" t="str">
        <f t="shared" si="0"/>
        <v>CASINO DE TAORO, SA</v>
      </c>
      <c r="H25" s="528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479</v>
      </c>
      <c r="D26" s="285"/>
      <c r="E26" s="528"/>
      <c r="F26" s="283"/>
      <c r="G26" s="282" t="str">
        <f t="shared" si="0"/>
        <v>CASINO DE PLAYA DE LAS AMÉRICAS, SA</v>
      </c>
      <c r="H26" s="528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480</v>
      </c>
      <c r="D27" s="285"/>
      <c r="E27" s="528"/>
      <c r="F27" s="283"/>
      <c r="G27" s="282" t="str">
        <f t="shared" si="0"/>
        <v>CASINO DE SANTA CRUZ, SA</v>
      </c>
      <c r="H27" s="528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481</v>
      </c>
      <c r="D28" s="285"/>
      <c r="E28" s="528"/>
      <c r="F28" s="283"/>
      <c r="G28" s="282" t="str">
        <f t="shared" si="0"/>
        <v>INSTIT.FERIAL DE TENERIFE, SA</v>
      </c>
      <c r="H28" s="528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482</v>
      </c>
      <c r="D29" s="285"/>
      <c r="E29" s="528"/>
      <c r="F29" s="283"/>
      <c r="G29" s="282" t="str">
        <f t="shared" si="0"/>
        <v>EMPRESA INSULAR DE ARTESANÍA, SA</v>
      </c>
      <c r="H29" s="528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483</v>
      </c>
      <c r="D30" s="285"/>
      <c r="E30" s="528"/>
      <c r="F30" s="283"/>
      <c r="G30" s="282" t="str">
        <f t="shared" si="0"/>
        <v>SINPROMI.S.L.</v>
      </c>
      <c r="H30" s="528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484</v>
      </c>
      <c r="D31" s="285"/>
      <c r="E31" s="528"/>
      <c r="F31" s="283"/>
      <c r="G31" s="282" t="str">
        <f t="shared" si="0"/>
        <v>AUDITORIO DE TENERIFE, SA</v>
      </c>
      <c r="H31" s="528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485</v>
      </c>
      <c r="D32" s="285"/>
      <c r="E32" s="528"/>
      <c r="F32" s="283"/>
      <c r="G32" s="282" t="str">
        <f t="shared" si="0"/>
        <v>GEST. INS. DEPORTE, CULT.Y OCIO, SA (IDECO)</v>
      </c>
      <c r="H32" s="528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486</v>
      </c>
      <c r="D33" s="285"/>
      <c r="E33" s="528"/>
      <c r="F33" s="283"/>
      <c r="G33" s="282" t="str">
        <f t="shared" si="0"/>
        <v>TITSA</v>
      </c>
      <c r="H33" s="528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487</v>
      </c>
      <c r="D34" s="285"/>
      <c r="E34" s="528"/>
      <c r="F34" s="283"/>
      <c r="G34" s="282" t="str">
        <f t="shared" si="0"/>
        <v>SPET, TURISMO DE TENERIFE, S.A.</v>
      </c>
      <c r="H34" s="528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488</v>
      </c>
      <c r="D35" s="285"/>
      <c r="E35" s="528"/>
      <c r="F35" s="283"/>
      <c r="G35" s="282" t="str">
        <f t="shared" si="0"/>
        <v>INSTITUTO MEDICO TINERFEÑO, S.A. (IMETISA)</v>
      </c>
      <c r="H35" s="528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489</v>
      </c>
      <c r="D36" s="285"/>
      <c r="E36" s="528"/>
      <c r="F36" s="283"/>
      <c r="G36" s="282" t="str">
        <f t="shared" si="0"/>
        <v>METROPOLITANO DE TENERIFE, S.A.</v>
      </c>
      <c r="H36" s="528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490</v>
      </c>
      <c r="D37" s="285"/>
      <c r="E37" s="528"/>
      <c r="F37" s="283"/>
      <c r="G37" s="282" t="str">
        <f t="shared" si="0"/>
        <v>INST. TECNOL. Y DE ENERGIAS RENOVABLES, S.A. (ITER)</v>
      </c>
      <c r="H37" s="528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491</v>
      </c>
      <c r="D38" s="285"/>
      <c r="E38" s="528"/>
      <c r="F38" s="283"/>
      <c r="G38" s="282" t="str">
        <f t="shared" si="0"/>
        <v>CULTIVOS Y TECNOLOGÍAS AGRARIAS DE TENERIFE, S.A (CULTESA)</v>
      </c>
      <c r="H38" s="528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492</v>
      </c>
      <c r="D39" s="285"/>
      <c r="E39" s="528"/>
      <c r="F39" s="283"/>
      <c r="G39" s="282" t="str">
        <f t="shared" si="0"/>
        <v>BUENAVISTA GOLF, S.A.</v>
      </c>
      <c r="H39" s="528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493</v>
      </c>
      <c r="D40" s="285"/>
      <c r="E40" s="528"/>
      <c r="F40" s="283"/>
      <c r="G40" s="282" t="str">
        <f t="shared" si="0"/>
        <v>PARQUE CIENTÍFICO Y TECNOLÓGICO DE TENERIFE, S.A.</v>
      </c>
      <c r="H40" s="528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494</v>
      </c>
      <c r="D41" s="285"/>
      <c r="E41" s="528"/>
      <c r="F41" s="283"/>
      <c r="G41" s="282" t="str">
        <f t="shared" si="0"/>
        <v>INSTITUTO TECNOLÓGICO Y DE COMUNICACIONES DE TENERIFE, S.L. (IT3)</v>
      </c>
      <c r="H41" s="528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495</v>
      </c>
      <c r="D42" s="285"/>
      <c r="E42" s="528"/>
      <c r="F42" s="283"/>
      <c r="G42" s="282" t="str">
        <f t="shared" si="0"/>
        <v>INSTITUTO VULCANOLÓGICO DE CANARIAS S.A.</v>
      </c>
      <c r="H42" s="528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496</v>
      </c>
      <c r="D43" s="285"/>
      <c r="E43" s="528"/>
      <c r="F43" s="283"/>
      <c r="G43" s="282" t="str">
        <f t="shared" si="0"/>
        <v>CANARIAS SUBMARINE LINK, S.L. (Canalink)</v>
      </c>
      <c r="H43" s="528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497</v>
      </c>
      <c r="D44" s="285"/>
      <c r="E44" s="528"/>
      <c r="F44" s="283"/>
      <c r="G44" s="282" t="str">
        <f t="shared" si="0"/>
        <v>CANALINK AFRICA, S.L.</v>
      </c>
      <c r="H44" s="528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498</v>
      </c>
      <c r="D45" s="285"/>
      <c r="E45" s="528"/>
      <c r="F45" s="283"/>
      <c r="G45" s="282" t="str">
        <f t="shared" si="0"/>
        <v>CANALINK BAHARICOM, S.L.</v>
      </c>
      <c r="H45" s="528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499</v>
      </c>
      <c r="D46" s="285"/>
      <c r="E46" s="528"/>
      <c r="F46" s="283"/>
      <c r="G46" s="282" t="str">
        <f t="shared" si="0"/>
        <v>GESTIÓN INSULAR DE AGUAS DE TENERIFE, S.A. (GESTA)</v>
      </c>
      <c r="H46" s="528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500</v>
      </c>
      <c r="D47" s="285"/>
      <c r="E47" s="528"/>
      <c r="F47" s="283"/>
      <c r="G47" s="282" t="str">
        <f t="shared" si="0"/>
        <v>FUNDACION TENERIFE RURAL</v>
      </c>
      <c r="H47" s="528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501</v>
      </c>
      <c r="D48" s="285"/>
      <c r="E48" s="528"/>
      <c r="F48" s="283"/>
      <c r="G48" s="282" t="str">
        <f t="shared" si="0"/>
        <v>FUNDACIÓN  ITB</v>
      </c>
      <c r="H48" s="528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502</v>
      </c>
      <c r="D49" s="285"/>
      <c r="E49" s="528"/>
      <c r="F49" s="283"/>
      <c r="G49" s="282" t="str">
        <f t="shared" si="0"/>
        <v>FIFEDE</v>
      </c>
      <c r="H49" s="528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503</v>
      </c>
      <c r="D50" s="285"/>
      <c r="E50" s="528"/>
      <c r="F50" s="283"/>
      <c r="G50" s="282" t="str">
        <f t="shared" si="0"/>
        <v>AGENCIA INSULAR DE LA ENERGIA</v>
      </c>
      <c r="H50" s="528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504</v>
      </c>
      <c r="D51" s="285"/>
      <c r="E51" s="528"/>
      <c r="F51" s="283"/>
      <c r="G51" s="282" t="str">
        <f t="shared" si="0"/>
        <v>FUNDACIÓN CANARIAS FACTORÍA DE LA INNOVACIÓN TURÍSTICA</v>
      </c>
      <c r="H51" s="528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505</v>
      </c>
      <c r="D52" s="285"/>
      <c r="E52" s="528"/>
      <c r="F52" s="283"/>
      <c r="G52" s="282" t="str">
        <f t="shared" si="0"/>
        <v>CONSORCIO PREVENSIÓN, EXTINCIÓN INCENDIOS Y SALVAMENTO DE LA ISLA DE TENERIFE</v>
      </c>
      <c r="H52" s="528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506</v>
      </c>
      <c r="D53" s="285"/>
      <c r="E53" s="528"/>
      <c r="F53" s="283"/>
      <c r="G53" s="282" t="str">
        <f t="shared" si="0"/>
        <v>CONSORCIO DE TRIBUTOS DE LA ISLA DE TENERIFE</v>
      </c>
      <c r="H53" s="528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507</v>
      </c>
      <c r="D54" s="285"/>
      <c r="E54" s="528"/>
      <c r="F54" s="283"/>
      <c r="G54" s="282" t="str">
        <f t="shared" si="0"/>
        <v>CONSORCIO ISLA BAJA</v>
      </c>
      <c r="H54" s="528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508</v>
      </c>
      <c r="D55" s="287"/>
      <c r="E55" s="529"/>
      <c r="F55" s="283"/>
      <c r="G55" s="282" t="str">
        <f t="shared" si="0"/>
        <v>CONSORCIO URBANÍSTICO PARA LA REHABILITACIÓN DEL PTO. DE LA CRUZ</v>
      </c>
      <c r="H55" s="529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34" t="s">
        <v>424</v>
      </c>
      <c r="D56" s="1136"/>
      <c r="E56" s="170">
        <f>SUM(E17:E55)</f>
        <v>0</v>
      </c>
      <c r="F56" s="146"/>
      <c r="G56" s="216" t="s">
        <v>424</v>
      </c>
      <c r="H56" s="170">
        <f>SUM(H17:H55)</f>
        <v>57407.38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52" t="s">
        <v>780</v>
      </c>
      <c r="D58" s="1153"/>
      <c r="E58" s="1153"/>
      <c r="F58" s="1153"/>
      <c r="G58" s="1153"/>
      <c r="H58" s="1154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52" t="s">
        <v>466</v>
      </c>
      <c r="D60" s="1153"/>
      <c r="E60" s="1153"/>
      <c r="F60" s="1153"/>
      <c r="G60" s="1153"/>
      <c r="H60" s="1154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101" t="s">
        <v>469</v>
      </c>
      <c r="D62" s="1102"/>
      <c r="E62" s="1103"/>
      <c r="F62" s="146"/>
      <c r="G62" s="1101" t="s">
        <v>470</v>
      </c>
      <c r="H62" s="1103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101" t="s">
        <v>384</v>
      </c>
      <c r="D63" s="1103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509</v>
      </c>
      <c r="D64" s="281"/>
      <c r="E64" s="528"/>
      <c r="F64" s="283"/>
      <c r="G64" s="282" t="str">
        <f>C64</f>
        <v>A.M.C. POLÍGONO INDUSTRIAL DE GÜIMAR</v>
      </c>
      <c r="H64" s="528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510</v>
      </c>
      <c r="D65" s="285"/>
      <c r="E65" s="528"/>
      <c r="F65" s="283"/>
      <c r="G65" s="282" t="str">
        <f t="shared" ref="G65:G68" si="1">C65</f>
        <v>MERCATENERIFE, S.A.</v>
      </c>
      <c r="H65" s="528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511</v>
      </c>
      <c r="D66" s="285"/>
      <c r="E66" s="528"/>
      <c r="F66" s="283"/>
      <c r="G66" s="282" t="str">
        <f t="shared" si="1"/>
        <v>POLÍGONO INDUSTRIAL DE GRANADILLA-PARQUE TECNOLÓGICO DE TENERIFE, S.A.</v>
      </c>
      <c r="H66" s="528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512</v>
      </c>
      <c r="D67" s="285"/>
      <c r="E67" s="528"/>
      <c r="F67" s="283"/>
      <c r="G67" s="282" t="str">
        <f t="shared" si="1"/>
        <v>PARQUES EÓLICOS DE GRANADILLA, A.I.E.</v>
      </c>
      <c r="H67" s="528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513</v>
      </c>
      <c r="D68" s="285"/>
      <c r="E68" s="528"/>
      <c r="F68" s="283"/>
      <c r="G68" s="282" t="str">
        <f t="shared" si="1"/>
        <v>EÓLICAS DE TENERIFE, A.I.E.</v>
      </c>
      <c r="H68" s="528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34" t="s">
        <v>424</v>
      </c>
      <c r="D69" s="1136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69"/>
      <c r="D75" s="1069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A20" zoomScale="70" zoomScaleNormal="70" workbookViewId="0">
      <selection activeCell="O45" sqref="O45"/>
    </sheetView>
  </sheetViews>
  <sheetFormatPr baseColWidth="10" defaultColWidth="10.55468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5546875" style="91" customWidth="1"/>
    <col min="8" max="8" width="3.44140625" style="90" customWidth="1"/>
    <col min="9" max="16384" width="10.55468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8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8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1"/>
      <c r="D12" s="1111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514"/>
      <c r="D17" s="508"/>
      <c r="E17" s="504"/>
      <c r="F17" s="504"/>
      <c r="G17" s="604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514"/>
      <c r="D18" s="508"/>
      <c r="E18" s="504"/>
      <c r="F18" s="504"/>
      <c r="G18" s="605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514"/>
      <c r="D19" s="508"/>
      <c r="E19" s="504"/>
      <c r="F19" s="504"/>
      <c r="G19" s="605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514"/>
      <c r="D20" s="508"/>
      <c r="E20" s="504"/>
      <c r="F20" s="504"/>
      <c r="G20" s="605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4"/>
      <c r="D21" s="508"/>
      <c r="E21" s="504"/>
      <c r="F21" s="504"/>
      <c r="G21" s="605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4"/>
      <c r="D22" s="508"/>
      <c r="E22" s="504"/>
      <c r="F22" s="504"/>
      <c r="G22" s="605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4"/>
      <c r="D23" s="508"/>
      <c r="E23" s="504"/>
      <c r="F23" s="504"/>
      <c r="G23" s="605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4"/>
      <c r="D24" s="508"/>
      <c r="E24" s="504"/>
      <c r="F24" s="504"/>
      <c r="G24" s="605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4"/>
      <c r="D25" s="508"/>
      <c r="E25" s="504"/>
      <c r="F25" s="504"/>
      <c r="G25" s="605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4"/>
      <c r="D26" s="508"/>
      <c r="E26" s="504"/>
      <c r="F26" s="504"/>
      <c r="G26" s="605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4"/>
      <c r="D27" s="508"/>
      <c r="E27" s="504"/>
      <c r="F27" s="504"/>
      <c r="G27" s="605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4"/>
      <c r="D28" s="508"/>
      <c r="E28" s="504"/>
      <c r="F28" s="504"/>
      <c r="G28" s="605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4"/>
      <c r="D29" s="508"/>
      <c r="E29" s="504"/>
      <c r="F29" s="504"/>
      <c r="G29" s="60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4"/>
      <c r="D30" s="508"/>
      <c r="E30" s="504"/>
      <c r="F30" s="504"/>
      <c r="G30" s="605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5"/>
      <c r="D31" s="509"/>
      <c r="E31" s="505"/>
      <c r="F31" s="505"/>
      <c r="G31" s="606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6"/>
      <c r="D32" s="510"/>
      <c r="E32" s="507"/>
      <c r="F32" s="507"/>
      <c r="G32" s="60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69"/>
      <c r="D35" s="1069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zoomScale="55" zoomScaleNormal="55" zoomScalePageLayoutView="55" workbookViewId="0">
      <pane ySplit="14" topLeftCell="A15" activePane="bottomLeft" state="frozen"/>
      <selection activeCell="G27" sqref="G27"/>
      <selection pane="bottomLeft" activeCell="G27" sqref="G27"/>
    </sheetView>
  </sheetViews>
  <sheetFormatPr baseColWidth="10" defaultColWidth="10.55468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44140625" style="277" customWidth="1"/>
    <col min="8" max="8" width="3.5546875" style="277" customWidth="1"/>
    <col min="9" max="9" width="10.5546875" style="277"/>
    <col min="10" max="12" width="4.21875" style="277" customWidth="1"/>
    <col min="13" max="13" width="11.5546875" style="277" bestFit="1" customWidth="1"/>
    <col min="14" max="16384" width="10.55468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0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48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48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53" t="str">
        <f>Entidad</f>
        <v>CULTESA</v>
      </c>
      <c r="E9" s="1053"/>
      <c r="F9" s="1053"/>
      <c r="G9" s="1053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68" t="s">
        <v>777</v>
      </c>
      <c r="D11" s="969"/>
      <c r="E11" s="969"/>
      <c r="F11" s="969"/>
      <c r="G11" s="969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3" t="s">
        <v>736</v>
      </c>
      <c r="F13" s="943" t="s">
        <v>735</v>
      </c>
      <c r="G13" s="943" t="s">
        <v>737</v>
      </c>
      <c r="H13" s="372"/>
    </row>
    <row r="14" spans="2:13" ht="22.9" customHeight="1">
      <c r="B14" s="371"/>
      <c r="D14" s="368"/>
      <c r="E14" s="944">
        <f>ejercicio-2</f>
        <v>2016</v>
      </c>
      <c r="F14" s="944">
        <f>ejercicio-1</f>
        <v>2017</v>
      </c>
      <c r="G14" s="944">
        <f>ejercicio</f>
        <v>2018</v>
      </c>
      <c r="H14" s="372"/>
    </row>
    <row r="15" spans="2:13" s="949" customFormat="1" ht="30" customHeight="1">
      <c r="B15" s="945"/>
      <c r="C15" s="946" t="s">
        <v>613</v>
      </c>
      <c r="D15" s="946"/>
      <c r="E15" s="947" t="str">
        <f>IF(ROUND('FC-4_ACTIVO'!E94-'FC-4_PASIVO'!E86,2)=0,"Ok","Mal, revisa FC-4")</f>
        <v>Ok</v>
      </c>
      <c r="F15" s="947" t="str">
        <f>IF(ROUND('FC-4_ACTIVO'!F94-'FC-4_PASIVO'!F86,2)=0,"Ok","Mal, revisa FC-4")</f>
        <v>Ok</v>
      </c>
      <c r="G15" s="947" t="str">
        <f>IF(ROUND('FC-4_ACTIVO'!G94-'FC-4_PASIVO'!G86,2)=0,"Ok","Mal, revisa FC-4")</f>
        <v>Ok</v>
      </c>
      <c r="H15" s="948"/>
      <c r="J15" s="950">
        <f>IF(E15="Ok",0,1)</f>
        <v>0</v>
      </c>
      <c r="K15" s="950">
        <f>IF(F15="Ok",0,1)</f>
        <v>0</v>
      </c>
      <c r="L15" s="950">
        <f>IF(G15="Ok",0,1)</f>
        <v>0</v>
      </c>
      <c r="M15" s="950">
        <f>SUM(J15:L15)</f>
        <v>0</v>
      </c>
    </row>
    <row r="16" spans="2:13" s="949" customFormat="1" ht="30" customHeight="1">
      <c r="B16" s="945"/>
      <c r="C16" s="951" t="s">
        <v>615</v>
      </c>
      <c r="D16" s="951"/>
      <c r="E16" s="952" t="str">
        <f>IF(ROUND(('FC-3_CPyG'!E84-'FC-4_PASIVO'!E32),2)=0,"Ok","Mal, revisa FC-3 y FC-4")</f>
        <v>Ok</v>
      </c>
      <c r="F16" s="952" t="str">
        <f>IF(ROUND(('FC-3_CPyG'!F84-'FC-4_PASIVO'!F32),2)=0,"Ok","Mal, revisa FC-3 y FC-4")</f>
        <v>Ok</v>
      </c>
      <c r="G16" s="952" t="str">
        <f>IF(ROUND(('FC-3_CPyG'!G84-'FC-4_PASIVO'!G32),2)=0,"Ok","Mal, revisa FC-3 y FC-4")</f>
        <v>Ok</v>
      </c>
      <c r="H16" s="948"/>
      <c r="J16" s="950">
        <f t="shared" ref="J16:J20" si="0">IF(E16="Ok",0,1)</f>
        <v>0</v>
      </c>
      <c r="K16" s="950">
        <f t="shared" ref="K16:K20" si="1">IF(F16="Ok",0,1)</f>
        <v>0</v>
      </c>
      <c r="L16" s="950">
        <f t="shared" ref="L16:L21" si="2">IF(G16="Ok",0,1)</f>
        <v>0</v>
      </c>
      <c r="M16" s="950">
        <f t="shared" ref="M16:M40" si="3">SUM(J16:L16)</f>
        <v>0</v>
      </c>
    </row>
    <row r="17" spans="2:13" s="949" customFormat="1" ht="30" customHeight="1">
      <c r="B17" s="945"/>
      <c r="C17" s="953" t="s">
        <v>680</v>
      </c>
      <c r="D17" s="951"/>
      <c r="E17" s="952" t="str">
        <f>IF(ROUND('FC-3_CPyG'!E16-'FC-3_1_INF_ADIC_CPyG'!E43,2)=0,"Ok","Mal, revisa datos en FC-3 PyG y FC3.1")</f>
        <v>Ok</v>
      </c>
      <c r="F17" s="952" t="str">
        <f>IF(ROUND('FC-3_CPyG'!F16-'FC-3_1_INF_ADIC_CPyG'!H43,2)=0,"Ok","Mal, revisa datos en FC-3 PyG y FC3.1")</f>
        <v>Ok</v>
      </c>
      <c r="G17" s="952" t="str">
        <f>IF(ROUND('FC-3_CPyG'!G16-'FC-3_1_INF_ADIC_CPyG'!K43,2)=0,"Ok","Mal, revisa datos en FC-3 PyG y FC3.1")</f>
        <v>Ok</v>
      </c>
      <c r="H17" s="948"/>
      <c r="J17" s="950">
        <f t="shared" si="0"/>
        <v>0</v>
      </c>
      <c r="K17" s="950">
        <f t="shared" si="1"/>
        <v>0</v>
      </c>
      <c r="L17" s="950">
        <f t="shared" si="2"/>
        <v>0</v>
      </c>
      <c r="M17" s="950">
        <f t="shared" si="3"/>
        <v>0</v>
      </c>
    </row>
    <row r="18" spans="2:13" s="949" customFormat="1" ht="30" customHeight="1">
      <c r="B18" s="945"/>
      <c r="C18" s="953" t="s">
        <v>683</v>
      </c>
      <c r="D18" s="951"/>
      <c r="E18" s="952" t="str">
        <f>IF(ROUND('FC-3_CPyG'!E48-'FC-3_1_INF_ADIC_CPyG'!E47-'FC-3_1_INF_ADIC_CPyG'!E55,2)=0,"Ok","Mal, revisa datos en FC-3 CPYG y FC-3.1")</f>
        <v>Ok</v>
      </c>
      <c r="F18" s="952" t="str">
        <f>IF(ROUND('FC-3_CPyG'!F48-'FC-3_1_INF_ADIC_CPyG'!F47-'FC-3_1_INF_ADIC_CPyG'!F55,2)=0,"Ok","Mal, revisa datos en FC-3 CPYG y FC-3.1")</f>
        <v>Ok</v>
      </c>
      <c r="G18" s="952" t="str">
        <f>IF(ROUND('FC-3_CPyG'!G48-'FC-3_1_INF_ADIC_CPyG'!G47-'FC-3_1_INF_ADIC_CPyG'!G55,2)=0,"Ok","Mal, revisa datos en FC-3 CPYG y FC-3.1")</f>
        <v>Ok</v>
      </c>
      <c r="H18" s="948"/>
      <c r="J18" s="950">
        <f t="shared" si="0"/>
        <v>0</v>
      </c>
      <c r="K18" s="950">
        <f t="shared" si="1"/>
        <v>0</v>
      </c>
      <c r="L18" s="950">
        <f t="shared" si="2"/>
        <v>0</v>
      </c>
      <c r="M18" s="950">
        <f t="shared" si="3"/>
        <v>0</v>
      </c>
    </row>
    <row r="19" spans="2:13" s="949" customFormat="1" ht="30" customHeight="1">
      <c r="B19" s="945"/>
      <c r="C19" s="953" t="s">
        <v>684</v>
      </c>
      <c r="D19" s="951"/>
      <c r="E19" s="952" t="str">
        <f>IF(ROUND('FC-3_CPyG'!E28-'FC-3_1_INF_ADIC_CPyG'!E71,2)=0,"Ok","Mal, revísa datos en FC-3 y FC-3.1")</f>
        <v>Ok</v>
      </c>
      <c r="F19" s="952" t="str">
        <f>IF(ROUND('FC-3_CPyG'!F28-'FC-3_1_INF_ADIC_CPyG'!F71,2)=0,"Ok","Mal, revísa datos en FC-3 y FC-3.1")</f>
        <v>Ok</v>
      </c>
      <c r="G19" s="952" t="str">
        <f>IF(ROUND('FC-3_CPyG'!G28-'FC-3_1_INF_ADIC_CPyG'!G71,2)=0,"Ok","Mal, revísa datos en FC-3 y FC-3.1")</f>
        <v>Ok</v>
      </c>
      <c r="H19" s="948"/>
      <c r="J19" s="950">
        <f t="shared" si="0"/>
        <v>0</v>
      </c>
      <c r="K19" s="950">
        <f t="shared" si="1"/>
        <v>0</v>
      </c>
      <c r="L19" s="950">
        <f t="shared" si="2"/>
        <v>0</v>
      </c>
      <c r="M19" s="950">
        <f t="shared" si="3"/>
        <v>0</v>
      </c>
    </row>
    <row r="20" spans="2:13" s="949" customFormat="1" ht="30" customHeight="1">
      <c r="B20" s="945"/>
      <c r="C20" s="953" t="s">
        <v>685</v>
      </c>
      <c r="D20" s="951"/>
      <c r="E20" s="952" t="str">
        <f>IF(ROUND('FC-3_CPyG'!E29-'FC-3_1_INF_ADIC_CPyG'!E75,2)=0,"Ok","Mal, revisa datos en FC-3 CPyG y FC-3.1")</f>
        <v>Ok</v>
      </c>
      <c r="F20" s="952" t="str">
        <f>IF(ROUND('FC-3_CPyG'!F29-'FC-3_1_INF_ADIC_CPyG'!F75,2)=0,"Ok","Mal, revisa datos en FC-3 CPyG y FC-3.1")</f>
        <v>Ok</v>
      </c>
      <c r="G20" s="952" t="str">
        <f>IF(ROUND('FC-3_CPyG'!G29-'FC-3_1_INF_ADIC_CPyG'!G75,2)=0,"Ok","Mal, revisa datos en FC-3 CPyG y FC-3.1")</f>
        <v>Ok</v>
      </c>
      <c r="H20" s="948"/>
      <c r="J20" s="950">
        <f t="shared" si="0"/>
        <v>0</v>
      </c>
      <c r="K20" s="950">
        <f t="shared" si="1"/>
        <v>0</v>
      </c>
      <c r="L20" s="950">
        <f t="shared" si="2"/>
        <v>0</v>
      </c>
      <c r="M20" s="950">
        <f t="shared" si="3"/>
        <v>0</v>
      </c>
    </row>
    <row r="21" spans="2:13" s="949" customFormat="1" ht="30" customHeight="1">
      <c r="B21" s="945"/>
      <c r="C21" s="953" t="s">
        <v>679</v>
      </c>
      <c r="D21" s="951"/>
      <c r="E21" s="954"/>
      <c r="F21" s="954"/>
      <c r="G21" s="952" t="str">
        <f>IF(ROUND('FC-6_Inversiones'!G46-SUM('FC-6_Inversiones'!H46:M46),2)=0,"Ok","Mal, revisa totales FC-6")</f>
        <v>Ok</v>
      </c>
      <c r="H21" s="948"/>
      <c r="J21" s="950"/>
      <c r="K21" s="950"/>
      <c r="L21" s="950">
        <f t="shared" si="2"/>
        <v>0</v>
      </c>
      <c r="M21" s="950">
        <f t="shared" si="3"/>
        <v>0</v>
      </c>
    </row>
    <row r="22" spans="2:13" s="949" customFormat="1" ht="30" customHeight="1">
      <c r="B22" s="945"/>
      <c r="C22" s="951" t="s">
        <v>617</v>
      </c>
      <c r="D22" s="951"/>
      <c r="E22" s="954"/>
      <c r="F22" s="952" t="str">
        <f>IF(ROUND('FC-4_ACTIVO'!F17-'FC-7_INF'!M15,2)=0,"Ok","Mal, revisa FC-4 ACTIVO y FC-7")</f>
        <v>Ok</v>
      </c>
      <c r="G22" s="952" t="str">
        <f>IF(ROUND('FC-4_ACTIVO'!G17-'FC-7_INF'!M26,2)=0,"Ok","Mal, revisa FC-4 ACTIVO y FC-7")</f>
        <v>Ok</v>
      </c>
      <c r="H22" s="948"/>
      <c r="J22" s="950"/>
      <c r="K22" s="950">
        <f t="shared" ref="K22:K26" si="4">IF(F22="Ok",0,1)</f>
        <v>0</v>
      </c>
      <c r="L22" s="950">
        <f t="shared" ref="L22:L26" si="5">IF(G22="Ok",0,1)</f>
        <v>0</v>
      </c>
      <c r="M22" s="950">
        <f t="shared" si="3"/>
        <v>0</v>
      </c>
    </row>
    <row r="23" spans="2:13" s="949" customFormat="1" ht="30" customHeight="1">
      <c r="B23" s="945"/>
      <c r="C23" s="951" t="s">
        <v>616</v>
      </c>
      <c r="D23" s="951"/>
      <c r="E23" s="954"/>
      <c r="F23" s="952" t="str">
        <f>IF(ROUND('FC-4_ACTIVO'!F26-'FC-7_INF'!M16-'FC-7_INF'!M17,2)=0,"Ok","Mal, revisa FC-4 ACTIVO y FC-7")</f>
        <v>Ok</v>
      </c>
      <c r="G23" s="952" t="str">
        <f>IF(ROUND('FC-4_ACTIVO'!G26-'FC-7_INF'!M27-'FC-7_INF'!M28,2)=0,"Ok","Mal, revisa FC-4 ACTIVO y FC-7")</f>
        <v>Ok</v>
      </c>
      <c r="H23" s="948"/>
      <c r="J23" s="950"/>
      <c r="K23" s="950">
        <f t="shared" si="4"/>
        <v>0</v>
      </c>
      <c r="L23" s="950">
        <f t="shared" si="5"/>
        <v>0</v>
      </c>
      <c r="M23" s="950">
        <f t="shared" si="3"/>
        <v>0</v>
      </c>
    </row>
    <row r="24" spans="2:13" s="949" customFormat="1" ht="30" customHeight="1">
      <c r="B24" s="945"/>
      <c r="C24" s="951" t="s">
        <v>618</v>
      </c>
      <c r="D24" s="951"/>
      <c r="E24" s="954"/>
      <c r="F24" s="952" t="str">
        <f>IF(ROUND(('FC-4_ACTIVO'!F30-'FC-7_INF'!M18-'FC-7_INF'!M19),2)=0,"Ok","Mal, revisa FC-4 ACTIVO y FC-7")</f>
        <v>Ok</v>
      </c>
      <c r="G24" s="952" t="str">
        <f>IF(ROUND(('FC-4_ACTIVO'!G30-'FC-7_INF'!M29-'FC-7_INF'!M30),2)=0,"Ok","Mal, revisa FC-4 ACTIVO y FC-7")</f>
        <v>Ok</v>
      </c>
      <c r="H24" s="948"/>
      <c r="J24" s="950"/>
      <c r="K24" s="950">
        <f t="shared" si="4"/>
        <v>0</v>
      </c>
      <c r="L24" s="950">
        <f t="shared" si="5"/>
        <v>0</v>
      </c>
      <c r="M24" s="950">
        <f t="shared" si="3"/>
        <v>0</v>
      </c>
    </row>
    <row r="25" spans="2:13" s="949" customFormat="1" ht="30" customHeight="1">
      <c r="B25" s="945"/>
      <c r="C25" s="953" t="s">
        <v>657</v>
      </c>
      <c r="D25" s="951"/>
      <c r="E25" s="954"/>
      <c r="F25" s="955" t="str">
        <f>IF(ROUND('FC-7_INF'!M22-'FC-4_ACTIVO'!F52,2)=0,"Ok","Mal, revisa FC-4 ACTIVO y FC-7")</f>
        <v>Ok</v>
      </c>
      <c r="G25" s="955" t="str">
        <f>IF(ROUND('FC-7_INF'!M33-'FC-4_ACTIVO'!G52,2)=0,"Ok","Mal, revisa FC-4 ACTIVO y FC-7")</f>
        <v>Ok</v>
      </c>
      <c r="H25" s="948"/>
      <c r="J25" s="950"/>
      <c r="K25" s="950">
        <f t="shared" si="4"/>
        <v>0</v>
      </c>
      <c r="L25" s="950">
        <f t="shared" si="5"/>
        <v>0</v>
      </c>
      <c r="M25" s="950">
        <f t="shared" si="3"/>
        <v>0</v>
      </c>
    </row>
    <row r="26" spans="2:13" s="949" customFormat="1" ht="30" customHeight="1">
      <c r="B26" s="945"/>
      <c r="C26" s="953" t="s">
        <v>658</v>
      </c>
      <c r="D26" s="951"/>
      <c r="E26" s="954"/>
      <c r="F26" s="952" t="str">
        <f>IF(ROUND('FC-3_CPyG'!F40-'FC-7_INF'!I20,2)=0,"Ok","Mal, revisa datos en FC-3 y FC-7")</f>
        <v>Ok</v>
      </c>
      <c r="G26" s="952" t="str">
        <f>IF(ROUND('FC-3_CPyG'!G40-'FC-7_INF'!I31,2)=0,"Ok","Mal, revisa datos en FC-3 y FC-7")</f>
        <v>Ok</v>
      </c>
      <c r="H26" s="948"/>
      <c r="J26" s="950"/>
      <c r="K26" s="950">
        <f t="shared" si="4"/>
        <v>0</v>
      </c>
      <c r="L26" s="950">
        <f t="shared" si="5"/>
        <v>0</v>
      </c>
      <c r="M26" s="950">
        <f t="shared" si="3"/>
        <v>0</v>
      </c>
    </row>
    <row r="27" spans="2:13" s="949" customFormat="1" ht="30" customHeight="1">
      <c r="B27" s="945"/>
      <c r="C27" s="956" t="s">
        <v>734</v>
      </c>
      <c r="D27" s="951"/>
      <c r="E27" s="954"/>
      <c r="F27" s="954"/>
      <c r="G27" s="952" t="str">
        <f>IF(ROUND('FC-6_Inversiones'!I46-'FC-7_INF'!F31,2)=0,"Ok","Mal, revisa I46 en FC-6 y F31 en FC-7")</f>
        <v>Ok</v>
      </c>
      <c r="H27" s="948"/>
      <c r="J27" s="950"/>
      <c r="K27" s="950"/>
      <c r="L27" s="950"/>
      <c r="M27" s="950"/>
    </row>
    <row r="28" spans="2:13" s="949" customFormat="1" ht="30" customHeight="1">
      <c r="B28" s="945"/>
      <c r="C28" s="957" t="s">
        <v>771</v>
      </c>
      <c r="D28" s="957"/>
      <c r="E28" s="958"/>
      <c r="F28" s="958"/>
      <c r="G28" s="959" t="str">
        <f>IF(ROUND(('FC-4_ACTIVO'!G34+'FC-4_ACTIVO'!G76)-'FC-8_INV_FINANCIERAS'!J25,2)=0,"Ok","Mal, revisa datos en FC-4 Activo y FC-8")</f>
        <v>Ok</v>
      </c>
      <c r="H28" s="948"/>
      <c r="J28" s="950"/>
      <c r="K28" s="950"/>
      <c r="L28" s="950"/>
      <c r="M28" s="950"/>
    </row>
    <row r="29" spans="2:13" s="949" customFormat="1" ht="30" customHeight="1">
      <c r="B29" s="945"/>
      <c r="C29" s="957" t="s">
        <v>773</v>
      </c>
      <c r="D29" s="957"/>
      <c r="E29" s="958"/>
      <c r="F29" s="958"/>
      <c r="G29" s="959" t="str">
        <f>IF(ROUND((SUM('FC-4_ACTIVO'!G35:G39)+SUM('FC-4_ACTIVO'!G77:G81))-('FC-8_INV_FINANCIERAS'!J34),2)=0,"Ok","Mal, revisa datos en FC-4 Activo y FC-8")</f>
        <v>Ok</v>
      </c>
      <c r="H29" s="948"/>
      <c r="J29" s="950"/>
      <c r="K29" s="950"/>
      <c r="L29" s="950"/>
      <c r="M29" s="950"/>
    </row>
    <row r="30" spans="2:13" s="949" customFormat="1" ht="30" customHeight="1">
      <c r="B30" s="945"/>
      <c r="C30" s="957" t="s">
        <v>772</v>
      </c>
      <c r="D30" s="957"/>
      <c r="E30" s="958"/>
      <c r="F30" s="958"/>
      <c r="G30" s="959" t="str">
        <f>IF(ROUND(('FC-4_ACTIVO'!G41+'FC-4_ACTIVO'!G83)-'FC-8_INV_FINANCIERAS'!J49,2)=0,"Ok","Mal, revisa datos en FC-4 ACTIVO y FC-8")</f>
        <v>Ok</v>
      </c>
      <c r="H30" s="948"/>
      <c r="J30" s="950"/>
      <c r="K30" s="950"/>
      <c r="L30" s="950"/>
      <c r="M30" s="950"/>
    </row>
    <row r="31" spans="2:13" s="949" customFormat="1" ht="30" customHeight="1">
      <c r="B31" s="945"/>
      <c r="C31" s="957" t="s">
        <v>774</v>
      </c>
      <c r="D31" s="957"/>
      <c r="E31" s="958"/>
      <c r="F31" s="958"/>
      <c r="G31" s="959" t="str">
        <f>IF(ROUND((SUM('FC-4_ACTIVO'!G42:G46)+SUM('FC-4_ACTIVO'!G84:G88))-'FC-8_INV_FINANCIERAS'!J58,2)=0,"Ok","Mal, revisa datos en FC-4 Activo y en FC-8")</f>
        <v>Ok</v>
      </c>
      <c r="H31" s="948"/>
      <c r="J31" s="950"/>
      <c r="K31" s="950"/>
      <c r="L31" s="950"/>
      <c r="M31" s="950"/>
    </row>
    <row r="32" spans="2:13" s="949" customFormat="1" ht="30" customHeight="1">
      <c r="B32" s="945"/>
      <c r="C32" s="953" t="s">
        <v>661</v>
      </c>
      <c r="D32" s="951"/>
      <c r="E32" s="954"/>
      <c r="F32" s="952" t="str">
        <f>IF(ROUND('FC-4_PASIVO'!F41-'FC-9_TRANS_SUBV'!F35,2)=0,"Ok","Mal, revisa FC-4 PASIVO y FC-9")</f>
        <v>Ok</v>
      </c>
      <c r="G32" s="952" t="str">
        <f>IF(ROUND('FC-4_PASIVO'!G41-'FC-9_TRANS_SUBV'!G35,2)=0,"Ok","Mal, revisa FC-4 PASIVO y FC-9")</f>
        <v>Ok</v>
      </c>
      <c r="H32" s="948"/>
      <c r="J32" s="950"/>
      <c r="K32" s="950">
        <f t="shared" ref="K32:K36" si="6">IF(F32="Ok",0,1)</f>
        <v>0</v>
      </c>
      <c r="L32" s="950">
        <f t="shared" ref="L32:L40" si="7">IF(G32="Ok",0,1)</f>
        <v>0</v>
      </c>
      <c r="M32" s="950">
        <f t="shared" si="3"/>
        <v>0</v>
      </c>
    </row>
    <row r="33" spans="2:13" s="1008" customFormat="1" ht="30" customHeight="1">
      <c r="B33" s="1009"/>
      <c r="C33" s="1010" t="s">
        <v>813</v>
      </c>
      <c r="D33" s="1010"/>
      <c r="E33" s="1011"/>
      <c r="F33" s="1012" t="str">
        <f>IF(ROUND('FC-3_CPyG'!F41+('FC-9_TRANS_SUBV'!F33),2)=0,"Ok","Mal, revisa datos FC-3 epígr. A) 9. y FC-9 celda F33")</f>
        <v>Ok</v>
      </c>
      <c r="G33" s="1012" t="str">
        <f>IF(ROUND('FC-3_CPyG'!G41+('FC-9_TRANS_SUBV'!G33),2)=0,"Ok","Mal, revisa datos FC-3 epígr. A) 9. y FC-9 celda G33")</f>
        <v>Ok</v>
      </c>
      <c r="H33" s="1013"/>
      <c r="J33" s="950"/>
      <c r="K33" s="950"/>
      <c r="L33" s="950"/>
      <c r="M33" s="950"/>
    </row>
    <row r="34" spans="2:13" s="949" customFormat="1" ht="30" customHeight="1">
      <c r="B34" s="945"/>
      <c r="C34" s="953" t="s">
        <v>662</v>
      </c>
      <c r="D34" s="951"/>
      <c r="E34" s="954"/>
      <c r="F34" s="952" t="str">
        <f>IF('FC-3_CPyG'!F29-'FC-9_TRANS_SUBV'!F50=0,"Ok","Mal, revisa dato en FC-3 y FC-9")</f>
        <v>Ok</v>
      </c>
      <c r="G34" s="952" t="str">
        <f>IF('FC-3_CPyG'!G29-'FC-9_TRANS_SUBV'!G50=0,"Ok","Mal, revisa dato en FC-3 y FC-9")</f>
        <v>Ok</v>
      </c>
      <c r="H34" s="948"/>
      <c r="J34" s="950"/>
      <c r="K34" s="950">
        <f t="shared" si="6"/>
        <v>0</v>
      </c>
      <c r="L34" s="950">
        <f t="shared" si="7"/>
        <v>0</v>
      </c>
      <c r="M34" s="950">
        <f t="shared" si="3"/>
        <v>0</v>
      </c>
    </row>
    <row r="35" spans="2:13" s="949" customFormat="1" ht="30" customHeight="1">
      <c r="B35" s="945"/>
      <c r="C35" s="953" t="s">
        <v>665</v>
      </c>
      <c r="D35" s="951"/>
      <c r="E35" s="954"/>
      <c r="F35" s="952" t="str">
        <f>IF('FC-4_PASIVO'!F31-'FC-4_PASIVO'!E31='FC-9_TRANS_SUBV'!F65,"Ok","Mal, revísa FC-4 PASIVO y FC-9")</f>
        <v>Ok</v>
      </c>
      <c r="G35" s="952" t="str">
        <f>IF('FC-4_PASIVO'!G31-'FC-4_PASIVO'!F31='FC-9_TRANS_SUBV'!G65,"Ok","Mal, revísa FC-4 PASIVO y FC-9")</f>
        <v>Ok</v>
      </c>
      <c r="H35" s="948"/>
      <c r="J35" s="950"/>
      <c r="K35" s="950">
        <f t="shared" si="6"/>
        <v>0</v>
      </c>
      <c r="L35" s="950">
        <f t="shared" si="7"/>
        <v>0</v>
      </c>
      <c r="M35" s="950">
        <f t="shared" si="3"/>
        <v>0</v>
      </c>
    </row>
    <row r="36" spans="2:13" s="949" customFormat="1" ht="30" customHeight="1">
      <c r="B36" s="945"/>
      <c r="C36" s="953" t="s">
        <v>667</v>
      </c>
      <c r="D36" s="951"/>
      <c r="E36" s="954"/>
      <c r="F36" s="952" t="str">
        <f>IF(ROUND(('FC-4_PASIVO'!F51+'FC-4_PASIVO'!F52+'FC-4_PASIVO'!F68+'FC-4_PASIVO'!F69)-('FC-10_DEUDAS'!L42+'FC-10_DEUDAS'!L74),2)=0,"Ok","Mal, revisa datos en FC-4 PASIVO y FC-10")</f>
        <v>Ok</v>
      </c>
      <c r="G36" s="952" t="str">
        <f>IF(ROUND(('FC-4_PASIVO'!G51+'FC-4_PASIVO'!G52+'FC-4_PASIVO'!G68+'FC-4_PASIVO'!G69)-('FC-10_DEUDAS'!Q42+'FC-10_DEUDAS'!Q74),2)=0,"Ok","Mal, revisa datos en FC-4 PASIVO y FC-10")</f>
        <v>Ok</v>
      </c>
      <c r="H36" s="948"/>
      <c r="J36" s="950"/>
      <c r="K36" s="950">
        <f t="shared" si="6"/>
        <v>0</v>
      </c>
      <c r="L36" s="950">
        <f t="shared" si="7"/>
        <v>0</v>
      </c>
      <c r="M36" s="950">
        <f t="shared" si="3"/>
        <v>0</v>
      </c>
    </row>
    <row r="37" spans="2:13" s="949" customFormat="1" ht="30" customHeight="1">
      <c r="B37" s="945"/>
      <c r="C37" s="953" t="s">
        <v>668</v>
      </c>
      <c r="D37" s="951"/>
      <c r="E37" s="954"/>
      <c r="F37" s="954"/>
      <c r="G37" s="952" t="str">
        <f>IF(ROUND('FC-10_DEUDAS'!Q74-'FC-10_DEUDAS'!R74-'FC-10_DEUDAS'!S74,2)=0,"Ok","Mal, revisa datos, celdas Q74=R74+S74 en FC-10")</f>
        <v>Ok</v>
      </c>
      <c r="H37" s="948"/>
      <c r="J37" s="950"/>
      <c r="K37" s="950"/>
      <c r="L37" s="950">
        <f t="shared" si="7"/>
        <v>0</v>
      </c>
      <c r="M37" s="950">
        <f t="shared" si="3"/>
        <v>0</v>
      </c>
    </row>
    <row r="38" spans="2:13" s="949" customFormat="1" ht="30" customHeight="1">
      <c r="B38" s="945"/>
      <c r="C38" s="960" t="s">
        <v>669</v>
      </c>
      <c r="D38" s="961"/>
      <c r="E38" s="962"/>
      <c r="F38" s="962"/>
      <c r="G38" s="963" t="str">
        <f>IF(ROUND(-'FC-3_CPyG'!G30-'FC-13_PERSONAL'!F31,2)=0,"Ok","Mal, revísa dato en FC-3 CPyG y FC-13")</f>
        <v>Ok</v>
      </c>
      <c r="H38" s="948"/>
      <c r="J38" s="950"/>
      <c r="K38" s="950"/>
      <c r="L38" s="950">
        <f t="shared" si="7"/>
        <v>0</v>
      </c>
      <c r="M38" s="950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7"/>
      <c r="K39" s="867"/>
      <c r="L39" s="867"/>
      <c r="M39" s="867"/>
    </row>
    <row r="40" spans="2:13" ht="30" customHeight="1">
      <c r="B40" s="371"/>
      <c r="C40" s="964" t="s">
        <v>671</v>
      </c>
      <c r="D40" s="965"/>
      <c r="E40" s="966"/>
      <c r="F40" s="966"/>
      <c r="G40" s="967" t="str">
        <f>IF(ROUND('FC-3_CPyG'!G84-'FC-92_PRESUPUESTO_PYG'!E59,2)=0,"Ok","Mal, revisa resultado en F-3 y FC-92")</f>
        <v>Ok</v>
      </c>
      <c r="H40" s="372"/>
      <c r="J40" s="867"/>
      <c r="K40" s="867"/>
      <c r="L40" s="867">
        <f t="shared" si="7"/>
        <v>0</v>
      </c>
      <c r="M40" s="867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8" zoomScale="70" zoomScaleNormal="70" zoomScalePageLayoutView="80" workbookViewId="0">
      <selection activeCell="E48" sqref="E48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5546875" style="91" customWidth="1"/>
    <col min="6" max="6" width="44.77734375" style="91" customWidth="1"/>
    <col min="7" max="7" width="10.5546875" style="91" customWidth="1"/>
    <col min="8" max="8" width="3.44140625" style="90" customWidth="1"/>
    <col min="9" max="16384" width="10.55468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8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8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070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1"/>
      <c r="D12" s="1111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14" t="s">
        <v>395</v>
      </c>
      <c r="D18" s="1115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46" t="s">
        <v>525</v>
      </c>
      <c r="D20" s="1147"/>
      <c r="E20" s="269">
        <f>SUM(E21:E29)</f>
        <v>1541568.78</v>
      </c>
      <c r="F20" s="1155"/>
      <c r="G20" s="1156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526</v>
      </c>
      <c r="D21" s="262"/>
      <c r="E21" s="610">
        <f>+'FC-3_CPyG'!G16</f>
        <v>1468677.5</v>
      </c>
      <c r="F21" s="1157"/>
      <c r="G21" s="1158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527</v>
      </c>
      <c r="D22" s="262"/>
      <c r="E22" s="610">
        <f>+'FC-3_CPyG'!G21</f>
        <v>0</v>
      </c>
      <c r="F22" s="1159"/>
      <c r="G22" s="1160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528</v>
      </c>
      <c r="D23" s="262"/>
      <c r="E23" s="610">
        <f>+'FC-3_CPyG'!G28</f>
        <v>0</v>
      </c>
      <c r="F23" s="1159"/>
      <c r="G23" s="1160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529</v>
      </c>
      <c r="D24" s="262"/>
      <c r="E24" s="610">
        <f>+'FC-3_CPyG'!G29</f>
        <v>62891.28</v>
      </c>
      <c r="F24" s="1159"/>
      <c r="G24" s="1160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530</v>
      </c>
      <c r="D25" s="262"/>
      <c r="E25" s="610">
        <f>+'FC-3_CPyG'!G55+'FC-3_CPyG'!G70</f>
        <v>0</v>
      </c>
      <c r="F25" s="1159"/>
      <c r="G25" s="1160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531</v>
      </c>
      <c r="D26" s="262"/>
      <c r="E26" s="610">
        <f>+'FC-3_CPyG'!G52</f>
        <v>0</v>
      </c>
      <c r="F26" s="1159"/>
      <c r="G26" s="1160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532</v>
      </c>
      <c r="D27" s="262"/>
      <c r="E27" s="610">
        <f>+'FC-3_1_INF_ADIC_CPyG'!G47</f>
        <v>0</v>
      </c>
      <c r="F27" s="1159"/>
      <c r="G27" s="1160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5" t="s">
        <v>775</v>
      </c>
      <c r="D28" s="262"/>
      <c r="E28" s="610">
        <f>+'FC-9_TRANS_SUBV'!G65+'FC-9_TRANS_SUBV'!G79</f>
        <v>0</v>
      </c>
      <c r="F28" s="1159"/>
      <c r="G28" s="1160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533</v>
      </c>
      <c r="D29" s="263"/>
      <c r="E29" s="611">
        <f>+'FC-9_TRANS_SUBV'!G30</f>
        <v>10000</v>
      </c>
      <c r="F29" s="1161"/>
      <c r="G29" s="1162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46" t="s">
        <v>534</v>
      </c>
      <c r="D31" s="1147"/>
      <c r="E31" s="269">
        <f>SUM(E32:E43)</f>
        <v>-1375044.8</v>
      </c>
      <c r="F31" s="1155"/>
      <c r="G31" s="1156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10">
        <f>+'FC-3_CPyG'!G22</f>
        <v>-388149.02</v>
      </c>
      <c r="F32" s="1159"/>
      <c r="G32" s="1160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535</v>
      </c>
      <c r="D33" s="262"/>
      <c r="E33" s="610">
        <f>+'FC-3_CPyG'!G30</f>
        <v>-661507.94999999995</v>
      </c>
      <c r="F33" s="535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10">
        <f>+'FC-3_CPyG'!G34-'FC-3_CPyG'!G36</f>
        <v>-274267.83</v>
      </c>
      <c r="F34" s="535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536</v>
      </c>
      <c r="D35" s="262"/>
      <c r="E35" s="610">
        <f>+'FC-3_CPyG'!G59+'FC-3_CPyG'!G63+'FC-3_CPyG'!G66+'FC-3_CPyG'!G67</f>
        <v>0</v>
      </c>
      <c r="F35" s="535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537</v>
      </c>
      <c r="D36" s="262"/>
      <c r="E36" s="610">
        <f>+'FC-3_CPyG'!G77</f>
        <v>0</v>
      </c>
      <c r="F36" s="535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538</v>
      </c>
      <c r="D37" s="262"/>
      <c r="E37" s="610">
        <f>+'FC-3_CPyG'!G36</f>
        <v>-1120</v>
      </c>
      <c r="F37" s="535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539</v>
      </c>
      <c r="D38" s="262"/>
      <c r="E38" s="610">
        <f>+'FC-3_1_INF_ADIC_CPyG'!G55</f>
        <v>0</v>
      </c>
      <c r="F38" s="535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540</v>
      </c>
      <c r="D39" s="262"/>
      <c r="E39" s="610">
        <f>-'FC-7_INF'!F31-'FC-7_INF'!H31-'FC-7_INF'!K31-'FC-7_INF'!F33-'FC-7_INF'!H33-'FC-7_INF'!K33</f>
        <v>-50000</v>
      </c>
      <c r="F39" s="535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09" t="s">
        <v>541</v>
      </c>
      <c r="D40" s="262"/>
      <c r="E40" s="610">
        <f>+'FC-3_CPyG'!G20</f>
        <v>0</v>
      </c>
      <c r="F40" s="535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542</v>
      </c>
      <c r="D41" s="262"/>
      <c r="E41" s="504"/>
      <c r="F41" s="535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543</v>
      </c>
      <c r="D42" s="262"/>
      <c r="E42" s="504"/>
      <c r="F42" s="1159"/>
      <c r="G42" s="1160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544</v>
      </c>
      <c r="D43" s="263"/>
      <c r="E43" s="507"/>
      <c r="F43" s="1161"/>
      <c r="G43" s="1162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545</v>
      </c>
      <c r="D45" s="291"/>
      <c r="E45" s="170">
        <f>+E20+E31</f>
        <v>166523.97999999998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69"/>
      <c r="D49" s="1069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10" zoomScale="73" zoomScaleNormal="73" zoomScalePageLayoutView="73" workbookViewId="0">
      <selection activeCell="R53" sqref="R53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5546875" style="91" customWidth="1"/>
    <col min="6" max="6" width="12.21875" style="91" customWidth="1"/>
    <col min="7" max="7" width="3.44140625" style="90" customWidth="1"/>
    <col min="8" max="16384" width="10.55468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48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48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70" t="str">
        <f>Entidad</f>
        <v>CULTESA</v>
      </c>
      <c r="E9" s="1070"/>
      <c r="F9" s="1070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11"/>
      <c r="D12" s="1111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101" t="s">
        <v>395</v>
      </c>
      <c r="D14" s="1103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63" t="s">
        <v>548</v>
      </c>
      <c r="D16" s="1164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549</v>
      </c>
      <c r="D17" s="262" t="s">
        <v>552</v>
      </c>
      <c r="E17" s="504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550</v>
      </c>
      <c r="D18" s="262" t="s">
        <v>553</v>
      </c>
      <c r="E18" s="504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551</v>
      </c>
      <c r="D19" s="263" t="s">
        <v>554</v>
      </c>
      <c r="E19" s="507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63" t="s">
        <v>555</v>
      </c>
      <c r="D21" s="1164"/>
      <c r="E21" s="608">
        <f>+'FC-3_1_INF_ADIC_CPyG'!K40</f>
        <v>1468677.5</v>
      </c>
      <c r="F21" s="304">
        <f>E21/$E$33</f>
        <v>0.94401247300810576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63" t="s">
        <v>556</v>
      </c>
      <c r="D23" s="1164"/>
      <c r="E23" s="296">
        <f>SUM(E24:E26)</f>
        <v>87104.38</v>
      </c>
      <c r="F23" s="304">
        <f t="shared" ref="F23:F26" si="1">E23/$E$33</f>
        <v>5.5987526991894271E-2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549</v>
      </c>
      <c r="D24" s="262" t="s">
        <v>557</v>
      </c>
      <c r="E24" s="504">
        <f>+'FC-9_TRANS_SUBV'!G50+'FC-9_TRANS_SUBV'!G65</f>
        <v>62891.28</v>
      </c>
      <c r="F24" s="300">
        <f t="shared" si="1"/>
        <v>4.0424227077384398E-2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550</v>
      </c>
      <c r="D25" s="262" t="s">
        <v>559</v>
      </c>
      <c r="E25" s="504">
        <f>+'FC-3_1_INF_ADIC_CPyG'!G76+'FC-3_1_INF_ADIC_CPyG'!G77+'FC-3_1_INF_ADIC_CPyG'!G78+'FC-3_1_INF_ADIC_CPyG'!G81</f>
        <v>24213.1</v>
      </c>
      <c r="F25" s="301">
        <f t="shared" si="1"/>
        <v>1.5563299914509866E-2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551</v>
      </c>
      <c r="D26" s="263" t="s">
        <v>558</v>
      </c>
      <c r="E26" s="507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63" t="s">
        <v>560</v>
      </c>
      <c r="D28" s="1164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549</v>
      </c>
      <c r="D29" s="262"/>
      <c r="E29" s="504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550</v>
      </c>
      <c r="D30" s="262"/>
      <c r="E30" s="504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551</v>
      </c>
      <c r="D31" s="263"/>
      <c r="E31" s="507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65" t="s">
        <v>561</v>
      </c>
      <c r="D33" s="1166"/>
      <c r="E33" s="292">
        <f>E28+E23+E21+E16</f>
        <v>1555781.88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69"/>
      <c r="D40" s="1069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opLeftCell="B1" zoomScale="125" zoomScaleNormal="125" zoomScalePageLayoutView="125" workbookViewId="0">
      <selection activeCell="I19" sqref="I19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0" t="str">
        <f>Entidad</f>
        <v>CULTESA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1"/>
      <c r="D12" s="1111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1468677.5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62891.28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" customHeight="1">
      <c r="B21" s="183"/>
      <c r="C21" s="1163" t="s">
        <v>568</v>
      </c>
      <c r="D21" s="1164"/>
      <c r="E21" s="296">
        <f>SUM(E16:E20)</f>
        <v>1531568.78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10000</v>
      </c>
      <c r="F24" s="184"/>
    </row>
    <row r="25" spans="2:6" s="185" customFormat="1" ht="22.9" customHeight="1">
      <c r="B25" s="183"/>
      <c r="C25" s="1163" t="s">
        <v>571</v>
      </c>
      <c r="D25" s="1164"/>
      <c r="E25" s="296">
        <f>SUM(E23:E24)</f>
        <v>10000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163" t="s">
        <v>574</v>
      </c>
      <c r="D29" s="1164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7" t="s">
        <v>575</v>
      </c>
      <c r="D31" s="1168"/>
      <c r="E31" s="305">
        <f>E21+E25+E29</f>
        <v>1541568.78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63" t="s">
        <v>576</v>
      </c>
      <c r="D33" s="1164"/>
      <c r="E33" s="296">
        <f>+'FC-92_PRESUPUESTO_PYG'!E33</f>
        <v>2504.11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67" t="s">
        <v>575</v>
      </c>
      <c r="D35" s="1168"/>
      <c r="E35" s="305">
        <f>+E31+E33</f>
        <v>1544072.8900000001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1" t="s">
        <v>578</v>
      </c>
      <c r="D37" s="1103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686222.49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663536.85000000009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63" t="s">
        <v>582</v>
      </c>
      <c r="D43" s="1164"/>
      <c r="E43" s="296">
        <f>SUM(E39:E42)</f>
        <v>1349759.34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50000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63" t="s">
        <v>584</v>
      </c>
      <c r="D47" s="1164"/>
      <c r="E47" s="296">
        <f>SUM(E45:E46)</f>
        <v>50000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23660.49</v>
      </c>
      <c r="F50" s="184"/>
    </row>
    <row r="51" spans="2:8" s="185" customFormat="1" ht="22.9" customHeight="1">
      <c r="B51" s="183"/>
      <c r="C51" s="1163" t="s">
        <v>585</v>
      </c>
      <c r="D51" s="1164"/>
      <c r="E51" s="296">
        <f>SUM(E49:E50)</f>
        <v>23660.49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67" t="s">
        <v>586</v>
      </c>
      <c r="D53" s="1168"/>
      <c r="E53" s="305">
        <f>E43+E47+E51</f>
        <v>1423419.83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63" t="s">
        <v>587</v>
      </c>
      <c r="D55" s="1164"/>
      <c r="E55" s="296">
        <f>+'FC-92_PRESUPUESTO_PYG'!E55</f>
        <v>174188.36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67" t="s">
        <v>586</v>
      </c>
      <c r="D57" s="1168"/>
      <c r="E57" s="305">
        <f>+E53+E55</f>
        <v>1597608.19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-53535.299999999814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53535.300000000076</v>
      </c>
      <c r="F61" s="107"/>
      <c r="H61" s="317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198902.9</v>
      </c>
      <c r="F62" s="184"/>
    </row>
    <row r="63" spans="2:8" s="185" customFormat="1" ht="22.9" customHeight="1">
      <c r="B63" s="183"/>
      <c r="C63" s="189"/>
      <c r="D63" s="262" t="s">
        <v>346</v>
      </c>
      <c r="E63" s="856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56">
        <f>-'FC-7_INF'!I31</f>
        <v>198902.9</v>
      </c>
      <c r="F64" s="184"/>
    </row>
    <row r="65" spans="2:8" s="185" customFormat="1" ht="22.9" customHeight="1">
      <c r="B65" s="183"/>
      <c r="C65" s="189"/>
      <c r="D65" s="262" t="s">
        <v>335</v>
      </c>
      <c r="E65" s="856">
        <f>-'FC-7_INF'!J31</f>
        <v>0</v>
      </c>
      <c r="F65" s="184"/>
    </row>
    <row r="66" spans="2:8" s="185" customFormat="1" ht="22.9" customHeight="1">
      <c r="B66" s="183"/>
      <c r="C66" s="316"/>
      <c r="D66" s="290" t="s">
        <v>336</v>
      </c>
      <c r="E66" s="857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672</v>
      </c>
      <c r="E67" s="858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878" t="s">
        <v>776</v>
      </c>
      <c r="E68" s="858">
        <f>'FC-4_ACTIVO'!F48-'FC-4_ACTIVO'!G48</f>
        <v>0</v>
      </c>
      <c r="F68" s="184"/>
    </row>
    <row r="69" spans="2:8" s="185" customFormat="1" ht="22.9" customHeight="1">
      <c r="B69" s="183"/>
      <c r="C69" s="176"/>
      <c r="D69" s="511" t="s">
        <v>675</v>
      </c>
      <c r="E69" s="188">
        <f>-(('FC-4_ACTIVO'!G50-'FC-4_ACTIVO'!G75-'FC-4_ACTIVO'!G82)-('FC-4_ACTIVO'!F50-'FC-4_ACTIVO'!F75-'FC-4_ACTIVO'!F82))</f>
        <v>-165892.43999999994</v>
      </c>
      <c r="F69" s="184"/>
    </row>
    <row r="70" spans="2:8" s="185" customFormat="1" ht="22.9" customHeight="1">
      <c r="B70" s="183"/>
      <c r="C70" s="176"/>
      <c r="D70" s="511" t="s">
        <v>673</v>
      </c>
      <c r="E70" s="188">
        <f>'FC-9_TRANS_SUBV'!G32+'FC-9_TRANS_SUBV'!G34+'FC-9_TRANS_SUBV'!G33</f>
        <v>-4378.08</v>
      </c>
      <c r="F70" s="184"/>
      <c r="H70" s="318"/>
    </row>
    <row r="71" spans="2:8" s="185" customFormat="1" ht="22.9" customHeight="1">
      <c r="B71" s="183"/>
      <c r="C71" s="176"/>
      <c r="D71" s="511" t="s">
        <v>674</v>
      </c>
      <c r="E71" s="188">
        <f>'FC-4_PASIVO'!G43-'FC-4_PASIVO'!F43+'FC-4_PASIVO'!G61-'FC-4_PASIVO'!F61+E50-E28</f>
        <v>24902.920000000024</v>
      </c>
      <c r="F71" s="184"/>
      <c r="H71" s="318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591</v>
      </c>
      <c r="D73" s="310"/>
      <c r="E73" s="311">
        <f>+E59+E61</f>
        <v>2.6193447411060333E-10</v>
      </c>
      <c r="F73" s="107"/>
      <c r="H73" s="317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69"/>
      <c r="D75" s="1069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sheetProtection password="E059" sheet="1" objects="1" scenarios="1"/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8" workbookViewId="0">
      <selection activeCell="E48" sqref="E48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0" t="str">
        <f>Entidad</f>
        <v>CULTESA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1"/>
      <c r="D12" s="1111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+'FC-92_PRESUPUESTO_PYG'!E18</f>
        <v>1468677.5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+'FC-92_PRESUPUESTO_PYG'!E19+'FC-9_TRANS_SUBV'!G65</f>
        <v>62891.28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" customHeight="1">
      <c r="B21" s="183"/>
      <c r="C21" s="1163" t="s">
        <v>568</v>
      </c>
      <c r="D21" s="1164"/>
      <c r="E21" s="296">
        <f>SUM(E16:E20)</f>
        <v>1531568.78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10000</v>
      </c>
      <c r="F24" s="184"/>
    </row>
    <row r="25" spans="2:6" s="185" customFormat="1" ht="22.9" customHeight="1">
      <c r="B25" s="183"/>
      <c r="C25" s="1163" t="s">
        <v>571</v>
      </c>
      <c r="D25" s="1164"/>
      <c r="E25" s="296">
        <f>SUM(E23:E24)</f>
        <v>10000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" customHeight="1">
      <c r="B29" s="183"/>
      <c r="C29" s="1163" t="s">
        <v>574</v>
      </c>
      <c r="D29" s="1164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7" t="s">
        <v>575</v>
      </c>
      <c r="D31" s="1168"/>
      <c r="E31" s="305">
        <f>E21+E25+E29</f>
        <v>1541568.78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101" t="s">
        <v>578</v>
      </c>
      <c r="D34" s="1103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686222.49</v>
      </c>
      <c r="F36" s="184"/>
    </row>
    <row r="37" spans="2:6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663536.85000000009</v>
      </c>
      <c r="F37" s="184"/>
    </row>
    <row r="38" spans="2:6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163" t="s">
        <v>582</v>
      </c>
      <c r="D40" s="1164"/>
      <c r="E40" s="296">
        <f>SUM(E36:E39)</f>
        <v>1349759.34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50000</v>
      </c>
      <c r="F42" s="184"/>
    </row>
    <row r="43" spans="2:6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" customHeight="1">
      <c r="B44" s="183"/>
      <c r="C44" s="1163" t="s">
        <v>584</v>
      </c>
      <c r="D44" s="1164"/>
      <c r="E44" s="296">
        <f>SUM(E42:E43)</f>
        <v>50000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2" t="s">
        <v>573</v>
      </c>
      <c r="E47" s="190">
        <f>'FC-4_PASIVO'!F71-'FC-4_PASIVO'!G71</f>
        <v>23660.49</v>
      </c>
      <c r="F47" s="184"/>
    </row>
    <row r="48" spans="2:6" s="185" customFormat="1" ht="22.9" customHeight="1">
      <c r="B48" s="183"/>
      <c r="C48" s="1163" t="s">
        <v>585</v>
      </c>
      <c r="D48" s="1164"/>
      <c r="E48" s="296">
        <f>SUM(E46:E47)</f>
        <v>23660.49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67" t="s">
        <v>586</v>
      </c>
      <c r="D50" s="1168"/>
      <c r="E50" s="305">
        <f>E40+E44+E48</f>
        <v>1423419.83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69"/>
      <c r="D52" s="1069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44" workbookViewId="0">
      <selection activeCell="E48" sqref="E48"/>
    </sheetView>
  </sheetViews>
  <sheetFormatPr baseColWidth="10" defaultColWidth="10.55468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5546875" style="91" customWidth="1"/>
    <col min="6" max="6" width="3.44140625" style="90" customWidth="1"/>
    <col min="7" max="16384" width="10.55468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70" t="str">
        <f>Entidad</f>
        <v>CULTESA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1"/>
      <c r="D12" s="1111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1468677.5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62891.28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" customHeight="1">
      <c r="B21" s="183"/>
      <c r="C21" s="1163" t="s">
        <v>568</v>
      </c>
      <c r="D21" s="1164"/>
      <c r="E21" s="296">
        <f>SUM(E16:E20)</f>
        <v>1531568.78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63" t="s">
        <v>571</v>
      </c>
      <c r="D25" s="1164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63" t="s">
        <v>574</v>
      </c>
      <c r="D29" s="1164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7" t="s">
        <v>575</v>
      </c>
      <c r="D31" s="1168"/>
      <c r="E31" s="305">
        <f>E21+E25+E29</f>
        <v>1531568.78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63" t="s">
        <v>576</v>
      </c>
      <c r="D33" s="1164"/>
      <c r="E33" s="296">
        <f>IF('FC-3_CPyG'!G20&gt;0,'FC-3_CPyG'!G20,0)+'FC-3_CPyG'!G21+'FC-3_CPyG'!G41+'FC-3_CPyG'!G42+'FC-3_CPyG'!G45+'FC-3_CPyG'!G47+'FC-3_CPyG'!G58+'FC-3_CPyG'!G63</f>
        <v>2504.11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67" t="s">
        <v>592</v>
      </c>
      <c r="D35" s="1168"/>
      <c r="E35" s="305">
        <f>+E31+E33</f>
        <v>1534072.8900000001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1" t="s">
        <v>578</v>
      </c>
      <c r="D37" s="1103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686222.49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663536.85000000009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63" t="s">
        <v>582</v>
      </c>
      <c r="D43" s="1164"/>
      <c r="E43" s="296">
        <f>SUM(E39:E42)</f>
        <v>1349759.34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63" t="s">
        <v>584</v>
      </c>
      <c r="D47" s="1164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63" t="s">
        <v>585</v>
      </c>
      <c r="D51" s="1164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67" t="s">
        <v>586</v>
      </c>
      <c r="D53" s="1168"/>
      <c r="E53" s="305">
        <f>E43+E47+E51</f>
        <v>1349759.34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63" t="s">
        <v>587</v>
      </c>
      <c r="D55" s="1164"/>
      <c r="E55" s="296">
        <f>IF('FC-3_CPyG'!G20&lt;0,-'FC-3_CPyG'!G20,0)-'FC-3_CPyG'!G26-'FC-3_CPyG'!G33-'FC-3_CPyG'!G37-'FC-3_CPyG'!G40-'FC-3_CPyG'!G44-'FC-3_CPyG'!G62-'FC-3_CPyG'!G66-'FC-3_CPyG'!G67</f>
        <v>174188.36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67" t="s">
        <v>593</v>
      </c>
      <c r="D57" s="1168"/>
      <c r="E57" s="305">
        <f>+E53+E55</f>
        <v>1523947.7000000002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10125.189999999944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69"/>
      <c r="D61" s="1069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zoomScale="78" zoomScaleNormal="78" zoomScalePageLayoutView="78" workbookViewId="0">
      <selection activeCell="Q32" sqref="Q32"/>
    </sheetView>
  </sheetViews>
  <sheetFormatPr baseColWidth="10" defaultColWidth="10.55468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44140625" style="2" customWidth="1"/>
    <col min="6" max="7" width="18.44140625" style="2" customWidth="1"/>
    <col min="8" max="8" width="13" style="2" customWidth="1"/>
    <col min="9" max="9" width="3.5546875" style="2" customWidth="1"/>
    <col min="10" max="16384" width="10.55468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48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48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53" t="str">
        <f>Entidad</f>
        <v>CULTESA</v>
      </c>
      <c r="E9" s="1053"/>
      <c r="F9" s="1053"/>
      <c r="G9" s="1053"/>
      <c r="H9" s="1053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7">
        <f>+H15+H19</f>
        <v>8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8" t="s">
        <v>623</v>
      </c>
      <c r="E15" s="538"/>
      <c r="F15" s="538"/>
      <c r="G15" s="538"/>
      <c r="H15" s="539">
        <f>H16+H17</f>
        <v>4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4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8" t="s">
        <v>624</v>
      </c>
      <c r="E19" s="538"/>
      <c r="F19" s="538"/>
      <c r="G19" s="538"/>
      <c r="H19" s="540">
        <v>4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625</v>
      </c>
      <c r="D23" s="541" t="s">
        <v>834</v>
      </c>
      <c r="E23" s="541"/>
      <c r="F23" s="541"/>
      <c r="G23" s="541"/>
      <c r="H23" s="432">
        <v>42318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626</v>
      </c>
      <c r="D24" s="542" t="s">
        <v>835</v>
      </c>
      <c r="E24" s="542"/>
      <c r="F24" s="542"/>
      <c r="G24" s="542"/>
      <c r="H24" s="433">
        <v>42318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627</v>
      </c>
      <c r="D25" s="542" t="s">
        <v>836</v>
      </c>
      <c r="E25" s="542"/>
      <c r="F25" s="542"/>
      <c r="G25" s="542"/>
      <c r="H25" s="433">
        <v>37217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628</v>
      </c>
      <c r="D26" s="542"/>
      <c r="E26" s="542"/>
      <c r="F26" s="542"/>
      <c r="G26" s="542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542" t="s">
        <v>837</v>
      </c>
      <c r="E27" s="542"/>
      <c r="F27" s="542"/>
      <c r="G27" s="542"/>
      <c r="H27" s="433">
        <v>42318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542" t="s">
        <v>838</v>
      </c>
      <c r="E28" s="542"/>
      <c r="F28" s="542"/>
      <c r="G28" s="542"/>
      <c r="H28" s="433">
        <v>42318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542" t="s">
        <v>839</v>
      </c>
      <c r="E29" s="542"/>
      <c r="F29" s="542"/>
      <c r="G29" s="542"/>
      <c r="H29" s="433">
        <v>42318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542" t="s">
        <v>840</v>
      </c>
      <c r="E30" s="542"/>
      <c r="F30" s="542"/>
      <c r="G30" s="542"/>
      <c r="H30" s="433">
        <v>42502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542" t="s">
        <v>841</v>
      </c>
      <c r="E31" s="542"/>
      <c r="F31" s="542"/>
      <c r="G31" s="542"/>
      <c r="H31" s="433">
        <v>42318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542" t="s">
        <v>842</v>
      </c>
      <c r="E32" s="542"/>
      <c r="F32" s="542"/>
      <c r="G32" s="542"/>
      <c r="H32" s="433">
        <v>42318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542"/>
      <c r="E33" s="542"/>
      <c r="F33" s="542"/>
      <c r="G33" s="542"/>
      <c r="H33" s="433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2"/>
      <c r="E34" s="542"/>
      <c r="F34" s="542"/>
      <c r="G34" s="542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2"/>
      <c r="E35" s="542"/>
      <c r="F35" s="542"/>
      <c r="G35" s="542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2"/>
      <c r="E36" s="542"/>
      <c r="F36" s="542"/>
      <c r="G36" s="542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2"/>
      <c r="E37" s="542"/>
      <c r="F37" s="542"/>
      <c r="G37" s="542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2"/>
      <c r="E38" s="542"/>
      <c r="F38" s="542"/>
      <c r="G38" s="542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629</v>
      </c>
      <c r="D40" s="543" t="s">
        <v>843</v>
      </c>
      <c r="E40" s="543"/>
      <c r="F40" s="543"/>
      <c r="G40" s="543"/>
      <c r="H40" s="434">
        <v>37581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2" t="s">
        <v>844</v>
      </c>
      <c r="E41" s="542"/>
      <c r="F41" s="542"/>
      <c r="G41" s="542"/>
      <c r="H41" s="434">
        <v>42822</v>
      </c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G1" zoomScale="73" zoomScaleNormal="73" zoomScalePageLayoutView="73" workbookViewId="0">
      <selection activeCell="W22" sqref="W22"/>
    </sheetView>
  </sheetViews>
  <sheetFormatPr baseColWidth="10" defaultColWidth="10.5546875" defaultRowHeight="22.9" customHeight="1"/>
  <cols>
    <col min="1" max="2" width="3.21875" style="732" customWidth="1"/>
    <col min="3" max="3" width="13.5546875" style="732" customWidth="1"/>
    <col min="4" max="4" width="16.44140625" style="732" customWidth="1"/>
    <col min="5" max="5" width="14" style="732" customWidth="1"/>
    <col min="6" max="7" width="16.44140625" style="732" customWidth="1"/>
    <col min="8" max="8" width="10.21875" style="732" customWidth="1"/>
    <col min="9" max="9" width="13" style="732" customWidth="1"/>
    <col min="10" max="10" width="10.5546875" style="732"/>
    <col min="11" max="11" width="2" style="732" customWidth="1"/>
    <col min="12" max="15" width="10.5546875" style="732"/>
    <col min="16" max="16" width="30.44140625" style="732" customWidth="1"/>
    <col min="17" max="17" width="3.44140625" style="732" customWidth="1"/>
    <col min="18" max="16384" width="10.5546875" style="732"/>
  </cols>
  <sheetData>
    <row r="1" spans="2:32" ht="22.9" customHeight="1">
      <c r="D1" s="733"/>
    </row>
    <row r="2" spans="2:32" ht="22.9" customHeight="1">
      <c r="D2" s="734" t="s">
        <v>31</v>
      </c>
    </row>
    <row r="3" spans="2:32" ht="22.9" customHeight="1">
      <c r="D3" s="734" t="s">
        <v>32</v>
      </c>
    </row>
    <row r="4" spans="2:32" ht="22.9" customHeight="1" thickBot="1"/>
    <row r="5" spans="2:32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7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P6" s="1054">
        <f>ejercicio</f>
        <v>2018</v>
      </c>
      <c r="Q6" s="740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41"/>
      <c r="N7" s="733"/>
      <c r="P7" s="1054"/>
      <c r="Q7" s="740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41"/>
      <c r="N8" s="733"/>
      <c r="O8" s="743"/>
      <c r="P8" s="743"/>
      <c r="Q8" s="740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7" customFormat="1" ht="30" customHeight="1">
      <c r="B9" s="744"/>
      <c r="C9" s="745" t="s">
        <v>2</v>
      </c>
      <c r="D9" s="1056" t="str">
        <f>Entidad</f>
        <v>CULTESA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1056"/>
      <c r="O9" s="1056"/>
      <c r="P9" s="722"/>
      <c r="Q9" s="746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38"/>
      <c r="C10" s="733"/>
      <c r="D10" s="733"/>
      <c r="E10" s="733"/>
      <c r="F10" s="733"/>
      <c r="G10" s="733"/>
      <c r="H10" s="733"/>
      <c r="I10" s="741"/>
      <c r="J10" s="733"/>
      <c r="K10" s="733"/>
      <c r="L10" s="733"/>
      <c r="M10" s="733"/>
      <c r="N10" s="733"/>
      <c r="O10" s="733"/>
      <c r="P10" s="733"/>
      <c r="Q10" s="740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1" customFormat="1" ht="30" customHeight="1">
      <c r="B11" s="748"/>
      <c r="C11" s="749" t="s">
        <v>83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49"/>
      <c r="P11" s="749"/>
      <c r="Q11" s="750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38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  <c r="N12" s="733"/>
      <c r="O12" s="733"/>
      <c r="P12" s="733"/>
      <c r="Q12" s="740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38"/>
      <c r="C13" s="752" t="s">
        <v>692</v>
      </c>
      <c r="D13" s="752"/>
      <c r="E13" s="752"/>
      <c r="F13" s="752"/>
      <c r="G13" s="752"/>
      <c r="H13" s="752"/>
      <c r="I13" s="752"/>
      <c r="J13" s="752"/>
      <c r="K13" s="752"/>
      <c r="L13" s="752"/>
      <c r="M13" s="752"/>
      <c r="N13" s="752"/>
      <c r="O13" s="752"/>
      <c r="P13" s="752"/>
      <c r="Q13" s="740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38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0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38"/>
      <c r="C15" s="733"/>
      <c r="D15" s="733"/>
      <c r="E15" s="733"/>
      <c r="F15" s="1059" t="s">
        <v>691</v>
      </c>
      <c r="G15" s="1059"/>
      <c r="H15" s="1059"/>
      <c r="I15" s="753">
        <f>ejercicio-2</f>
        <v>2016</v>
      </c>
      <c r="J15" s="754"/>
      <c r="K15" s="733"/>
      <c r="L15" s="1059" t="s">
        <v>690</v>
      </c>
      <c r="M15" s="1059"/>
      <c r="N15" s="1059"/>
      <c r="O15" s="755">
        <f>ejercicio-1</f>
        <v>2017</v>
      </c>
      <c r="P15" s="756"/>
      <c r="Q15" s="740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4" customFormat="1" ht="51" customHeight="1">
      <c r="B16" s="757"/>
      <c r="C16" s="758" t="s">
        <v>20</v>
      </c>
      <c r="D16" s="758"/>
      <c r="E16" s="759" t="s">
        <v>21</v>
      </c>
      <c r="F16" s="759" t="s">
        <v>22</v>
      </c>
      <c r="G16" s="759" t="s">
        <v>687</v>
      </c>
      <c r="H16" s="760" t="s">
        <v>686</v>
      </c>
      <c r="I16" s="759" t="s">
        <v>694</v>
      </c>
      <c r="J16" s="759" t="s">
        <v>695</v>
      </c>
      <c r="K16" s="759"/>
      <c r="L16" s="761" t="s">
        <v>697</v>
      </c>
      <c r="M16" s="761" t="s">
        <v>24</v>
      </c>
      <c r="N16" s="761" t="s">
        <v>698</v>
      </c>
      <c r="O16" s="761" t="s">
        <v>26</v>
      </c>
      <c r="P16" s="762" t="s">
        <v>523</v>
      </c>
      <c r="Q16" s="763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38"/>
      <c r="C17" s="435" t="s">
        <v>824</v>
      </c>
      <c r="D17" s="435"/>
      <c r="E17" s="775" t="s">
        <v>845</v>
      </c>
      <c r="F17" s="436">
        <v>2E-3</v>
      </c>
      <c r="G17" s="773">
        <v>1</v>
      </c>
      <c r="H17" s="773" t="s">
        <v>846</v>
      </c>
      <c r="I17" s="438">
        <v>601.01210000000003</v>
      </c>
      <c r="J17" s="438">
        <v>3487.61</v>
      </c>
      <c r="K17" s="438"/>
      <c r="L17" s="438"/>
      <c r="M17" s="438"/>
      <c r="N17" s="438"/>
      <c r="O17" s="438"/>
      <c r="P17" s="438"/>
      <c r="Q17" s="740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38"/>
      <c r="C18" s="439" t="s">
        <v>847</v>
      </c>
      <c r="D18" s="439"/>
      <c r="E18" s="776" t="s">
        <v>848</v>
      </c>
      <c r="F18" s="440">
        <v>0.50800000000000001</v>
      </c>
      <c r="G18" s="774">
        <v>254</v>
      </c>
      <c r="H18" s="774" t="s">
        <v>846</v>
      </c>
      <c r="I18" s="442">
        <v>601.01210000000003</v>
      </c>
      <c r="J18" s="442">
        <v>3487.61</v>
      </c>
      <c r="K18" s="442"/>
      <c r="L18" s="442"/>
      <c r="M18" s="442"/>
      <c r="N18" s="442"/>
      <c r="O18" s="442"/>
      <c r="P18" s="442"/>
      <c r="Q18" s="740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38"/>
      <c r="C19" s="439" t="s">
        <v>849</v>
      </c>
      <c r="D19" s="439"/>
      <c r="E19" s="776" t="s">
        <v>850</v>
      </c>
      <c r="F19" s="440">
        <v>0.4</v>
      </c>
      <c r="G19" s="774">
        <v>200</v>
      </c>
      <c r="H19" s="774" t="s">
        <v>851</v>
      </c>
      <c r="I19" s="442">
        <v>601.01210000000003</v>
      </c>
      <c r="J19" s="442">
        <v>3487.61</v>
      </c>
      <c r="K19" s="442"/>
      <c r="L19" s="442"/>
      <c r="M19" s="442"/>
      <c r="N19" s="442"/>
      <c r="O19" s="442"/>
      <c r="P19" s="442"/>
      <c r="Q19" s="740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38"/>
      <c r="C20" s="439" t="s">
        <v>852</v>
      </c>
      <c r="D20" s="439"/>
      <c r="E20" s="776" t="s">
        <v>853</v>
      </c>
      <c r="F20" s="440">
        <v>0.09</v>
      </c>
      <c r="G20" s="774">
        <v>45</v>
      </c>
      <c r="H20" s="774" t="s">
        <v>851</v>
      </c>
      <c r="I20" s="442">
        <v>601.01210000000003</v>
      </c>
      <c r="J20" s="442">
        <v>3487.61</v>
      </c>
      <c r="K20" s="442"/>
      <c r="L20" s="442"/>
      <c r="M20" s="442"/>
      <c r="N20" s="442"/>
      <c r="O20" s="442"/>
      <c r="P20" s="442"/>
      <c r="Q20" s="740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38"/>
      <c r="C21" s="439"/>
      <c r="D21" s="439"/>
      <c r="E21" s="776"/>
      <c r="F21" s="440"/>
      <c r="G21" s="774"/>
      <c r="H21" s="774"/>
      <c r="I21" s="442"/>
      <c r="J21" s="442"/>
      <c r="K21" s="442"/>
      <c r="L21" s="442"/>
      <c r="M21" s="442"/>
      <c r="N21" s="442"/>
      <c r="O21" s="442"/>
      <c r="P21" s="442"/>
      <c r="Q21" s="740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38"/>
      <c r="C22" s="439"/>
      <c r="D22" s="439"/>
      <c r="E22" s="776"/>
      <c r="F22" s="440"/>
      <c r="G22" s="774"/>
      <c r="H22" s="774"/>
      <c r="I22" s="442"/>
      <c r="J22" s="442"/>
      <c r="K22" s="442"/>
      <c r="L22" s="442"/>
      <c r="M22" s="442"/>
      <c r="N22" s="442"/>
      <c r="O22" s="442"/>
      <c r="P22" s="442"/>
      <c r="Q22" s="740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38"/>
      <c r="C23" s="439"/>
      <c r="D23" s="439"/>
      <c r="E23" s="776"/>
      <c r="F23" s="440"/>
      <c r="G23" s="774"/>
      <c r="H23" s="774"/>
      <c r="I23" s="442"/>
      <c r="J23" s="442"/>
      <c r="K23" s="442"/>
      <c r="L23" s="442"/>
      <c r="M23" s="442"/>
      <c r="N23" s="442"/>
      <c r="O23" s="442"/>
      <c r="P23" s="442"/>
      <c r="Q23" s="740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38"/>
      <c r="C24" s="439"/>
      <c r="D24" s="439"/>
      <c r="E24" s="776"/>
      <c r="F24" s="440"/>
      <c r="G24" s="774"/>
      <c r="H24" s="774"/>
      <c r="I24" s="442"/>
      <c r="J24" s="442"/>
      <c r="K24" s="442"/>
      <c r="L24" s="442"/>
      <c r="M24" s="442"/>
      <c r="N24" s="442"/>
      <c r="O24" s="442"/>
      <c r="P24" s="442"/>
      <c r="Q24" s="740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38"/>
      <c r="C25" s="439"/>
      <c r="D25" s="439"/>
      <c r="E25" s="776"/>
      <c r="F25" s="440"/>
      <c r="G25" s="774"/>
      <c r="H25" s="774"/>
      <c r="I25" s="442"/>
      <c r="J25" s="442"/>
      <c r="K25" s="442"/>
      <c r="L25" s="442"/>
      <c r="M25" s="442"/>
      <c r="N25" s="442"/>
      <c r="O25" s="442"/>
      <c r="P25" s="442"/>
      <c r="Q25" s="740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38"/>
      <c r="C26" s="439"/>
      <c r="D26" s="439"/>
      <c r="E26" s="776"/>
      <c r="F26" s="440"/>
      <c r="G26" s="774"/>
      <c r="H26" s="774"/>
      <c r="I26" s="442"/>
      <c r="J26" s="442"/>
      <c r="K26" s="442"/>
      <c r="L26" s="442"/>
      <c r="M26" s="442"/>
      <c r="N26" s="442"/>
      <c r="O26" s="442"/>
      <c r="P26" s="442"/>
      <c r="Q26" s="740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38"/>
      <c r="C27" s="439"/>
      <c r="D27" s="439"/>
      <c r="E27" s="776"/>
      <c r="F27" s="440"/>
      <c r="G27" s="774"/>
      <c r="H27" s="774"/>
      <c r="I27" s="442"/>
      <c r="J27" s="442"/>
      <c r="K27" s="442"/>
      <c r="L27" s="442"/>
      <c r="M27" s="442"/>
      <c r="N27" s="442"/>
      <c r="O27" s="442"/>
      <c r="P27" s="442"/>
      <c r="Q27" s="740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38"/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40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38"/>
      <c r="C29" s="752" t="s">
        <v>27</v>
      </c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752"/>
      <c r="O29" s="752"/>
      <c r="P29" s="752"/>
      <c r="Q29" s="740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38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742"/>
      <c r="P30" s="742"/>
      <c r="Q30" s="740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38"/>
      <c r="C31" s="733"/>
      <c r="D31" s="733"/>
      <c r="E31" s="733"/>
      <c r="F31" s="1059" t="s">
        <v>691</v>
      </c>
      <c r="G31" s="1059"/>
      <c r="H31" s="1059"/>
      <c r="I31" s="753">
        <f>ejercicio-2</f>
        <v>2016</v>
      </c>
      <c r="J31" s="754"/>
      <c r="K31" s="733"/>
      <c r="L31" s="1060" t="s">
        <v>690</v>
      </c>
      <c r="M31" s="1060"/>
      <c r="N31" s="1060"/>
      <c r="O31" s="765">
        <f>ejercicio-1</f>
        <v>2017</v>
      </c>
      <c r="Q31" s="740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38"/>
      <c r="C32" s="758" t="s">
        <v>20</v>
      </c>
      <c r="D32" s="758"/>
      <c r="E32" s="759" t="s">
        <v>21</v>
      </c>
      <c r="F32" s="759" t="s">
        <v>22</v>
      </c>
      <c r="G32" s="759" t="s">
        <v>687</v>
      </c>
      <c r="H32" s="760" t="s">
        <v>686</v>
      </c>
      <c r="I32" s="759" t="s">
        <v>694</v>
      </c>
      <c r="J32" s="759" t="s">
        <v>28</v>
      </c>
      <c r="K32" s="759"/>
      <c r="L32" s="759" t="s">
        <v>23</v>
      </c>
      <c r="M32" s="759" t="s">
        <v>24</v>
      </c>
      <c r="N32" s="759" t="s">
        <v>25</v>
      </c>
      <c r="O32" s="759" t="s">
        <v>26</v>
      </c>
      <c r="P32" s="762" t="s">
        <v>523</v>
      </c>
      <c r="Q32" s="740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38"/>
      <c r="C33" s="435"/>
      <c r="D33" s="435"/>
      <c r="E33" s="775"/>
      <c r="F33" s="544"/>
      <c r="G33" s="773"/>
      <c r="H33" s="437"/>
      <c r="I33" s="438"/>
      <c r="J33" s="438"/>
      <c r="K33" s="438"/>
      <c r="L33" s="438"/>
      <c r="M33" s="438"/>
      <c r="N33" s="438"/>
      <c r="O33" s="438"/>
      <c r="P33" s="438"/>
      <c r="Q33" s="740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38"/>
      <c r="C34" s="439"/>
      <c r="D34" s="439"/>
      <c r="E34" s="776"/>
      <c r="F34" s="545"/>
      <c r="G34" s="774"/>
      <c r="H34" s="441"/>
      <c r="I34" s="442"/>
      <c r="J34" s="442"/>
      <c r="K34" s="442"/>
      <c r="L34" s="442"/>
      <c r="M34" s="442"/>
      <c r="N34" s="442"/>
      <c r="O34" s="442"/>
      <c r="P34" s="442"/>
      <c r="Q34" s="740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38"/>
      <c r="C35" s="439"/>
      <c r="D35" s="439"/>
      <c r="E35" s="776"/>
      <c r="F35" s="545"/>
      <c r="G35" s="774"/>
      <c r="H35" s="441"/>
      <c r="I35" s="442"/>
      <c r="J35" s="442"/>
      <c r="K35" s="442"/>
      <c r="L35" s="442"/>
      <c r="M35" s="442"/>
      <c r="N35" s="442"/>
      <c r="O35" s="442"/>
      <c r="P35" s="442"/>
      <c r="Q35" s="740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38"/>
      <c r="C36" s="439"/>
      <c r="D36" s="439"/>
      <c r="E36" s="776"/>
      <c r="F36" s="545"/>
      <c r="G36" s="774"/>
      <c r="H36" s="441"/>
      <c r="I36" s="442"/>
      <c r="J36" s="442"/>
      <c r="K36" s="442"/>
      <c r="L36" s="442"/>
      <c r="M36" s="442"/>
      <c r="N36" s="442"/>
      <c r="O36" s="442"/>
      <c r="P36" s="442"/>
      <c r="Q36" s="740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38"/>
      <c r="C37" s="439"/>
      <c r="D37" s="439"/>
      <c r="E37" s="776"/>
      <c r="F37" s="545"/>
      <c r="G37" s="774"/>
      <c r="H37" s="441"/>
      <c r="I37" s="442"/>
      <c r="J37" s="442"/>
      <c r="K37" s="442"/>
      <c r="L37" s="442"/>
      <c r="M37" s="442"/>
      <c r="N37" s="442"/>
      <c r="O37" s="442"/>
      <c r="P37" s="442"/>
      <c r="Q37" s="740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38"/>
      <c r="C38" s="439"/>
      <c r="D38" s="439"/>
      <c r="E38" s="776"/>
      <c r="F38" s="545"/>
      <c r="G38" s="774"/>
      <c r="H38" s="441"/>
      <c r="I38" s="442"/>
      <c r="J38" s="442"/>
      <c r="K38" s="442"/>
      <c r="L38" s="442"/>
      <c r="M38" s="442"/>
      <c r="N38" s="442"/>
      <c r="O38" s="442"/>
      <c r="P38" s="442"/>
      <c r="Q38" s="740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38"/>
      <c r="C39" s="439"/>
      <c r="D39" s="439"/>
      <c r="E39" s="776"/>
      <c r="F39" s="545"/>
      <c r="G39" s="774"/>
      <c r="H39" s="441"/>
      <c r="I39" s="442"/>
      <c r="J39" s="442"/>
      <c r="K39" s="442"/>
      <c r="L39" s="442"/>
      <c r="M39" s="442"/>
      <c r="N39" s="442"/>
      <c r="O39" s="442"/>
      <c r="P39" s="442"/>
      <c r="Q39" s="740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38"/>
      <c r="C40" s="439"/>
      <c r="D40" s="439"/>
      <c r="E40" s="776"/>
      <c r="F40" s="545"/>
      <c r="G40" s="774"/>
      <c r="H40" s="441"/>
      <c r="I40" s="442"/>
      <c r="J40" s="442"/>
      <c r="K40" s="442"/>
      <c r="L40" s="442"/>
      <c r="M40" s="442"/>
      <c r="N40" s="442"/>
      <c r="O40" s="442"/>
      <c r="P40" s="442"/>
      <c r="Q40" s="740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38"/>
      <c r="C41" s="439"/>
      <c r="D41" s="439"/>
      <c r="E41" s="776"/>
      <c r="F41" s="545"/>
      <c r="G41" s="774"/>
      <c r="H41" s="441"/>
      <c r="I41" s="442"/>
      <c r="J41" s="442"/>
      <c r="K41" s="442"/>
      <c r="L41" s="442"/>
      <c r="M41" s="442"/>
      <c r="N41" s="442"/>
      <c r="O41" s="442"/>
      <c r="P41" s="442"/>
      <c r="Q41" s="740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38"/>
      <c r="C42" s="439"/>
      <c r="D42" s="439"/>
      <c r="E42" s="776"/>
      <c r="F42" s="545"/>
      <c r="G42" s="774"/>
      <c r="H42" s="441"/>
      <c r="I42" s="442"/>
      <c r="J42" s="442"/>
      <c r="K42" s="442"/>
      <c r="L42" s="442"/>
      <c r="M42" s="442"/>
      <c r="N42" s="442"/>
      <c r="O42" s="442"/>
      <c r="P42" s="442"/>
      <c r="Q42" s="740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38"/>
      <c r="C43" s="439"/>
      <c r="D43" s="439"/>
      <c r="E43" s="776"/>
      <c r="F43" s="545"/>
      <c r="G43" s="774"/>
      <c r="H43" s="441"/>
      <c r="I43" s="442"/>
      <c r="J43" s="442"/>
      <c r="K43" s="442"/>
      <c r="L43" s="442"/>
      <c r="M43" s="442"/>
      <c r="N43" s="442"/>
      <c r="O43" s="442"/>
      <c r="P43" s="442"/>
      <c r="Q43" s="740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38"/>
      <c r="C44" s="733"/>
      <c r="D44" s="733"/>
      <c r="E44" s="733"/>
      <c r="F44" s="733"/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40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38"/>
      <c r="C45" s="752" t="s">
        <v>29</v>
      </c>
      <c r="D45" s="752"/>
      <c r="E45" s="752"/>
      <c r="F45" s="752"/>
      <c r="G45" s="752"/>
      <c r="H45" s="752"/>
      <c r="I45" s="752"/>
      <c r="J45" s="752"/>
      <c r="K45" s="752"/>
      <c r="L45" s="752"/>
      <c r="M45" s="752"/>
      <c r="N45" s="752"/>
      <c r="O45" s="752"/>
      <c r="P45" s="739"/>
      <c r="Q45" s="740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38"/>
      <c r="C46" s="739"/>
      <c r="D46" s="739"/>
      <c r="E46" s="739"/>
      <c r="F46" s="739"/>
      <c r="G46" s="739"/>
      <c r="H46" s="739"/>
      <c r="I46" s="739"/>
      <c r="J46" s="739"/>
      <c r="K46" s="739"/>
      <c r="L46" s="739"/>
      <c r="M46" s="739"/>
      <c r="N46" s="739"/>
      <c r="O46" s="739"/>
      <c r="P46" s="739"/>
      <c r="Q46" s="740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38"/>
      <c r="C47" s="1057" t="s">
        <v>30</v>
      </c>
      <c r="D47" s="1057"/>
      <c r="E47" s="758"/>
      <c r="F47" s="759"/>
      <c r="G47" s="766"/>
      <c r="H47" s="766"/>
      <c r="I47" s="766"/>
      <c r="J47" s="766"/>
      <c r="K47" s="766"/>
      <c r="L47" s="766"/>
      <c r="M47" s="766"/>
      <c r="N47" s="766"/>
      <c r="O47" s="766"/>
      <c r="P47" s="766"/>
      <c r="Q47" s="740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38"/>
      <c r="C48" s="1058" t="s">
        <v>854</v>
      </c>
      <c r="D48" s="1058"/>
      <c r="E48" s="1058"/>
      <c r="F48" s="1058"/>
      <c r="G48" s="733"/>
      <c r="H48" s="733"/>
      <c r="I48" s="733"/>
      <c r="J48" s="733"/>
      <c r="K48" s="733"/>
      <c r="L48" s="733"/>
      <c r="M48" s="733"/>
      <c r="N48" s="733"/>
      <c r="O48" s="733"/>
      <c r="P48" s="733"/>
      <c r="Q48" s="740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38"/>
      <c r="C49" s="627"/>
      <c r="D49" s="627"/>
      <c r="E49" s="627"/>
      <c r="F49" s="627"/>
      <c r="G49" s="733"/>
      <c r="H49" s="733"/>
      <c r="I49" s="733"/>
      <c r="J49" s="733"/>
      <c r="K49" s="733"/>
      <c r="L49" s="733"/>
      <c r="M49" s="733"/>
      <c r="N49" s="733"/>
      <c r="O49" s="733"/>
      <c r="P49" s="733"/>
      <c r="Q49" s="740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38"/>
      <c r="C50" s="627"/>
      <c r="D50" s="627"/>
      <c r="E50" s="627"/>
      <c r="F50" s="627"/>
      <c r="G50" s="733"/>
      <c r="H50" s="733"/>
      <c r="I50" s="733"/>
      <c r="J50" s="733"/>
      <c r="K50" s="733"/>
      <c r="L50" s="733"/>
      <c r="M50" s="733"/>
      <c r="N50" s="733"/>
      <c r="O50" s="733"/>
      <c r="P50" s="733"/>
      <c r="Q50" s="740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38"/>
      <c r="C51" s="697" t="s">
        <v>354</v>
      </c>
      <c r="D51" s="627"/>
      <c r="E51" s="627"/>
      <c r="F51" s="627"/>
      <c r="G51" s="733"/>
      <c r="H51" s="733"/>
      <c r="I51" s="733"/>
      <c r="J51" s="733"/>
      <c r="K51" s="733"/>
      <c r="L51" s="733"/>
      <c r="M51" s="733"/>
      <c r="N51" s="733"/>
      <c r="O51" s="733"/>
      <c r="P51" s="733"/>
      <c r="Q51" s="740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38"/>
      <c r="C52" s="698" t="s">
        <v>693</v>
      </c>
      <c r="D52" s="627"/>
      <c r="E52" s="627"/>
      <c r="F52" s="627"/>
      <c r="G52" s="733"/>
      <c r="H52" s="733"/>
      <c r="I52" s="733"/>
      <c r="J52" s="733"/>
      <c r="K52" s="733"/>
      <c r="L52" s="733"/>
      <c r="M52" s="733"/>
      <c r="N52" s="733"/>
      <c r="O52" s="733"/>
      <c r="P52" s="733"/>
      <c r="Q52" s="740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38"/>
      <c r="C53" s="767" t="s">
        <v>696</v>
      </c>
      <c r="D53" s="627"/>
      <c r="E53" s="627"/>
      <c r="F53" s="627"/>
      <c r="G53" s="733"/>
      <c r="H53" s="733"/>
      <c r="I53" s="733"/>
      <c r="J53" s="733"/>
      <c r="K53" s="733"/>
      <c r="L53" s="733"/>
      <c r="M53" s="733"/>
      <c r="N53" s="733"/>
      <c r="O53" s="733"/>
      <c r="P53" s="733"/>
      <c r="Q53" s="740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38"/>
      <c r="C54" s="767" t="s">
        <v>764</v>
      </c>
      <c r="D54" s="627"/>
      <c r="E54" s="627"/>
      <c r="F54" s="627"/>
      <c r="G54" s="733"/>
      <c r="H54" s="733"/>
      <c r="I54" s="733"/>
      <c r="J54" s="733"/>
      <c r="K54" s="733"/>
      <c r="L54" s="733"/>
      <c r="M54" s="733"/>
      <c r="N54" s="733"/>
      <c r="O54" s="733"/>
      <c r="P54" s="733"/>
      <c r="Q54" s="740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68"/>
      <c r="C55" s="1055"/>
      <c r="D55" s="1055"/>
      <c r="E55" s="1055"/>
      <c r="F55" s="1055"/>
      <c r="G55" s="769"/>
      <c r="H55" s="769"/>
      <c r="I55" s="769"/>
      <c r="J55" s="769"/>
      <c r="K55" s="769"/>
      <c r="L55" s="769"/>
      <c r="M55" s="769"/>
      <c r="N55" s="769"/>
      <c r="O55" s="769"/>
      <c r="P55" s="769"/>
      <c r="Q55" s="770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  <c r="O56" s="733"/>
      <c r="P56" s="733"/>
    </row>
    <row r="57" spans="2:32" ht="12.75">
      <c r="C57" s="771" t="s">
        <v>77</v>
      </c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  <c r="P57" s="704" t="s">
        <v>84</v>
      </c>
    </row>
    <row r="58" spans="2:32" ht="12.75">
      <c r="C58" s="772" t="s">
        <v>78</v>
      </c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  <c r="O58" s="733"/>
      <c r="P58" s="733"/>
    </row>
    <row r="59" spans="2:32" ht="12.75">
      <c r="C59" s="772" t="s">
        <v>79</v>
      </c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  <c r="O59" s="733"/>
      <c r="P59" s="733"/>
    </row>
    <row r="60" spans="2:32" ht="12.75">
      <c r="C60" s="772" t="s">
        <v>80</v>
      </c>
      <c r="D60" s="733"/>
      <c r="E60" s="733"/>
      <c r="F60" s="733"/>
      <c r="G60" s="733"/>
      <c r="H60" s="733"/>
      <c r="I60" s="733"/>
      <c r="J60" s="733"/>
      <c r="K60" s="733"/>
      <c r="L60" s="733"/>
      <c r="M60" s="733"/>
      <c r="N60" s="733"/>
      <c r="O60" s="733"/>
      <c r="P60" s="733"/>
    </row>
    <row r="61" spans="2:32" ht="12.75">
      <c r="C61" s="772" t="s">
        <v>81</v>
      </c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</row>
    <row r="62" spans="2:32" ht="22.9" customHeight="1">
      <c r="C62" s="733"/>
      <c r="D62" s="733"/>
      <c r="E62" s="733"/>
      <c r="F62" s="733"/>
      <c r="G62" s="733"/>
      <c r="H62" s="733"/>
      <c r="I62" s="733"/>
      <c r="J62" s="733"/>
      <c r="K62" s="733"/>
      <c r="L62" s="733"/>
      <c r="M62" s="733"/>
      <c r="N62" s="733"/>
      <c r="O62" s="733"/>
      <c r="P62" s="733"/>
    </row>
    <row r="63" spans="2:32" ht="22.9" customHeight="1">
      <c r="C63" s="733"/>
      <c r="D63" s="733"/>
      <c r="E63" s="733"/>
      <c r="F63" s="733"/>
      <c r="G63" s="733"/>
      <c r="H63" s="733"/>
      <c r="I63" s="733"/>
      <c r="J63" s="733"/>
      <c r="K63" s="733"/>
      <c r="L63" s="733"/>
      <c r="M63" s="733"/>
      <c r="N63" s="733"/>
      <c r="O63" s="733"/>
      <c r="P63" s="733"/>
    </row>
    <row r="64" spans="2:32" ht="22.9" customHeight="1">
      <c r="C64" s="733"/>
      <c r="D64" s="733"/>
      <c r="E64" s="733"/>
      <c r="F64" s="733"/>
      <c r="G64" s="733"/>
      <c r="H64" s="733"/>
      <c r="I64" s="733"/>
      <c r="J64" s="733"/>
      <c r="K64" s="733"/>
      <c r="L64" s="733"/>
      <c r="M64" s="733"/>
      <c r="N64" s="733"/>
      <c r="O64" s="733"/>
      <c r="P64" s="733"/>
    </row>
    <row r="65" spans="3:16" ht="22.9" customHeight="1">
      <c r="C65" s="733"/>
      <c r="D65" s="733"/>
      <c r="E65" s="733"/>
      <c r="F65" s="733"/>
      <c r="G65" s="733"/>
      <c r="H65" s="733"/>
      <c r="I65" s="733"/>
      <c r="J65" s="733"/>
      <c r="K65" s="733"/>
      <c r="L65" s="733"/>
      <c r="M65" s="733"/>
      <c r="N65" s="733"/>
      <c r="O65" s="733"/>
      <c r="P65" s="733"/>
    </row>
    <row r="66" spans="3:16" ht="22.9" customHeight="1"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I1" zoomScale="69" zoomScaleNormal="69" zoomScalePageLayoutView="69" workbookViewId="0">
      <selection activeCell="M44" sqref="M44"/>
    </sheetView>
  </sheetViews>
  <sheetFormatPr baseColWidth="10" defaultColWidth="10.5546875" defaultRowHeight="22.9" customHeight="1"/>
  <cols>
    <col min="1" max="2" width="3.21875" style="732" customWidth="1"/>
    <col min="3" max="4" width="14.5546875" style="732" customWidth="1"/>
    <col min="5" max="6" width="15.44140625" style="732" customWidth="1"/>
    <col min="7" max="10" width="14.5546875" style="732" customWidth="1"/>
    <col min="11" max="11" width="16.44140625" style="732" customWidth="1"/>
    <col min="12" max="12" width="16.21875" style="732" customWidth="1"/>
    <col min="13" max="13" width="60.77734375" style="732" customWidth="1"/>
    <col min="14" max="14" width="16.5546875" style="732" customWidth="1"/>
    <col min="15" max="15" width="4" style="732" customWidth="1"/>
    <col min="16" max="16384" width="10.5546875" style="732"/>
  </cols>
  <sheetData>
    <row r="1" spans="2:30" ht="22.9" customHeight="1">
      <c r="D1" s="733"/>
      <c r="E1" s="733"/>
    </row>
    <row r="2" spans="2:30" ht="22.9" customHeight="1">
      <c r="D2" s="734" t="s">
        <v>31</v>
      </c>
      <c r="E2" s="734"/>
    </row>
    <row r="3" spans="2:30" ht="22.9" customHeight="1">
      <c r="D3" s="734" t="s">
        <v>32</v>
      </c>
      <c r="E3" s="734"/>
    </row>
    <row r="4" spans="2:30" ht="22.9" customHeight="1" thickBot="1"/>
    <row r="5" spans="2:30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7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1054">
        <f>ejercicio</f>
        <v>2018</v>
      </c>
      <c r="O6" s="740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1054"/>
      <c r="O7" s="740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743"/>
      <c r="O8" s="740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7" customFormat="1" ht="30" customHeight="1">
      <c r="B9" s="744"/>
      <c r="C9" s="745" t="s">
        <v>2</v>
      </c>
      <c r="D9" s="1056" t="str">
        <f>Entidad</f>
        <v>CULTESA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722"/>
      <c r="O9" s="746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38"/>
      <c r="C10" s="733"/>
      <c r="D10" s="733"/>
      <c r="E10" s="733"/>
      <c r="F10" s="733"/>
      <c r="G10" s="733"/>
      <c r="H10" s="733"/>
      <c r="I10" s="733"/>
      <c r="J10" s="741"/>
      <c r="K10" s="733"/>
      <c r="L10" s="733"/>
      <c r="M10" s="733"/>
      <c r="N10" s="733"/>
      <c r="O10" s="740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1" customFormat="1" ht="30" customHeight="1">
      <c r="B11" s="748"/>
      <c r="C11" s="749" t="s">
        <v>706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50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0" customFormat="1" ht="22.9" customHeight="1">
      <c r="B12" s="777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  <c r="O12" s="779"/>
      <c r="Q12" s="781"/>
      <c r="R12" s="782"/>
      <c r="S12" s="782"/>
      <c r="T12" s="782"/>
      <c r="U12" s="782"/>
      <c r="V12" s="782"/>
      <c r="W12" s="782"/>
      <c r="X12" s="782"/>
      <c r="Y12" s="782"/>
      <c r="Z12" s="782"/>
      <c r="AA12" s="782"/>
      <c r="AB12" s="782"/>
      <c r="AC12" s="782"/>
      <c r="AD12" s="783"/>
    </row>
    <row r="13" spans="2:30" s="780" customFormat="1" ht="51" customHeight="1">
      <c r="B13" s="777"/>
      <c r="C13" s="796" t="s">
        <v>700</v>
      </c>
      <c r="D13" s="796" t="s">
        <v>699</v>
      </c>
      <c r="E13" s="1063" t="s">
        <v>703</v>
      </c>
      <c r="F13" s="1064"/>
      <c r="G13" s="796" t="s">
        <v>686</v>
      </c>
      <c r="H13" s="796" t="s">
        <v>701</v>
      </c>
      <c r="I13" s="796" t="s">
        <v>702</v>
      </c>
      <c r="J13" s="796" t="s">
        <v>705</v>
      </c>
      <c r="K13" s="796" t="s">
        <v>708</v>
      </c>
      <c r="L13" s="796" t="s">
        <v>704</v>
      </c>
      <c r="M13" s="1063" t="s">
        <v>711</v>
      </c>
      <c r="N13" s="1064"/>
      <c r="O13" s="779"/>
      <c r="Q13" s="785"/>
      <c r="R13" s="786"/>
      <c r="S13" s="786"/>
      <c r="T13" s="786"/>
      <c r="U13" s="786"/>
      <c r="V13" s="786"/>
      <c r="W13" s="786"/>
      <c r="X13" s="786"/>
      <c r="Y13" s="786"/>
      <c r="Z13" s="786"/>
      <c r="AA13" s="786"/>
      <c r="AB13" s="786"/>
      <c r="AC13" s="786"/>
      <c r="AD13" s="787"/>
    </row>
    <row r="14" spans="2:30" s="780" customFormat="1" ht="22.9" customHeight="1">
      <c r="B14" s="777"/>
      <c r="C14" s="1022">
        <v>31694</v>
      </c>
      <c r="D14" s="807">
        <v>1</v>
      </c>
      <c r="E14" s="808">
        <v>1</v>
      </c>
      <c r="F14" s="809">
        <v>1</v>
      </c>
      <c r="G14" s="1023" t="s">
        <v>846</v>
      </c>
      <c r="H14" s="810">
        <v>601.01210000000003</v>
      </c>
      <c r="I14" s="810"/>
      <c r="J14" s="797">
        <f>(D14*(H14+I14))</f>
        <v>601.01210000000003</v>
      </c>
      <c r="K14" s="831"/>
      <c r="L14" s="832"/>
      <c r="M14" s="1065"/>
      <c r="N14" s="1066"/>
      <c r="O14" s="779"/>
      <c r="Q14" s="785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7"/>
    </row>
    <row r="15" spans="2:30" s="790" customFormat="1" ht="22.9" customHeight="1">
      <c r="B15" s="788"/>
      <c r="C15" s="811"/>
      <c r="D15" s="812"/>
      <c r="E15" s="813"/>
      <c r="F15" s="814"/>
      <c r="G15" s="815"/>
      <c r="H15" s="816"/>
      <c r="I15" s="816"/>
      <c r="J15" s="798">
        <f t="shared" ref="J15:J43" si="0">(D15*(H15+I15))</f>
        <v>0</v>
      </c>
      <c r="K15" s="833"/>
      <c r="L15" s="834"/>
      <c r="M15" s="1061"/>
      <c r="N15" s="1062"/>
      <c r="O15" s="789"/>
      <c r="Q15" s="785"/>
      <c r="R15" s="786"/>
      <c r="S15" s="786"/>
      <c r="T15" s="786"/>
      <c r="U15" s="786"/>
      <c r="V15" s="786"/>
      <c r="W15" s="786"/>
      <c r="X15" s="786"/>
      <c r="Y15" s="786"/>
      <c r="Z15" s="786"/>
      <c r="AA15" s="786"/>
      <c r="AB15" s="786"/>
      <c r="AC15" s="786"/>
      <c r="AD15" s="787"/>
    </row>
    <row r="16" spans="2:30" s="780" customFormat="1" ht="22.9" customHeight="1">
      <c r="B16" s="777"/>
      <c r="C16" s="817"/>
      <c r="D16" s="818"/>
      <c r="E16" s="819"/>
      <c r="F16" s="820"/>
      <c r="G16" s="821"/>
      <c r="H16" s="822"/>
      <c r="I16" s="822"/>
      <c r="J16" s="798">
        <f t="shared" si="0"/>
        <v>0</v>
      </c>
      <c r="K16" s="835"/>
      <c r="L16" s="836"/>
      <c r="M16" s="1061"/>
      <c r="N16" s="1062"/>
      <c r="O16" s="779"/>
      <c r="Q16" s="785"/>
      <c r="R16" s="786"/>
      <c r="S16" s="786"/>
      <c r="T16" s="786"/>
      <c r="U16" s="786"/>
      <c r="V16" s="786"/>
      <c r="W16" s="786"/>
      <c r="X16" s="786"/>
      <c r="Y16" s="786"/>
      <c r="Z16" s="786"/>
      <c r="AA16" s="786"/>
      <c r="AB16" s="786"/>
      <c r="AC16" s="786"/>
      <c r="AD16" s="787"/>
    </row>
    <row r="17" spans="2:30" s="780" customFormat="1" ht="22.9" customHeight="1">
      <c r="B17" s="777"/>
      <c r="C17" s="817"/>
      <c r="D17" s="818"/>
      <c r="E17" s="819"/>
      <c r="F17" s="820"/>
      <c r="G17" s="821"/>
      <c r="H17" s="822"/>
      <c r="I17" s="822"/>
      <c r="J17" s="798">
        <f t="shared" si="0"/>
        <v>0</v>
      </c>
      <c r="K17" s="835"/>
      <c r="L17" s="836"/>
      <c r="M17" s="1061"/>
      <c r="N17" s="1062"/>
      <c r="O17" s="779"/>
      <c r="Q17" s="785"/>
      <c r="R17" s="786"/>
      <c r="S17" s="786"/>
      <c r="T17" s="786"/>
      <c r="U17" s="786"/>
      <c r="V17" s="786"/>
      <c r="W17" s="786"/>
      <c r="X17" s="786"/>
      <c r="Y17" s="786"/>
      <c r="Z17" s="786"/>
      <c r="AA17" s="786"/>
      <c r="AB17" s="786"/>
      <c r="AC17" s="786"/>
      <c r="AD17" s="787"/>
    </row>
    <row r="18" spans="2:30" s="780" customFormat="1" ht="22.9" customHeight="1">
      <c r="B18" s="777"/>
      <c r="C18" s="817"/>
      <c r="D18" s="818"/>
      <c r="E18" s="819"/>
      <c r="F18" s="820"/>
      <c r="G18" s="821"/>
      <c r="H18" s="822"/>
      <c r="I18" s="822"/>
      <c r="J18" s="798">
        <f t="shared" si="0"/>
        <v>0</v>
      </c>
      <c r="K18" s="835"/>
      <c r="L18" s="836"/>
      <c r="M18" s="1061"/>
      <c r="N18" s="1062"/>
      <c r="O18" s="779"/>
      <c r="Q18" s="785"/>
      <c r="R18" s="786"/>
      <c r="S18" s="786"/>
      <c r="T18" s="786"/>
      <c r="U18" s="786"/>
      <c r="V18" s="786"/>
      <c r="W18" s="786"/>
      <c r="X18" s="786"/>
      <c r="Y18" s="786"/>
      <c r="Z18" s="786"/>
      <c r="AA18" s="786"/>
      <c r="AB18" s="786"/>
      <c r="AC18" s="786"/>
      <c r="AD18" s="787"/>
    </row>
    <row r="19" spans="2:30" s="780" customFormat="1" ht="22.9" customHeight="1">
      <c r="B19" s="777"/>
      <c r="C19" s="817"/>
      <c r="D19" s="818"/>
      <c r="E19" s="819"/>
      <c r="F19" s="820"/>
      <c r="G19" s="821"/>
      <c r="H19" s="822"/>
      <c r="I19" s="822"/>
      <c r="J19" s="798">
        <f t="shared" si="0"/>
        <v>0</v>
      </c>
      <c r="K19" s="835"/>
      <c r="L19" s="836"/>
      <c r="M19" s="1061"/>
      <c r="N19" s="1062"/>
      <c r="O19" s="779"/>
      <c r="Q19" s="785"/>
      <c r="R19" s="786"/>
      <c r="S19" s="786"/>
      <c r="T19" s="786"/>
      <c r="U19" s="786"/>
      <c r="V19" s="786"/>
      <c r="W19" s="786"/>
      <c r="X19" s="786"/>
      <c r="Y19" s="786"/>
      <c r="Z19" s="786"/>
      <c r="AA19" s="786"/>
      <c r="AB19" s="786"/>
      <c r="AC19" s="786"/>
      <c r="AD19" s="787"/>
    </row>
    <row r="20" spans="2:30" s="780" customFormat="1" ht="22.9" customHeight="1">
      <c r="B20" s="777"/>
      <c r="C20" s="817"/>
      <c r="D20" s="818"/>
      <c r="E20" s="819"/>
      <c r="F20" s="820"/>
      <c r="G20" s="821"/>
      <c r="H20" s="822"/>
      <c r="I20" s="822"/>
      <c r="J20" s="798">
        <f t="shared" si="0"/>
        <v>0</v>
      </c>
      <c r="K20" s="835"/>
      <c r="L20" s="836"/>
      <c r="M20" s="1061"/>
      <c r="N20" s="1062"/>
      <c r="O20" s="779"/>
      <c r="Q20" s="785"/>
      <c r="R20" s="786"/>
      <c r="S20" s="786"/>
      <c r="T20" s="786"/>
      <c r="U20" s="786"/>
      <c r="V20" s="786"/>
      <c r="W20" s="786"/>
      <c r="X20" s="786"/>
      <c r="Y20" s="786"/>
      <c r="Z20" s="786"/>
      <c r="AA20" s="786"/>
      <c r="AB20" s="786"/>
      <c r="AC20" s="786"/>
      <c r="AD20" s="787"/>
    </row>
    <row r="21" spans="2:30" s="780" customFormat="1" ht="22.9" customHeight="1">
      <c r="B21" s="777"/>
      <c r="C21" s="817"/>
      <c r="D21" s="818"/>
      <c r="E21" s="819"/>
      <c r="F21" s="820"/>
      <c r="G21" s="821"/>
      <c r="H21" s="822"/>
      <c r="I21" s="822"/>
      <c r="J21" s="798">
        <f t="shared" si="0"/>
        <v>0</v>
      </c>
      <c r="K21" s="835"/>
      <c r="L21" s="836"/>
      <c r="M21" s="1061"/>
      <c r="N21" s="1062"/>
      <c r="O21" s="779"/>
      <c r="Q21" s="785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7"/>
    </row>
    <row r="22" spans="2:30" s="780" customFormat="1" ht="22.9" customHeight="1">
      <c r="B22" s="777"/>
      <c r="C22" s="817"/>
      <c r="D22" s="818"/>
      <c r="E22" s="819"/>
      <c r="F22" s="820"/>
      <c r="G22" s="821"/>
      <c r="H22" s="822"/>
      <c r="I22" s="822"/>
      <c r="J22" s="798">
        <f t="shared" si="0"/>
        <v>0</v>
      </c>
      <c r="K22" s="835"/>
      <c r="L22" s="836"/>
      <c r="M22" s="1061"/>
      <c r="N22" s="1062"/>
      <c r="O22" s="779"/>
      <c r="Q22" s="785"/>
      <c r="R22" s="786"/>
      <c r="S22" s="786"/>
      <c r="T22" s="786"/>
      <c r="U22" s="786"/>
      <c r="V22" s="786"/>
      <c r="W22" s="786"/>
      <c r="X22" s="786"/>
      <c r="Y22" s="786"/>
      <c r="Z22" s="786"/>
      <c r="AA22" s="786"/>
      <c r="AB22" s="786"/>
      <c r="AC22" s="786"/>
      <c r="AD22" s="787"/>
    </row>
    <row r="23" spans="2:30" s="780" customFormat="1" ht="22.9" customHeight="1">
      <c r="B23" s="777"/>
      <c r="C23" s="817"/>
      <c r="D23" s="818"/>
      <c r="E23" s="819"/>
      <c r="F23" s="820"/>
      <c r="G23" s="821"/>
      <c r="H23" s="823"/>
      <c r="I23" s="823"/>
      <c r="J23" s="798">
        <f t="shared" si="0"/>
        <v>0</v>
      </c>
      <c r="K23" s="837"/>
      <c r="L23" s="838"/>
      <c r="M23" s="1061"/>
      <c r="N23" s="1062"/>
      <c r="O23" s="779"/>
      <c r="Q23" s="785"/>
      <c r="R23" s="786"/>
      <c r="S23" s="786"/>
      <c r="T23" s="786"/>
      <c r="U23" s="786"/>
      <c r="V23" s="786"/>
      <c r="W23" s="786"/>
      <c r="X23" s="786"/>
      <c r="Y23" s="786"/>
      <c r="Z23" s="786"/>
      <c r="AA23" s="786"/>
      <c r="AB23" s="786"/>
      <c r="AC23" s="786"/>
      <c r="AD23" s="787"/>
    </row>
    <row r="24" spans="2:30" s="780" customFormat="1" ht="22.9" customHeight="1">
      <c r="B24" s="777"/>
      <c r="C24" s="817"/>
      <c r="D24" s="818"/>
      <c r="E24" s="819"/>
      <c r="F24" s="820"/>
      <c r="G24" s="821"/>
      <c r="H24" s="823"/>
      <c r="I24" s="823"/>
      <c r="J24" s="798">
        <f t="shared" si="0"/>
        <v>0</v>
      </c>
      <c r="K24" s="837"/>
      <c r="L24" s="838"/>
      <c r="M24" s="829"/>
      <c r="N24" s="830"/>
      <c r="O24" s="779"/>
      <c r="Q24" s="785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7"/>
    </row>
    <row r="25" spans="2:30" s="780" customFormat="1" ht="22.9" customHeight="1">
      <c r="B25" s="777"/>
      <c r="C25" s="817"/>
      <c r="D25" s="818"/>
      <c r="E25" s="819"/>
      <c r="F25" s="820"/>
      <c r="G25" s="821"/>
      <c r="H25" s="823"/>
      <c r="I25" s="823"/>
      <c r="J25" s="798">
        <f t="shared" si="0"/>
        <v>0</v>
      </c>
      <c r="K25" s="837"/>
      <c r="L25" s="838"/>
      <c r="M25" s="829"/>
      <c r="N25" s="830"/>
      <c r="O25" s="779"/>
      <c r="Q25" s="785"/>
      <c r="R25" s="786"/>
      <c r="S25" s="786"/>
      <c r="T25" s="786"/>
      <c r="U25" s="786"/>
      <c r="V25" s="786"/>
      <c r="W25" s="786"/>
      <c r="X25" s="786"/>
      <c r="Y25" s="786"/>
      <c r="Z25" s="786"/>
      <c r="AA25" s="786"/>
      <c r="AB25" s="786"/>
      <c r="AC25" s="786"/>
      <c r="AD25" s="787"/>
    </row>
    <row r="26" spans="2:30" s="780" customFormat="1" ht="22.9" customHeight="1">
      <c r="B26" s="777"/>
      <c r="C26" s="817"/>
      <c r="D26" s="818"/>
      <c r="E26" s="819"/>
      <c r="F26" s="820"/>
      <c r="G26" s="821"/>
      <c r="H26" s="823"/>
      <c r="I26" s="823"/>
      <c r="J26" s="798">
        <f t="shared" si="0"/>
        <v>0</v>
      </c>
      <c r="K26" s="837"/>
      <c r="L26" s="838"/>
      <c r="M26" s="829"/>
      <c r="N26" s="830"/>
      <c r="O26" s="779"/>
      <c r="Q26" s="785"/>
      <c r="R26" s="786"/>
      <c r="S26" s="786"/>
      <c r="T26" s="786"/>
      <c r="U26" s="786"/>
      <c r="V26" s="786"/>
      <c r="W26" s="786"/>
      <c r="X26" s="786"/>
      <c r="Y26" s="786"/>
      <c r="Z26" s="786"/>
      <c r="AA26" s="786"/>
      <c r="AB26" s="786"/>
      <c r="AC26" s="786"/>
      <c r="AD26" s="787"/>
    </row>
    <row r="27" spans="2:30" s="780" customFormat="1" ht="22.9" customHeight="1">
      <c r="B27" s="777"/>
      <c r="C27" s="817"/>
      <c r="D27" s="818"/>
      <c r="E27" s="819"/>
      <c r="F27" s="820"/>
      <c r="G27" s="821"/>
      <c r="H27" s="823"/>
      <c r="I27" s="823"/>
      <c r="J27" s="798">
        <f t="shared" si="0"/>
        <v>0</v>
      </c>
      <c r="K27" s="837"/>
      <c r="L27" s="838"/>
      <c r="M27" s="829"/>
      <c r="N27" s="830"/>
      <c r="O27" s="779"/>
      <c r="Q27" s="785"/>
      <c r="R27" s="786"/>
      <c r="S27" s="786"/>
      <c r="T27" s="786"/>
      <c r="U27" s="786"/>
      <c r="V27" s="786"/>
      <c r="W27" s="786"/>
      <c r="X27" s="786"/>
      <c r="Y27" s="786"/>
      <c r="Z27" s="786"/>
      <c r="AA27" s="786"/>
      <c r="AB27" s="786"/>
      <c r="AC27" s="786"/>
      <c r="AD27" s="787"/>
    </row>
    <row r="28" spans="2:30" s="780" customFormat="1" ht="22.9" customHeight="1">
      <c r="B28" s="777"/>
      <c r="C28" s="817"/>
      <c r="D28" s="818"/>
      <c r="E28" s="819"/>
      <c r="F28" s="820"/>
      <c r="G28" s="821"/>
      <c r="H28" s="823"/>
      <c r="I28" s="823"/>
      <c r="J28" s="798">
        <f t="shared" si="0"/>
        <v>0</v>
      </c>
      <c r="K28" s="837"/>
      <c r="L28" s="838"/>
      <c r="M28" s="829"/>
      <c r="N28" s="830"/>
      <c r="O28" s="779"/>
      <c r="Q28" s="785"/>
      <c r="R28" s="786"/>
      <c r="S28" s="786"/>
      <c r="T28" s="786"/>
      <c r="U28" s="786"/>
      <c r="V28" s="786"/>
      <c r="W28" s="786"/>
      <c r="X28" s="786"/>
      <c r="Y28" s="786"/>
      <c r="Z28" s="786"/>
      <c r="AA28" s="786"/>
      <c r="AB28" s="786"/>
      <c r="AC28" s="786"/>
      <c r="AD28" s="787"/>
    </row>
    <row r="29" spans="2:30" s="780" customFormat="1" ht="22.9" customHeight="1">
      <c r="B29" s="777"/>
      <c r="C29" s="817"/>
      <c r="D29" s="818"/>
      <c r="E29" s="819"/>
      <c r="F29" s="820"/>
      <c r="G29" s="821"/>
      <c r="H29" s="823"/>
      <c r="I29" s="823"/>
      <c r="J29" s="798">
        <f t="shared" si="0"/>
        <v>0</v>
      </c>
      <c r="K29" s="837"/>
      <c r="L29" s="838"/>
      <c r="M29" s="829"/>
      <c r="N29" s="830"/>
      <c r="O29" s="779"/>
      <c r="Q29" s="785"/>
      <c r="R29" s="786"/>
      <c r="S29" s="786"/>
      <c r="T29" s="786"/>
      <c r="U29" s="786"/>
      <c r="V29" s="786"/>
      <c r="W29" s="786"/>
      <c r="X29" s="786"/>
      <c r="Y29" s="786"/>
      <c r="Z29" s="786"/>
      <c r="AA29" s="786"/>
      <c r="AB29" s="786"/>
      <c r="AC29" s="786"/>
      <c r="AD29" s="787"/>
    </row>
    <row r="30" spans="2:30" s="780" customFormat="1" ht="22.9" customHeight="1">
      <c r="B30" s="777"/>
      <c r="C30" s="817"/>
      <c r="D30" s="818"/>
      <c r="E30" s="819"/>
      <c r="F30" s="820"/>
      <c r="G30" s="821"/>
      <c r="H30" s="823"/>
      <c r="I30" s="823"/>
      <c r="J30" s="798">
        <f t="shared" si="0"/>
        <v>0</v>
      </c>
      <c r="K30" s="837"/>
      <c r="L30" s="838"/>
      <c r="M30" s="829"/>
      <c r="N30" s="830"/>
      <c r="O30" s="779"/>
      <c r="Q30" s="785"/>
      <c r="R30" s="786"/>
      <c r="S30" s="786"/>
      <c r="T30" s="786"/>
      <c r="U30" s="786"/>
      <c r="V30" s="786"/>
      <c r="W30" s="786"/>
      <c r="X30" s="786"/>
      <c r="Y30" s="786"/>
      <c r="Z30" s="786"/>
      <c r="AA30" s="786"/>
      <c r="AB30" s="786"/>
      <c r="AC30" s="786"/>
      <c r="AD30" s="787"/>
    </row>
    <row r="31" spans="2:30" s="780" customFormat="1" ht="22.9" customHeight="1">
      <c r="B31" s="777"/>
      <c r="C31" s="817"/>
      <c r="D31" s="818"/>
      <c r="E31" s="819"/>
      <c r="F31" s="820"/>
      <c r="G31" s="821"/>
      <c r="H31" s="823"/>
      <c r="I31" s="823"/>
      <c r="J31" s="798">
        <f t="shared" si="0"/>
        <v>0</v>
      </c>
      <c r="K31" s="837"/>
      <c r="L31" s="838"/>
      <c r="M31" s="829"/>
      <c r="N31" s="830"/>
      <c r="O31" s="779"/>
      <c r="Q31" s="785"/>
      <c r="R31" s="786"/>
      <c r="S31" s="786"/>
      <c r="T31" s="786"/>
      <c r="U31" s="786"/>
      <c r="V31" s="786"/>
      <c r="W31" s="786"/>
      <c r="X31" s="786"/>
      <c r="Y31" s="786"/>
      <c r="Z31" s="786"/>
      <c r="AA31" s="786"/>
      <c r="AB31" s="786"/>
      <c r="AC31" s="786"/>
      <c r="AD31" s="787"/>
    </row>
    <row r="32" spans="2:30" s="780" customFormat="1" ht="22.9" customHeight="1">
      <c r="B32" s="777"/>
      <c r="C32" s="817"/>
      <c r="D32" s="818"/>
      <c r="E32" s="819"/>
      <c r="F32" s="820"/>
      <c r="G32" s="821"/>
      <c r="H32" s="823"/>
      <c r="I32" s="823"/>
      <c r="J32" s="798">
        <f t="shared" si="0"/>
        <v>0</v>
      </c>
      <c r="K32" s="837"/>
      <c r="L32" s="838"/>
      <c r="M32" s="829"/>
      <c r="N32" s="830"/>
      <c r="O32" s="779"/>
      <c r="Q32" s="785"/>
      <c r="R32" s="786"/>
      <c r="S32" s="786"/>
      <c r="T32" s="786"/>
      <c r="U32" s="786"/>
      <c r="V32" s="786"/>
      <c r="W32" s="786"/>
      <c r="X32" s="786"/>
      <c r="Y32" s="786"/>
      <c r="Z32" s="786"/>
      <c r="AA32" s="786"/>
      <c r="AB32" s="786"/>
      <c r="AC32" s="786"/>
      <c r="AD32" s="787"/>
    </row>
    <row r="33" spans="2:30" s="780" customFormat="1" ht="22.9" customHeight="1">
      <c r="B33" s="777"/>
      <c r="C33" s="817"/>
      <c r="D33" s="818"/>
      <c r="E33" s="819"/>
      <c r="F33" s="820"/>
      <c r="G33" s="821"/>
      <c r="H33" s="823"/>
      <c r="I33" s="823"/>
      <c r="J33" s="798">
        <f t="shared" si="0"/>
        <v>0</v>
      </c>
      <c r="K33" s="837"/>
      <c r="L33" s="838"/>
      <c r="M33" s="1061"/>
      <c r="N33" s="1062"/>
      <c r="O33" s="779"/>
      <c r="Q33" s="785"/>
      <c r="R33" s="786"/>
      <c r="S33" s="786"/>
      <c r="T33" s="786"/>
      <c r="U33" s="786"/>
      <c r="V33" s="786"/>
      <c r="W33" s="786"/>
      <c r="X33" s="786"/>
      <c r="Y33" s="786"/>
      <c r="Z33" s="786"/>
      <c r="AA33" s="786"/>
      <c r="AB33" s="786"/>
      <c r="AC33" s="786"/>
      <c r="AD33" s="787"/>
    </row>
    <row r="34" spans="2:30" s="780" customFormat="1" ht="22.9" customHeight="1">
      <c r="B34" s="777"/>
      <c r="C34" s="817"/>
      <c r="D34" s="818"/>
      <c r="E34" s="819"/>
      <c r="F34" s="820"/>
      <c r="G34" s="821"/>
      <c r="H34" s="823"/>
      <c r="I34" s="823"/>
      <c r="J34" s="798">
        <f t="shared" si="0"/>
        <v>0</v>
      </c>
      <c r="K34" s="837"/>
      <c r="L34" s="838"/>
      <c r="M34" s="1061"/>
      <c r="N34" s="1062"/>
      <c r="O34" s="779"/>
      <c r="Q34" s="785"/>
      <c r="R34" s="786"/>
      <c r="S34" s="786"/>
      <c r="T34" s="786"/>
      <c r="U34" s="786"/>
      <c r="V34" s="786"/>
      <c r="W34" s="786"/>
      <c r="X34" s="786"/>
      <c r="Y34" s="786"/>
      <c r="Z34" s="786"/>
      <c r="AA34" s="786"/>
      <c r="AB34" s="786"/>
      <c r="AC34" s="786"/>
      <c r="AD34" s="787"/>
    </row>
    <row r="35" spans="2:30" s="780" customFormat="1" ht="22.9" customHeight="1">
      <c r="B35" s="777"/>
      <c r="C35" s="817"/>
      <c r="D35" s="818"/>
      <c r="E35" s="819"/>
      <c r="F35" s="820"/>
      <c r="G35" s="821"/>
      <c r="H35" s="823"/>
      <c r="I35" s="823"/>
      <c r="J35" s="798">
        <f t="shared" si="0"/>
        <v>0</v>
      </c>
      <c r="K35" s="837"/>
      <c r="L35" s="838"/>
      <c r="M35" s="1061"/>
      <c r="N35" s="1062"/>
      <c r="O35" s="779"/>
      <c r="Q35" s="785"/>
      <c r="R35" s="786"/>
      <c r="S35" s="786"/>
      <c r="T35" s="786"/>
      <c r="U35" s="786"/>
      <c r="V35" s="786"/>
      <c r="W35" s="786"/>
      <c r="X35" s="786"/>
      <c r="Y35" s="786"/>
      <c r="Z35" s="786"/>
      <c r="AA35" s="786"/>
      <c r="AB35" s="786"/>
      <c r="AC35" s="786"/>
      <c r="AD35" s="787"/>
    </row>
    <row r="36" spans="2:30" s="780" customFormat="1" ht="22.9" customHeight="1">
      <c r="B36" s="777"/>
      <c r="C36" s="817"/>
      <c r="D36" s="818"/>
      <c r="E36" s="819"/>
      <c r="F36" s="820"/>
      <c r="G36" s="821"/>
      <c r="H36" s="823"/>
      <c r="I36" s="823"/>
      <c r="J36" s="798">
        <f t="shared" si="0"/>
        <v>0</v>
      </c>
      <c r="K36" s="837"/>
      <c r="L36" s="838"/>
      <c r="M36" s="1061"/>
      <c r="N36" s="1062"/>
      <c r="O36" s="779"/>
      <c r="Q36" s="785"/>
      <c r="R36" s="786"/>
      <c r="S36" s="786"/>
      <c r="T36" s="786"/>
      <c r="U36" s="786"/>
      <c r="V36" s="786"/>
      <c r="W36" s="786"/>
      <c r="X36" s="786"/>
      <c r="Y36" s="786"/>
      <c r="Z36" s="786"/>
      <c r="AA36" s="786"/>
      <c r="AB36" s="786"/>
      <c r="AC36" s="786"/>
      <c r="AD36" s="787"/>
    </row>
    <row r="37" spans="2:30" s="780" customFormat="1" ht="22.9" customHeight="1">
      <c r="B37" s="777"/>
      <c r="C37" s="817"/>
      <c r="D37" s="818"/>
      <c r="E37" s="819"/>
      <c r="F37" s="820"/>
      <c r="G37" s="821"/>
      <c r="H37" s="823"/>
      <c r="I37" s="823"/>
      <c r="J37" s="798">
        <f t="shared" si="0"/>
        <v>0</v>
      </c>
      <c r="K37" s="837"/>
      <c r="L37" s="838"/>
      <c r="M37" s="1061"/>
      <c r="N37" s="1062"/>
      <c r="O37" s="779"/>
      <c r="Q37" s="785"/>
      <c r="R37" s="786"/>
      <c r="S37" s="786"/>
      <c r="T37" s="786"/>
      <c r="U37" s="786"/>
      <c r="V37" s="786"/>
      <c r="W37" s="786"/>
      <c r="X37" s="786"/>
      <c r="Y37" s="786"/>
      <c r="Z37" s="786"/>
      <c r="AA37" s="786"/>
      <c r="AB37" s="786"/>
      <c r="AC37" s="786"/>
      <c r="AD37" s="787"/>
    </row>
    <row r="38" spans="2:30" s="780" customFormat="1" ht="22.9" customHeight="1">
      <c r="B38" s="777"/>
      <c r="C38" s="817"/>
      <c r="D38" s="818"/>
      <c r="E38" s="819"/>
      <c r="F38" s="820"/>
      <c r="G38" s="821"/>
      <c r="H38" s="823"/>
      <c r="I38" s="823"/>
      <c r="J38" s="798">
        <f t="shared" si="0"/>
        <v>0</v>
      </c>
      <c r="K38" s="837"/>
      <c r="L38" s="838"/>
      <c r="M38" s="1061"/>
      <c r="N38" s="1062"/>
      <c r="O38" s="779"/>
      <c r="Q38" s="791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2"/>
    </row>
    <row r="39" spans="2:30" s="780" customFormat="1" ht="22.9" customHeight="1">
      <c r="B39" s="777"/>
      <c r="C39" s="817"/>
      <c r="D39" s="818"/>
      <c r="E39" s="819"/>
      <c r="F39" s="820"/>
      <c r="G39" s="821"/>
      <c r="H39" s="823"/>
      <c r="I39" s="823"/>
      <c r="J39" s="798">
        <f t="shared" si="0"/>
        <v>0</v>
      </c>
      <c r="K39" s="837"/>
      <c r="L39" s="838"/>
      <c r="M39" s="1061"/>
      <c r="N39" s="1062"/>
      <c r="O39" s="779"/>
      <c r="Q39" s="791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2"/>
    </row>
    <row r="40" spans="2:30" s="780" customFormat="1" ht="22.9" customHeight="1">
      <c r="B40" s="777"/>
      <c r="C40" s="817"/>
      <c r="D40" s="818"/>
      <c r="E40" s="819"/>
      <c r="F40" s="820"/>
      <c r="G40" s="821"/>
      <c r="H40" s="823"/>
      <c r="I40" s="823"/>
      <c r="J40" s="798">
        <f t="shared" si="0"/>
        <v>0</v>
      </c>
      <c r="K40" s="837"/>
      <c r="L40" s="838"/>
      <c r="M40" s="1061"/>
      <c r="N40" s="1062"/>
      <c r="O40" s="779"/>
      <c r="Q40" s="785"/>
      <c r="R40" s="786"/>
      <c r="S40" s="786"/>
      <c r="T40" s="786"/>
      <c r="U40" s="786"/>
      <c r="V40" s="786"/>
      <c r="W40" s="786"/>
      <c r="X40" s="786"/>
      <c r="Y40" s="786"/>
      <c r="Z40" s="786"/>
      <c r="AA40" s="786"/>
      <c r="AB40" s="786"/>
      <c r="AC40" s="786"/>
      <c r="AD40" s="787"/>
    </row>
    <row r="41" spans="2:30" s="780" customFormat="1" ht="22.9" customHeight="1">
      <c r="B41" s="777"/>
      <c r="C41" s="817"/>
      <c r="D41" s="818"/>
      <c r="E41" s="819"/>
      <c r="F41" s="820"/>
      <c r="G41" s="821"/>
      <c r="H41" s="823"/>
      <c r="I41" s="823"/>
      <c r="J41" s="798">
        <f t="shared" si="0"/>
        <v>0</v>
      </c>
      <c r="K41" s="837"/>
      <c r="L41" s="838"/>
      <c r="M41" s="1061"/>
      <c r="N41" s="1062"/>
      <c r="O41" s="779"/>
      <c r="Q41" s="785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7"/>
    </row>
    <row r="42" spans="2:30" s="780" customFormat="1" ht="22.9" customHeight="1">
      <c r="B42" s="777"/>
      <c r="C42" s="817"/>
      <c r="D42" s="818"/>
      <c r="E42" s="819"/>
      <c r="F42" s="820"/>
      <c r="G42" s="821"/>
      <c r="H42" s="823"/>
      <c r="I42" s="823"/>
      <c r="J42" s="798">
        <f t="shared" si="0"/>
        <v>0</v>
      </c>
      <c r="K42" s="837"/>
      <c r="L42" s="838"/>
      <c r="M42" s="1061"/>
      <c r="N42" s="1062"/>
      <c r="O42" s="779"/>
      <c r="Q42" s="785"/>
      <c r="R42" s="786"/>
      <c r="S42" s="786"/>
      <c r="T42" s="786"/>
      <c r="U42" s="786"/>
      <c r="V42" s="786"/>
      <c r="W42" s="786"/>
      <c r="X42" s="786"/>
      <c r="Y42" s="786"/>
      <c r="Z42" s="786"/>
      <c r="AA42" s="786"/>
      <c r="AB42" s="786"/>
      <c r="AC42" s="786"/>
      <c r="AD42" s="787"/>
    </row>
    <row r="43" spans="2:30" s="780" customFormat="1" ht="22.9" customHeight="1" thickBot="1">
      <c r="B43" s="777"/>
      <c r="C43" s="824"/>
      <c r="D43" s="825"/>
      <c r="E43" s="825"/>
      <c r="F43" s="826"/>
      <c r="G43" s="827"/>
      <c r="H43" s="881"/>
      <c r="I43" s="881"/>
      <c r="J43" s="799">
        <f t="shared" si="0"/>
        <v>0</v>
      </c>
      <c r="K43" s="839"/>
      <c r="L43" s="840"/>
      <c r="M43" s="1067"/>
      <c r="N43" s="1068"/>
      <c r="O43" s="779"/>
      <c r="Q43" s="793"/>
      <c r="R43" s="794"/>
      <c r="S43" s="794"/>
      <c r="T43" s="794"/>
      <c r="U43" s="794"/>
      <c r="V43" s="794"/>
      <c r="W43" s="794"/>
      <c r="X43" s="794"/>
      <c r="Y43" s="794"/>
      <c r="Z43" s="794"/>
      <c r="AA43" s="794"/>
      <c r="AB43" s="794"/>
      <c r="AC43" s="794"/>
      <c r="AD43" s="795"/>
    </row>
    <row r="44" spans="2:30" s="780" customFormat="1" ht="22.9" customHeight="1" thickBot="1">
      <c r="B44" s="777"/>
      <c r="C44" s="800" t="s">
        <v>331</v>
      </c>
      <c r="D44" s="801">
        <f>SUM(D14:D43)</f>
        <v>1</v>
      </c>
      <c r="E44" s="802"/>
      <c r="F44" s="803"/>
      <c r="G44" s="804"/>
      <c r="H44" s="828"/>
      <c r="I44" s="828"/>
      <c r="J44" s="805">
        <f>SUM(J14:J43)</f>
        <v>601.01210000000003</v>
      </c>
      <c r="K44" s="828"/>
      <c r="L44" s="806">
        <f>K44*D44</f>
        <v>0</v>
      </c>
      <c r="M44" s="778"/>
      <c r="N44" s="778"/>
      <c r="O44" s="779"/>
      <c r="Q44" s="793"/>
      <c r="R44" s="794"/>
      <c r="S44" s="794"/>
      <c r="T44" s="794"/>
      <c r="U44" s="794"/>
      <c r="V44" s="794"/>
      <c r="W44" s="794"/>
      <c r="X44" s="794"/>
      <c r="Y44" s="794"/>
      <c r="Z44" s="794"/>
      <c r="AA44" s="794"/>
      <c r="AB44" s="794"/>
      <c r="AC44" s="794"/>
      <c r="AD44" s="795"/>
    </row>
    <row r="45" spans="2:30" s="780" customFormat="1" ht="22.9" customHeight="1">
      <c r="B45" s="777"/>
      <c r="C45" s="784"/>
      <c r="D45" s="784"/>
      <c r="E45" s="784"/>
      <c r="F45" s="784"/>
      <c r="G45" s="784"/>
      <c r="H45" s="778"/>
      <c r="I45" s="778"/>
      <c r="J45" s="778"/>
      <c r="K45" s="778"/>
      <c r="L45" s="778"/>
      <c r="M45" s="778"/>
      <c r="N45" s="778"/>
      <c r="O45" s="779"/>
      <c r="Q45" s="793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5"/>
    </row>
    <row r="46" spans="2:30" ht="22.9" customHeight="1">
      <c r="B46" s="738"/>
      <c r="C46" s="697" t="s">
        <v>354</v>
      </c>
      <c r="D46" s="627"/>
      <c r="E46" s="627"/>
      <c r="F46" s="627"/>
      <c r="G46" s="627"/>
      <c r="H46" s="733"/>
      <c r="I46" s="733"/>
      <c r="J46" s="733"/>
      <c r="K46" s="733"/>
      <c r="L46" s="733"/>
      <c r="M46" s="733"/>
      <c r="N46" s="733"/>
      <c r="O46" s="740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38"/>
      <c r="C47" s="767" t="s">
        <v>707</v>
      </c>
      <c r="D47" s="627"/>
      <c r="E47" s="627"/>
      <c r="F47" s="627"/>
      <c r="G47" s="627"/>
      <c r="H47" s="733"/>
      <c r="I47" s="733"/>
      <c r="J47" s="733"/>
      <c r="K47" s="733"/>
      <c r="L47" s="733"/>
      <c r="M47" s="733"/>
      <c r="N47" s="733"/>
      <c r="O47" s="740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38"/>
      <c r="C48" s="767" t="s">
        <v>710</v>
      </c>
      <c r="D48" s="627"/>
      <c r="E48" s="627"/>
      <c r="F48" s="627"/>
      <c r="G48" s="627"/>
      <c r="H48" s="733"/>
      <c r="I48" s="733"/>
      <c r="J48" s="627">
        <f>ejercicio-2</f>
        <v>2016</v>
      </c>
      <c r="K48" s="733" t="s">
        <v>709</v>
      </c>
      <c r="L48" s="733"/>
      <c r="M48" s="733"/>
      <c r="N48" s="733"/>
      <c r="O48" s="740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68"/>
      <c r="C49" s="1055"/>
      <c r="D49" s="1055"/>
      <c r="E49" s="1055"/>
      <c r="F49" s="1055"/>
      <c r="G49" s="1055"/>
      <c r="H49" s="769"/>
      <c r="I49" s="769"/>
      <c r="J49" s="769"/>
      <c r="K49" s="769"/>
      <c r="L49" s="769"/>
      <c r="M49" s="769"/>
      <c r="N49" s="769"/>
      <c r="O49" s="770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3"/>
      <c r="D50" s="733"/>
      <c r="E50" s="733"/>
      <c r="F50" s="733"/>
      <c r="G50" s="733"/>
      <c r="H50" s="733"/>
      <c r="I50" s="733"/>
      <c r="J50" s="733"/>
      <c r="K50" s="733"/>
      <c r="L50" s="733"/>
      <c r="M50" s="733"/>
      <c r="N50" s="733"/>
    </row>
    <row r="51" spans="2:30" ht="12.75">
      <c r="C51" s="771" t="s">
        <v>77</v>
      </c>
      <c r="D51" s="733"/>
      <c r="E51" s="733"/>
      <c r="F51" s="733"/>
      <c r="G51" s="733"/>
      <c r="H51" s="733"/>
      <c r="I51" s="733"/>
      <c r="J51" s="733"/>
      <c r="K51" s="733"/>
      <c r="L51" s="733"/>
      <c r="M51" s="733"/>
      <c r="N51" s="704" t="s">
        <v>718</v>
      </c>
    </row>
    <row r="52" spans="2:30" ht="12.75">
      <c r="C52" s="772" t="s">
        <v>78</v>
      </c>
      <c r="D52" s="733"/>
      <c r="E52" s="733"/>
      <c r="F52" s="733"/>
      <c r="G52" s="733"/>
      <c r="H52" s="733"/>
      <c r="I52" s="733"/>
      <c r="J52" s="733"/>
      <c r="K52" s="733"/>
      <c r="L52" s="733"/>
      <c r="M52" s="733"/>
      <c r="N52" s="733"/>
    </row>
    <row r="53" spans="2:30" ht="12.75">
      <c r="C53" s="772" t="s">
        <v>79</v>
      </c>
      <c r="D53" s="733"/>
      <c r="E53" s="733"/>
      <c r="F53" s="733"/>
      <c r="G53" s="733"/>
      <c r="H53" s="733"/>
      <c r="I53" s="733"/>
      <c r="J53" s="733"/>
      <c r="K53" s="733"/>
      <c r="L53" s="733"/>
      <c r="M53" s="733"/>
      <c r="N53" s="733"/>
    </row>
    <row r="54" spans="2:30" ht="12.75">
      <c r="C54" s="772" t="s">
        <v>80</v>
      </c>
      <c r="D54" s="733"/>
      <c r="E54" s="733"/>
      <c r="F54" s="733"/>
      <c r="G54" s="733"/>
      <c r="H54" s="733"/>
      <c r="I54" s="733"/>
      <c r="J54" s="733"/>
      <c r="K54" s="733"/>
      <c r="L54" s="733"/>
      <c r="M54" s="733"/>
      <c r="N54" s="733"/>
    </row>
    <row r="55" spans="2:30" ht="12.75">
      <c r="C55" s="772" t="s">
        <v>81</v>
      </c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</row>
    <row r="56" spans="2:30" ht="22.9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</row>
    <row r="57" spans="2:30" ht="22.9" customHeight="1">
      <c r="C57" s="733"/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</row>
    <row r="58" spans="2:30" ht="22.9" customHeight="1">
      <c r="C58" s="733"/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</row>
    <row r="59" spans="2:30" ht="22.9" customHeight="1">
      <c r="C59" s="733"/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</row>
    <row r="60" spans="2:30" ht="22.9" customHeight="1">
      <c r="G60" s="733"/>
      <c r="H60" s="733"/>
      <c r="I60" s="733"/>
      <c r="J60" s="733"/>
      <c r="K60" s="733"/>
      <c r="L60" s="733"/>
      <c r="M60" s="733"/>
      <c r="N60" s="733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8" zoomScaleNormal="78" zoomScalePageLayoutView="78" workbookViewId="0">
      <selection activeCell="S30" sqref="S30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6384" width="10.55468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CULTESA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678</v>
      </c>
      <c r="E16" s="125">
        <f>SUM(E17:E19)</f>
        <v>1536322.79</v>
      </c>
      <c r="F16" s="125">
        <f>SUM(F17:F19)</f>
        <v>1505026.02</v>
      </c>
      <c r="G16" s="125">
        <f>SUM(G17:G19)</f>
        <v>1468677.5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3">
        <v>1536322.79</v>
      </c>
      <c r="F17" s="443">
        <v>1505026.02</v>
      </c>
      <c r="G17" s="443">
        <v>1468677.5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4"/>
      <c r="F18" s="444"/>
      <c r="G18" s="444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5">
        <v>18402.849999999999</v>
      </c>
      <c r="F20" s="445">
        <v>56919.1</v>
      </c>
      <c r="G20" s="445">
        <v>0</v>
      </c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-419793.65</v>
      </c>
      <c r="F22" s="125">
        <f t="shared" ref="F22:G22" si="0">SUM(F23:F26)</f>
        <v>-386169.23</v>
      </c>
      <c r="G22" s="125">
        <f t="shared" si="0"/>
        <v>-388149.02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4">
        <v>-99984.85</v>
      </c>
      <c r="F24" s="444">
        <v>-101443.69</v>
      </c>
      <c r="G24" s="444">
        <v>-82420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4">
        <v>-319808.8</v>
      </c>
      <c r="F25" s="444">
        <v>-284725.53999999998</v>
      </c>
      <c r="G25" s="444">
        <v>-305729.02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681</v>
      </c>
      <c r="E27" s="125">
        <f>SUM(E28:E29)</f>
        <v>38930.11</v>
      </c>
      <c r="F27" s="125">
        <f t="shared" ref="F27:G27" si="1">SUM(F28:F29)</f>
        <v>41574.5</v>
      </c>
      <c r="G27" s="125">
        <f t="shared" si="1"/>
        <v>62891.28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3">
        <v>2670</v>
      </c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4">
        <v>36260.11</v>
      </c>
      <c r="F29" s="444">
        <v>41574.5</v>
      </c>
      <c r="G29" s="444">
        <v>62891.28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-665937.30999999994</v>
      </c>
      <c r="F30" s="125">
        <f t="shared" ref="F30:G30" si="2">SUM(F31:F33)</f>
        <v>-666969.58000000007</v>
      </c>
      <c r="G30" s="125">
        <f t="shared" si="2"/>
        <v>-661507.94999999995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3">
        <f>-551761.22-18508.81</f>
        <v>-570270.03</v>
      </c>
      <c r="F31" s="443">
        <f>-562048.78-18808.88</f>
        <v>-580857.66</v>
      </c>
      <c r="G31" s="443">
        <f>-588974.26-19164</f>
        <v>-608138.26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4">
        <f>-76984-1985.83</f>
        <v>-78969.83</v>
      </c>
      <c r="F32" s="444">
        <f>-72733.82-4734.34</f>
        <v>-77468.160000000003</v>
      </c>
      <c r="G32" s="444">
        <f>-73971.38-4112.85</f>
        <v>-78084.23000000001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4">
        <v>-16697.45</v>
      </c>
      <c r="F33" s="444">
        <v>-8643.76</v>
      </c>
      <c r="G33" s="444">
        <v>24714.54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-316074.39</v>
      </c>
      <c r="F34" s="125">
        <f t="shared" ref="F34:G34" si="3">SUM(F35:F39)</f>
        <v>-353270.51</v>
      </c>
      <c r="G34" s="125">
        <f t="shared" si="3"/>
        <v>-275387.83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3">
        <v>-315224.90000000002</v>
      </c>
      <c r="F35" s="443">
        <v>-351997.83</v>
      </c>
      <c r="G35" s="443">
        <v>-274267.83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4">
        <v>-849.49</v>
      </c>
      <c r="F36" s="444">
        <v>-1272.68</v>
      </c>
      <c r="G36" s="444">
        <v>-1120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5">
        <v>-148071.89000000001</v>
      </c>
      <c r="F40" s="445">
        <v>-182258.41</v>
      </c>
      <c r="G40" s="445">
        <v>-198902.9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5">
        <v>1000</v>
      </c>
      <c r="F41" s="445">
        <v>1200</v>
      </c>
      <c r="G41" s="445">
        <v>2504.11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-74.239999999999995</v>
      </c>
      <c r="F43" s="125">
        <f t="shared" ref="F43:G43" si="4">SUM(F44:F46)</f>
        <v>-6253.64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3">
        <v>-74.239999999999995</v>
      </c>
      <c r="F44" s="443">
        <v>-6253.64</v>
      </c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682</v>
      </c>
      <c r="E48" s="445">
        <v>-1852.56</v>
      </c>
      <c r="F48" s="445">
        <v>126.89</v>
      </c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42851.710000000363</v>
      </c>
      <c r="F49" s="364">
        <f t="shared" ref="F49:G49" si="5">F16+F20+F21+F22+F27+F30+F34+F40+F41+F42+F43+F47+F48</f>
        <v>9925.1400000000431</v>
      </c>
      <c r="G49" s="364">
        <f t="shared" si="5"/>
        <v>10125.190000000046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124.36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124.36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19"/>
      <c r="F53" s="719"/>
      <c r="G53" s="719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19">
        <v>124.36</v>
      </c>
      <c r="F54" s="719"/>
      <c r="G54" s="719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0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19"/>
      <c r="F56" s="719"/>
      <c r="G56" s="719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19"/>
      <c r="F57" s="719"/>
      <c r="G57" s="719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-1749.53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6">
        <v>-1749.53</v>
      </c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-1625.17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41226.540000000365</v>
      </c>
      <c r="F76" s="367">
        <f t="shared" ref="F76:G76" si="14">F74+F49</f>
        <v>9925.1400000000431</v>
      </c>
      <c r="G76" s="367">
        <f t="shared" si="14"/>
        <v>10125.190000000046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41226.540000000365</v>
      </c>
      <c r="F79" s="367">
        <f t="shared" ref="F79:G79" si="15">F76+F77</f>
        <v>9925.1400000000431</v>
      </c>
      <c r="G79" s="367">
        <f t="shared" si="15"/>
        <v>10125.190000000046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41226.540000000365</v>
      </c>
      <c r="F84" s="129">
        <f t="shared" ref="F84:G84" si="16">F79+F82</f>
        <v>9925.1400000000431</v>
      </c>
      <c r="G84" s="129">
        <f t="shared" si="16"/>
        <v>10125.190000000046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69"/>
      <c r="D86" s="1069"/>
      <c r="E86" s="1069"/>
      <c r="F86" s="1069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4" zoomScaleNormal="54" zoomScalePageLayoutView="54" workbookViewId="0">
      <selection activeCell="W15" sqref="W15:W16"/>
    </sheetView>
  </sheetViews>
  <sheetFormatPr baseColWidth="10" defaultColWidth="10.5546875" defaultRowHeight="22.9" customHeight="1"/>
  <cols>
    <col min="1" max="2" width="3.21875" style="618" customWidth="1"/>
    <col min="3" max="3" width="13.5546875" style="618" customWidth="1"/>
    <col min="4" max="4" width="42.44140625" style="618" customWidth="1"/>
    <col min="5" max="6" width="15.5546875" style="620" customWidth="1"/>
    <col min="7" max="7" width="31" style="620" customWidth="1"/>
    <col min="8" max="8" width="15.5546875" style="620" customWidth="1"/>
    <col min="9" max="9" width="16.5546875" style="620" customWidth="1"/>
    <col min="10" max="10" width="30.5546875" style="620" customWidth="1"/>
    <col min="11" max="12" width="15.5546875" style="620" customWidth="1"/>
    <col min="13" max="13" width="27.21875" style="620" customWidth="1"/>
    <col min="14" max="14" width="3.44140625" style="618" customWidth="1"/>
    <col min="15" max="16384" width="10.5546875" style="618"/>
  </cols>
  <sheetData>
    <row r="2" spans="2:29" ht="22.9" customHeight="1">
      <c r="D2" s="619" t="s">
        <v>321</v>
      </c>
    </row>
    <row r="3" spans="2:29" ht="22.9" customHeight="1">
      <c r="D3" s="619" t="s">
        <v>322</v>
      </c>
    </row>
    <row r="4" spans="2:29" ht="22.9" customHeight="1" thickBot="1"/>
    <row r="5" spans="2:29" ht="9" customHeight="1">
      <c r="B5" s="621"/>
      <c r="C5" s="622"/>
      <c r="D5" s="622"/>
      <c r="E5" s="623"/>
      <c r="F5" s="623"/>
      <c r="G5" s="623"/>
      <c r="H5" s="623"/>
      <c r="I5" s="623"/>
      <c r="J5" s="623"/>
      <c r="K5" s="623"/>
      <c r="L5" s="623"/>
      <c r="M5" s="623"/>
      <c r="N5" s="624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5"/>
      <c r="C6" s="626" t="s">
        <v>0</v>
      </c>
      <c r="D6" s="627"/>
      <c r="E6" s="628"/>
      <c r="F6" s="628"/>
      <c r="G6" s="628"/>
      <c r="H6" s="628"/>
      <c r="I6" s="628"/>
      <c r="J6" s="628"/>
      <c r="K6" s="628"/>
      <c r="L6" s="628"/>
      <c r="M6" s="1054">
        <f>ejercicio</f>
        <v>2018</v>
      </c>
      <c r="N6" s="62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5"/>
      <c r="C7" s="626" t="s">
        <v>1</v>
      </c>
      <c r="D7" s="627"/>
      <c r="E7" s="628"/>
      <c r="F7" s="628"/>
      <c r="G7" s="628"/>
      <c r="H7" s="628"/>
      <c r="I7" s="628"/>
      <c r="J7" s="628"/>
      <c r="K7" s="628"/>
      <c r="L7" s="628"/>
      <c r="M7" s="1054"/>
      <c r="N7" s="630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5"/>
      <c r="C8" s="631"/>
      <c r="D8" s="627"/>
      <c r="E8" s="628"/>
      <c r="F8" s="628"/>
      <c r="G8" s="628"/>
      <c r="H8" s="628"/>
      <c r="I8" s="628"/>
      <c r="J8" s="628"/>
      <c r="K8" s="628"/>
      <c r="L8" s="628"/>
      <c r="M8" s="628"/>
      <c r="N8" s="630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4" customFormat="1" ht="30" customHeight="1">
      <c r="B9" s="632"/>
      <c r="C9" s="633" t="s">
        <v>2</v>
      </c>
      <c r="D9" s="1056" t="str">
        <f>Entidad</f>
        <v>CULTESA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630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5"/>
      <c r="C10" s="627"/>
      <c r="D10" s="627"/>
      <c r="E10" s="628"/>
      <c r="F10" s="628"/>
      <c r="G10" s="628"/>
      <c r="H10" s="628"/>
      <c r="I10" s="628"/>
      <c r="J10" s="628"/>
      <c r="K10" s="628"/>
      <c r="L10" s="628"/>
      <c r="M10" s="628"/>
      <c r="N10" s="630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8" customFormat="1" ht="30" customHeight="1">
      <c r="B11" s="635"/>
      <c r="C11" s="636" t="s">
        <v>594</v>
      </c>
      <c r="D11" s="636"/>
      <c r="E11" s="637"/>
      <c r="F11" s="637"/>
      <c r="G11" s="637"/>
      <c r="H11" s="637"/>
      <c r="I11" s="637"/>
      <c r="J11" s="637"/>
      <c r="K11" s="637"/>
      <c r="L11" s="637"/>
      <c r="M11" s="637"/>
      <c r="N11" s="630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8" customFormat="1" ht="30" customHeight="1">
      <c r="B12" s="635"/>
      <c r="C12" s="1077"/>
      <c r="D12" s="1077"/>
      <c r="E12" s="639"/>
      <c r="F12" s="639"/>
      <c r="G12" s="639"/>
      <c r="H12" s="639"/>
      <c r="I12" s="639"/>
      <c r="J12" s="639"/>
      <c r="K12" s="639"/>
      <c r="L12" s="639"/>
      <c r="M12" s="639"/>
      <c r="N12" s="630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8" customFormat="1" ht="30" customHeight="1">
      <c r="B13" s="635"/>
      <c r="D13" s="640"/>
      <c r="E13" s="639"/>
      <c r="F13" s="639"/>
      <c r="G13" s="639"/>
      <c r="H13" s="639"/>
      <c r="I13" s="639"/>
      <c r="J13" s="639"/>
      <c r="K13" s="639"/>
      <c r="L13" s="639"/>
      <c r="M13" s="639"/>
      <c r="N13" s="630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8" customFormat="1" ht="22.9" customHeight="1">
      <c r="B14" s="641"/>
      <c r="C14" s="642"/>
      <c r="D14" s="643"/>
      <c r="E14" s="644"/>
      <c r="F14" s="645" t="s">
        <v>183</v>
      </c>
      <c r="G14" s="646">
        <f>ejercicio-2</f>
        <v>2016</v>
      </c>
      <c r="H14" s="644"/>
      <c r="I14" s="647" t="s">
        <v>184</v>
      </c>
      <c r="J14" s="646">
        <f>ejercicio-1</f>
        <v>2017</v>
      </c>
      <c r="K14" s="644"/>
      <c r="L14" s="645" t="s">
        <v>185</v>
      </c>
      <c r="M14" s="646">
        <f>ejercicio</f>
        <v>2018</v>
      </c>
      <c r="N14" s="630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3" customFormat="1" ht="22.9" customHeight="1">
      <c r="B15" s="649"/>
      <c r="C15" s="650" t="s">
        <v>611</v>
      </c>
      <c r="D15" s="651"/>
      <c r="E15" s="652" t="s">
        <v>595</v>
      </c>
      <c r="F15" s="652" t="s">
        <v>596</v>
      </c>
      <c r="G15" s="652" t="s">
        <v>523</v>
      </c>
      <c r="H15" s="652" t="s">
        <v>595</v>
      </c>
      <c r="I15" s="652" t="s">
        <v>596</v>
      </c>
      <c r="J15" s="652" t="s">
        <v>523</v>
      </c>
      <c r="K15" s="652" t="s">
        <v>595</v>
      </c>
      <c r="L15" s="652" t="s">
        <v>596</v>
      </c>
      <c r="M15" s="652" t="s">
        <v>523</v>
      </c>
      <c r="N15" s="630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0" customFormat="1" ht="22.9" customHeight="1">
      <c r="B16" s="654"/>
      <c r="C16" s="655" t="s">
        <v>597</v>
      </c>
      <c r="D16" s="656"/>
      <c r="E16" s="657">
        <f>SUM(E17:E18)</f>
        <v>4189.5600000000004</v>
      </c>
      <c r="F16" s="657">
        <f>SUM(F17:F18)</f>
        <v>23.08</v>
      </c>
      <c r="G16" s="658"/>
      <c r="H16" s="657">
        <f>SUM(H17:H18)</f>
        <v>988.52</v>
      </c>
      <c r="I16" s="657">
        <f>SUM(I17:I18)</f>
        <v>29.95</v>
      </c>
      <c r="J16" s="658"/>
      <c r="K16" s="657">
        <f>SUM(K17:K18)</f>
        <v>0</v>
      </c>
      <c r="L16" s="657">
        <f>SUM(L17:L18)</f>
        <v>0</v>
      </c>
      <c r="M16" s="659"/>
      <c r="N16" s="630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0" customFormat="1" ht="19.899999999999999" customHeight="1">
      <c r="B17" s="654"/>
      <c r="C17" s="882"/>
      <c r="D17" s="883" t="s">
        <v>598</v>
      </c>
      <c r="E17" s="472">
        <v>4189.5600000000004</v>
      </c>
      <c r="F17" s="472">
        <v>23.08</v>
      </c>
      <c r="G17" s="884"/>
      <c r="H17" s="472">
        <v>988.52</v>
      </c>
      <c r="I17" s="472">
        <v>29.95</v>
      </c>
      <c r="J17" s="884"/>
      <c r="K17" s="472"/>
      <c r="L17" s="472"/>
      <c r="M17" s="885"/>
      <c r="N17" s="695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0" customFormat="1" ht="19.899999999999999" customHeight="1">
      <c r="B18" s="654"/>
      <c r="C18" s="886"/>
      <c r="D18" s="887" t="s">
        <v>599</v>
      </c>
      <c r="E18" s="480"/>
      <c r="F18" s="480"/>
      <c r="G18" s="888"/>
      <c r="H18" s="480"/>
      <c r="I18" s="480"/>
      <c r="J18" s="888"/>
      <c r="K18" s="480"/>
      <c r="L18" s="480"/>
      <c r="M18" s="889"/>
      <c r="N18" s="695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0" customFormat="1" ht="22.9" customHeight="1">
      <c r="B19" s="654"/>
      <c r="C19" s="655" t="s">
        <v>600</v>
      </c>
      <c r="D19" s="656"/>
      <c r="E19" s="657">
        <f>+E20+E25</f>
        <v>0</v>
      </c>
      <c r="F19" s="657">
        <f>+F20+F25</f>
        <v>0</v>
      </c>
      <c r="G19" s="658"/>
      <c r="H19" s="657">
        <f>+H20+H25</f>
        <v>0</v>
      </c>
      <c r="I19" s="657">
        <f>+I20+I25</f>
        <v>0</v>
      </c>
      <c r="J19" s="658"/>
      <c r="K19" s="657">
        <f>+K20+K25</f>
        <v>0</v>
      </c>
      <c r="L19" s="657">
        <f>+L20+L25</f>
        <v>0</v>
      </c>
      <c r="M19" s="659"/>
      <c r="N19" s="630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0" customFormat="1" ht="19.899999999999999" customHeight="1">
      <c r="B20" s="654"/>
      <c r="C20" s="882"/>
      <c r="D20" s="883" t="s">
        <v>765</v>
      </c>
      <c r="E20" s="890">
        <f>SUM(E21:E24)</f>
        <v>0</v>
      </c>
      <c r="F20" s="890">
        <f>SUM(F21:F24)</f>
        <v>0</v>
      </c>
      <c r="G20" s="891"/>
      <c r="H20" s="890">
        <f>SUM(H21:H24)</f>
        <v>0</v>
      </c>
      <c r="I20" s="890">
        <f>SUM(I21:I24)</f>
        <v>0</v>
      </c>
      <c r="J20" s="891"/>
      <c r="K20" s="890">
        <f>SUM(K21:K24)</f>
        <v>0</v>
      </c>
      <c r="L20" s="890">
        <f>SUM(L21:L24)</f>
        <v>0</v>
      </c>
      <c r="M20" s="892"/>
      <c r="N20" s="695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3" customFormat="1" ht="19.899999999999999" customHeight="1">
      <c r="B21" s="632"/>
      <c r="C21" s="559"/>
      <c r="D21" s="560"/>
      <c r="E21" s="505"/>
      <c r="F21" s="505"/>
      <c r="G21" s="548"/>
      <c r="H21" s="505"/>
      <c r="I21" s="505"/>
      <c r="J21" s="548"/>
      <c r="K21" s="505"/>
      <c r="L21" s="505"/>
      <c r="M21" s="515"/>
      <c r="N21" s="630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3" customFormat="1" ht="19.899999999999999" customHeight="1">
      <c r="B22" s="632"/>
      <c r="C22" s="559"/>
      <c r="D22" s="560"/>
      <c r="E22" s="505"/>
      <c r="F22" s="505"/>
      <c r="G22" s="548"/>
      <c r="H22" s="505"/>
      <c r="I22" s="505"/>
      <c r="J22" s="548"/>
      <c r="K22" s="505"/>
      <c r="L22" s="505"/>
      <c r="M22" s="515"/>
      <c r="N22" s="630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3" customFormat="1" ht="19.899999999999999" customHeight="1">
      <c r="B23" s="632"/>
      <c r="C23" s="559"/>
      <c r="D23" s="560"/>
      <c r="E23" s="505"/>
      <c r="F23" s="505"/>
      <c r="G23" s="548"/>
      <c r="H23" s="505"/>
      <c r="I23" s="505"/>
      <c r="J23" s="548"/>
      <c r="K23" s="505"/>
      <c r="L23" s="505"/>
      <c r="M23" s="515"/>
      <c r="N23" s="630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3" customFormat="1" ht="19.899999999999999" customHeight="1">
      <c r="B24" s="632"/>
      <c r="C24" s="559"/>
      <c r="D24" s="560"/>
      <c r="E24" s="505"/>
      <c r="F24" s="505"/>
      <c r="G24" s="548"/>
      <c r="H24" s="505"/>
      <c r="I24" s="505"/>
      <c r="J24" s="548"/>
      <c r="K24" s="505"/>
      <c r="L24" s="505"/>
      <c r="M24" s="515"/>
      <c r="N24" s="630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0" customFormat="1" ht="19.899999999999999" customHeight="1">
      <c r="B25" s="654"/>
      <c r="C25" s="893"/>
      <c r="D25" s="894" t="s">
        <v>766</v>
      </c>
      <c r="E25" s="895">
        <f>SUM(E26:E29)</f>
        <v>0</v>
      </c>
      <c r="F25" s="895">
        <f>SUM(F26:F29)</f>
        <v>0</v>
      </c>
      <c r="G25" s="896"/>
      <c r="H25" s="895">
        <f>SUM(H26:H29)</f>
        <v>0</v>
      </c>
      <c r="I25" s="895">
        <f>SUM(I26:I29)</f>
        <v>0</v>
      </c>
      <c r="J25" s="896"/>
      <c r="K25" s="895">
        <f>SUM(K26:K29)</f>
        <v>0</v>
      </c>
      <c r="L25" s="895">
        <f>SUM(L26:L29)</f>
        <v>0</v>
      </c>
      <c r="M25" s="897"/>
      <c r="N25" s="695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3" customFormat="1" ht="19.899999999999999" customHeight="1">
      <c r="B26" s="632"/>
      <c r="C26" s="559"/>
      <c r="D26" s="560"/>
      <c r="E26" s="505"/>
      <c r="F26" s="505"/>
      <c r="G26" s="548"/>
      <c r="H26" s="505"/>
      <c r="I26" s="505"/>
      <c r="J26" s="548"/>
      <c r="K26" s="505"/>
      <c r="L26" s="505"/>
      <c r="M26" s="515"/>
      <c r="N26" s="630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3" customFormat="1" ht="19.899999999999999" customHeight="1">
      <c r="B27" s="632"/>
      <c r="C27" s="559"/>
      <c r="D27" s="560"/>
      <c r="E27" s="505"/>
      <c r="F27" s="505"/>
      <c r="G27" s="548"/>
      <c r="H27" s="505"/>
      <c r="I27" s="505"/>
      <c r="J27" s="548"/>
      <c r="K27" s="505"/>
      <c r="L27" s="505"/>
      <c r="M27" s="515"/>
      <c r="N27" s="630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3" customFormat="1" ht="19.899999999999999" customHeight="1">
      <c r="B28" s="632"/>
      <c r="C28" s="559"/>
      <c r="D28" s="560"/>
      <c r="E28" s="505"/>
      <c r="F28" s="505"/>
      <c r="G28" s="548"/>
      <c r="H28" s="505"/>
      <c r="I28" s="505"/>
      <c r="J28" s="548"/>
      <c r="K28" s="505"/>
      <c r="L28" s="505"/>
      <c r="M28" s="515"/>
      <c r="N28" s="630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3" customFormat="1" ht="19.899999999999999" customHeight="1">
      <c r="B29" s="632"/>
      <c r="C29" s="561"/>
      <c r="D29" s="562"/>
      <c r="E29" s="507"/>
      <c r="F29" s="507"/>
      <c r="G29" s="527"/>
      <c r="H29" s="507"/>
      <c r="I29" s="507"/>
      <c r="J29" s="527"/>
      <c r="K29" s="507"/>
      <c r="L29" s="507"/>
      <c r="M29" s="516"/>
      <c r="N29" s="630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0" customFormat="1" ht="22.9" customHeight="1">
      <c r="B30" s="654"/>
      <c r="C30" s="655" t="s">
        <v>601</v>
      </c>
      <c r="D30" s="656"/>
      <c r="E30" s="657">
        <f>+E31+E40</f>
        <v>1532133.23</v>
      </c>
      <c r="F30" s="657">
        <f>+F31+F40</f>
        <v>40685.96</v>
      </c>
      <c r="G30" s="658"/>
      <c r="H30" s="657">
        <f>+H31+H40</f>
        <v>1504037.5</v>
      </c>
      <c r="I30" s="657">
        <f>+I31+I40</f>
        <v>39324.53</v>
      </c>
      <c r="J30" s="658"/>
      <c r="K30" s="657">
        <f>+K31+K40</f>
        <v>1468677.5</v>
      </c>
      <c r="L30" s="657">
        <f>+L31+L40</f>
        <v>40244.33</v>
      </c>
      <c r="M30" s="659"/>
      <c r="N30" s="630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4" customFormat="1" ht="19.149999999999999" customHeight="1">
      <c r="B31" s="667"/>
      <c r="C31" s="668" t="s">
        <v>602</v>
      </c>
      <c r="D31" s="669"/>
      <c r="E31" s="670">
        <f>E32+E36</f>
        <v>2871.76</v>
      </c>
      <c r="F31" s="670">
        <f>F32+F36</f>
        <v>86.15</v>
      </c>
      <c r="G31" s="671"/>
      <c r="H31" s="670">
        <f>H32+H36</f>
        <v>1308.44</v>
      </c>
      <c r="I31" s="670">
        <f>I32+I36</f>
        <v>39.25</v>
      </c>
      <c r="J31" s="671"/>
      <c r="K31" s="670">
        <f>K32+K36</f>
        <v>0</v>
      </c>
      <c r="L31" s="670">
        <f>L32+L36</f>
        <v>0</v>
      </c>
      <c r="M31" s="672"/>
      <c r="N31" s="673"/>
      <c r="P31" s="612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4"/>
    </row>
    <row r="32" spans="2:29" s="660" customFormat="1" ht="19.149999999999999" customHeight="1">
      <c r="B32" s="654"/>
      <c r="C32" s="882"/>
      <c r="D32" s="883" t="s">
        <v>767</v>
      </c>
      <c r="E32" s="890">
        <f>SUM(E33:E35)</f>
        <v>2871.76</v>
      </c>
      <c r="F32" s="890">
        <f>SUM(F33:F35)</f>
        <v>86.15</v>
      </c>
      <c r="G32" s="891"/>
      <c r="H32" s="890">
        <f>SUM(H33:H35)</f>
        <v>1308.44</v>
      </c>
      <c r="I32" s="890">
        <f>SUM(I33:I35)</f>
        <v>39.25</v>
      </c>
      <c r="J32" s="891"/>
      <c r="K32" s="890">
        <f>SUM(K33:K35)</f>
        <v>0</v>
      </c>
      <c r="L32" s="890">
        <f>SUM(L33:L35)</f>
        <v>0</v>
      </c>
      <c r="M32" s="892"/>
      <c r="N32" s="695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3" customFormat="1" ht="19.149999999999999" customHeight="1">
      <c r="B33" s="632"/>
      <c r="C33" s="557"/>
      <c r="D33" s="1014" t="s">
        <v>814</v>
      </c>
      <c r="E33" s="502">
        <v>1241.48</v>
      </c>
      <c r="F33" s="502">
        <v>37.24</v>
      </c>
      <c r="G33" s="546"/>
      <c r="H33" s="502">
        <v>1244.44</v>
      </c>
      <c r="I33" s="502">
        <v>37.33</v>
      </c>
      <c r="J33" s="546"/>
      <c r="K33" s="502"/>
      <c r="L33" s="502"/>
      <c r="M33" s="547"/>
      <c r="N33" s="630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3" customFormat="1" ht="19.149999999999999" customHeight="1">
      <c r="B34" s="632"/>
      <c r="C34" s="557"/>
      <c r="D34" s="1014" t="s">
        <v>815</v>
      </c>
      <c r="E34" s="502">
        <v>1630.28</v>
      </c>
      <c r="F34" s="502">
        <v>48.91</v>
      </c>
      <c r="G34" s="546"/>
      <c r="H34" s="502"/>
      <c r="I34" s="502"/>
      <c r="J34" s="546"/>
      <c r="K34" s="502"/>
      <c r="L34" s="502"/>
      <c r="M34" s="547"/>
      <c r="N34" s="630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3" customFormat="1" ht="19.149999999999999" customHeight="1">
      <c r="B35" s="632"/>
      <c r="C35" s="557"/>
      <c r="D35" s="1014" t="s">
        <v>819</v>
      </c>
      <c r="E35" s="502"/>
      <c r="F35" s="502"/>
      <c r="G35" s="546"/>
      <c r="H35" s="502">
        <v>64</v>
      </c>
      <c r="I35" s="1017">
        <v>1.92</v>
      </c>
      <c r="J35" s="546"/>
      <c r="K35" s="502"/>
      <c r="L35" s="502"/>
      <c r="M35" s="547"/>
      <c r="N35" s="630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0" customFormat="1" ht="19.149999999999999" customHeight="1">
      <c r="B36" s="654"/>
      <c r="C36" s="882"/>
      <c r="D36" s="883" t="s">
        <v>768</v>
      </c>
      <c r="E36" s="890">
        <f>SUM(E37:E39)</f>
        <v>0</v>
      </c>
      <c r="F36" s="890">
        <f>SUM(F37:F39)</f>
        <v>0</v>
      </c>
      <c r="G36" s="891"/>
      <c r="H36" s="890">
        <f>SUM(H37:H39)</f>
        <v>0</v>
      </c>
      <c r="I36" s="890">
        <f>SUM(I37:I39)</f>
        <v>0</v>
      </c>
      <c r="J36" s="891"/>
      <c r="K36" s="890">
        <f>SUM(K37:K39)</f>
        <v>0</v>
      </c>
      <c r="L36" s="890">
        <f>SUM(L37:L39)</f>
        <v>0</v>
      </c>
      <c r="M36" s="892"/>
      <c r="N36" s="695"/>
      <c r="P36" s="898"/>
      <c r="Q36" s="899"/>
      <c r="R36" s="899"/>
      <c r="S36" s="899"/>
      <c r="T36" s="899"/>
      <c r="U36" s="899"/>
      <c r="V36" s="899"/>
      <c r="W36" s="899"/>
      <c r="X36" s="899"/>
      <c r="Y36" s="899"/>
      <c r="Z36" s="899"/>
      <c r="AA36" s="899"/>
      <c r="AB36" s="899"/>
      <c r="AC36" s="900"/>
    </row>
    <row r="37" spans="2:29" s="663" customFormat="1" ht="19.149999999999999" customHeight="1">
      <c r="B37" s="632"/>
      <c r="C37" s="557"/>
      <c r="D37" s="558"/>
      <c r="E37" s="502"/>
      <c r="F37" s="502"/>
      <c r="G37" s="546"/>
      <c r="H37" s="502"/>
      <c r="I37" s="502"/>
      <c r="J37" s="546"/>
      <c r="K37" s="502"/>
      <c r="L37" s="502"/>
      <c r="M37" s="547"/>
      <c r="N37" s="630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3" customFormat="1" ht="19.149999999999999" customHeight="1">
      <c r="B38" s="632"/>
      <c r="C38" s="557"/>
      <c r="D38" s="558"/>
      <c r="E38" s="502"/>
      <c r="F38" s="502"/>
      <c r="G38" s="546"/>
      <c r="H38" s="502"/>
      <c r="I38" s="502"/>
      <c r="J38" s="546"/>
      <c r="K38" s="502"/>
      <c r="L38" s="502"/>
      <c r="M38" s="547"/>
      <c r="N38" s="630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3" customFormat="1" ht="19.149999999999999" customHeight="1">
      <c r="B39" s="632"/>
      <c r="C39" s="557"/>
      <c r="D39" s="558"/>
      <c r="E39" s="502"/>
      <c r="F39" s="502"/>
      <c r="G39" s="546"/>
      <c r="H39" s="502"/>
      <c r="I39" s="502"/>
      <c r="J39" s="546"/>
      <c r="K39" s="502"/>
      <c r="L39" s="502"/>
      <c r="M39" s="547"/>
      <c r="N39" s="630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4" customFormat="1" ht="19.149999999999999" customHeight="1">
      <c r="B40" s="667"/>
      <c r="C40" s="668" t="s">
        <v>603</v>
      </c>
      <c r="D40" s="669"/>
      <c r="E40" s="670">
        <f>+E41+E42</f>
        <v>1529261.47</v>
      </c>
      <c r="F40" s="670">
        <f>+F41+F42</f>
        <v>40599.81</v>
      </c>
      <c r="G40" s="671"/>
      <c r="H40" s="670">
        <f>+H41+H42</f>
        <v>1502729.06</v>
      </c>
      <c r="I40" s="670">
        <f>+I41+I42</f>
        <v>39285.279999999999</v>
      </c>
      <c r="J40" s="671"/>
      <c r="K40" s="670">
        <f>+K41+K42</f>
        <v>1468677.5</v>
      </c>
      <c r="L40" s="670">
        <f>+L41+L42</f>
        <v>40244.33</v>
      </c>
      <c r="M40" s="672"/>
      <c r="N40" s="673"/>
      <c r="P40" s="615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7"/>
    </row>
    <row r="41" spans="2:29" s="660" customFormat="1" ht="19.149999999999999" customHeight="1">
      <c r="B41" s="654"/>
      <c r="C41" s="882"/>
      <c r="D41" s="883" t="s">
        <v>604</v>
      </c>
      <c r="E41" s="472">
        <f>1536322.79-4189.56-2871.76</f>
        <v>1529261.47</v>
      </c>
      <c r="F41" s="472">
        <f>40709.04-23.08-86.15</f>
        <v>40599.81</v>
      </c>
      <c r="G41" s="884"/>
      <c r="H41" s="472">
        <v>1502729.06</v>
      </c>
      <c r="I41" s="472">
        <v>39285.279999999999</v>
      </c>
      <c r="J41" s="884"/>
      <c r="K41" s="472">
        <v>1468677.5</v>
      </c>
      <c r="L41" s="472">
        <v>40244.33</v>
      </c>
      <c r="M41" s="885"/>
      <c r="N41" s="695"/>
      <c r="P41" s="898"/>
      <c r="Q41" s="899"/>
      <c r="R41" s="899"/>
      <c r="S41" s="899"/>
      <c r="T41" s="899"/>
      <c r="U41" s="899"/>
      <c r="V41" s="899"/>
      <c r="W41" s="899"/>
      <c r="X41" s="899"/>
      <c r="Y41" s="899"/>
      <c r="Z41" s="899"/>
      <c r="AA41" s="899"/>
      <c r="AB41" s="899"/>
      <c r="AC41" s="900"/>
    </row>
    <row r="42" spans="2:29" s="660" customFormat="1" ht="19.149999999999999" customHeight="1">
      <c r="B42" s="654"/>
      <c r="C42" s="901"/>
      <c r="D42" s="902" t="s">
        <v>605</v>
      </c>
      <c r="E42" s="903"/>
      <c r="F42" s="903"/>
      <c r="G42" s="904"/>
      <c r="H42" s="903"/>
      <c r="I42" s="903"/>
      <c r="J42" s="904"/>
      <c r="K42" s="903"/>
      <c r="L42" s="903"/>
      <c r="M42" s="905"/>
      <c r="N42" s="695"/>
      <c r="P42" s="898"/>
      <c r="Q42" s="899"/>
      <c r="R42" s="899"/>
      <c r="S42" s="899"/>
      <c r="T42" s="899"/>
      <c r="U42" s="899"/>
      <c r="V42" s="899"/>
      <c r="W42" s="899"/>
      <c r="X42" s="899"/>
      <c r="Y42" s="899"/>
      <c r="Z42" s="899"/>
      <c r="AA42" s="899"/>
      <c r="AB42" s="899"/>
      <c r="AC42" s="900"/>
    </row>
    <row r="43" spans="2:29" s="660" customFormat="1" ht="22.9" customHeight="1" thickBot="1">
      <c r="B43" s="654"/>
      <c r="C43" s="675" t="s">
        <v>606</v>
      </c>
      <c r="D43" s="676"/>
      <c r="E43" s="677">
        <f>E16+E19+E30</f>
        <v>1536322.79</v>
      </c>
      <c r="F43" s="677">
        <f>F16+F19+F30</f>
        <v>40709.040000000001</v>
      </c>
      <c r="G43" s="678"/>
      <c r="H43" s="677">
        <f>H16+H19+H30</f>
        <v>1505026.02</v>
      </c>
      <c r="I43" s="677">
        <f>I16+I19+I30</f>
        <v>39354.479999999996</v>
      </c>
      <c r="J43" s="678"/>
      <c r="K43" s="677">
        <f>K16+K19+K30</f>
        <v>1468677.5</v>
      </c>
      <c r="L43" s="677">
        <f>L16+L19+L30</f>
        <v>40244.33</v>
      </c>
      <c r="M43" s="679"/>
      <c r="N43" s="630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3" customFormat="1" ht="22.9" customHeight="1">
      <c r="B44" s="632"/>
      <c r="C44" s="680"/>
      <c r="D44" s="680"/>
      <c r="E44" s="681"/>
      <c r="F44" s="681"/>
      <c r="G44" s="681"/>
      <c r="H44" s="681"/>
      <c r="I44" s="681"/>
      <c r="J44" s="681"/>
      <c r="K44" s="681"/>
      <c r="L44" s="681"/>
      <c r="M44" s="681"/>
      <c r="N44" s="630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8" customFormat="1" ht="22.9" customHeight="1">
      <c r="B45" s="641"/>
      <c r="C45" s="642"/>
      <c r="D45" s="643"/>
      <c r="E45" s="682" t="s">
        <v>183</v>
      </c>
      <c r="F45" s="682" t="s">
        <v>184</v>
      </c>
      <c r="G45" s="682" t="s">
        <v>185</v>
      </c>
      <c r="H45" s="1071" t="s">
        <v>523</v>
      </c>
      <c r="I45" s="1072"/>
      <c r="J45" s="1072"/>
      <c r="K45" s="1072"/>
      <c r="L45" s="1072"/>
      <c r="M45" s="1073"/>
      <c r="N45" s="630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3" customFormat="1" ht="22.9" customHeight="1">
      <c r="B46" s="649"/>
      <c r="C46" s="650" t="s">
        <v>607</v>
      </c>
      <c r="D46" s="651"/>
      <c r="E46" s="683">
        <f>ejercicio-2</f>
        <v>2016</v>
      </c>
      <c r="F46" s="683">
        <f>ejercicio-1</f>
        <v>2017</v>
      </c>
      <c r="G46" s="683">
        <f>ejercicio</f>
        <v>2018</v>
      </c>
      <c r="H46" s="1074"/>
      <c r="I46" s="1075"/>
      <c r="J46" s="1075"/>
      <c r="K46" s="1075"/>
      <c r="L46" s="1075"/>
      <c r="M46" s="1076"/>
      <c r="N46" s="630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3" customFormat="1" ht="22.9" customHeight="1" thickBot="1">
      <c r="B47" s="632"/>
      <c r="C47" s="675" t="s">
        <v>810</v>
      </c>
      <c r="D47" s="676"/>
      <c r="E47" s="677">
        <f>SUM(E48:E54)</f>
        <v>0</v>
      </c>
      <c r="F47" s="677">
        <f>SUM(F48:F54)</f>
        <v>126.89</v>
      </c>
      <c r="G47" s="677">
        <f>SUM(G48:G54)</f>
        <v>0</v>
      </c>
      <c r="H47" s="684"/>
      <c r="I47" s="685"/>
      <c r="J47" s="685"/>
      <c r="K47" s="685"/>
      <c r="L47" s="685"/>
      <c r="M47" s="686"/>
      <c r="N47" s="630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3" customFormat="1" ht="19.899999999999999" customHeight="1">
      <c r="B48" s="632"/>
      <c r="C48" s="1015" t="s">
        <v>818</v>
      </c>
      <c r="D48" s="706"/>
      <c r="E48" s="707"/>
      <c r="F48" s="707">
        <v>126.89</v>
      </c>
      <c r="G48" s="707"/>
      <c r="H48" s="708"/>
      <c r="I48" s="709"/>
      <c r="J48" s="709"/>
      <c r="K48" s="709"/>
      <c r="L48" s="709"/>
      <c r="M48" s="710"/>
      <c r="N48" s="630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3" customFormat="1" ht="19.899999999999999" customHeight="1">
      <c r="B49" s="632"/>
      <c r="C49" s="559"/>
      <c r="D49" s="560"/>
      <c r="E49" s="581"/>
      <c r="F49" s="581"/>
      <c r="G49" s="581"/>
      <c r="H49" s="535"/>
      <c r="I49" s="711"/>
      <c r="J49" s="711"/>
      <c r="K49" s="711"/>
      <c r="L49" s="711"/>
      <c r="M49" s="532"/>
      <c r="N49" s="630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3" customFormat="1" ht="19.899999999999999" customHeight="1">
      <c r="B50" s="632"/>
      <c r="C50" s="559"/>
      <c r="D50" s="560"/>
      <c r="E50" s="581"/>
      <c r="F50" s="581"/>
      <c r="G50" s="581"/>
      <c r="H50" s="535"/>
      <c r="I50" s="711"/>
      <c r="J50" s="711"/>
      <c r="K50" s="711"/>
      <c r="L50" s="711"/>
      <c r="M50" s="532"/>
      <c r="N50" s="630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3" customFormat="1" ht="19.899999999999999" customHeight="1">
      <c r="B51" s="632"/>
      <c r="C51" s="559"/>
      <c r="D51" s="560"/>
      <c r="E51" s="581"/>
      <c r="F51" s="581"/>
      <c r="G51" s="581"/>
      <c r="H51" s="535"/>
      <c r="I51" s="711"/>
      <c r="J51" s="711"/>
      <c r="K51" s="711"/>
      <c r="L51" s="711"/>
      <c r="M51" s="532"/>
      <c r="N51" s="630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3" customFormat="1" ht="19.899999999999999" customHeight="1">
      <c r="B52" s="632"/>
      <c r="C52" s="559"/>
      <c r="D52" s="560"/>
      <c r="E52" s="581"/>
      <c r="F52" s="581"/>
      <c r="G52" s="581"/>
      <c r="H52" s="535"/>
      <c r="I52" s="711"/>
      <c r="J52" s="711"/>
      <c r="K52" s="711"/>
      <c r="L52" s="711"/>
      <c r="M52" s="532"/>
      <c r="N52" s="630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3" customFormat="1" ht="19.899999999999999" customHeight="1">
      <c r="B53" s="632"/>
      <c r="C53" s="559"/>
      <c r="D53" s="560"/>
      <c r="E53" s="581"/>
      <c r="F53" s="581"/>
      <c r="G53" s="581"/>
      <c r="H53" s="535"/>
      <c r="I53" s="711"/>
      <c r="J53" s="711"/>
      <c r="K53" s="711"/>
      <c r="L53" s="711"/>
      <c r="M53" s="532"/>
      <c r="N53" s="630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3" customFormat="1" ht="19.899999999999999" customHeight="1">
      <c r="B54" s="632"/>
      <c r="C54" s="561"/>
      <c r="D54" s="562"/>
      <c r="E54" s="582"/>
      <c r="F54" s="582"/>
      <c r="G54" s="582"/>
      <c r="H54" s="533"/>
      <c r="I54" s="526"/>
      <c r="J54" s="526"/>
      <c r="K54" s="526"/>
      <c r="L54" s="526"/>
      <c r="M54" s="534"/>
      <c r="N54" s="630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3" customFormat="1" ht="22.9" customHeight="1" thickBot="1">
      <c r="B55" s="632"/>
      <c r="C55" s="675" t="s">
        <v>811</v>
      </c>
      <c r="D55" s="676"/>
      <c r="E55" s="677">
        <f>SUM(E56:E62)</f>
        <v>-1852.5600000000002</v>
      </c>
      <c r="F55" s="677">
        <f>SUM(F56:F62)</f>
        <v>0</v>
      </c>
      <c r="G55" s="677">
        <f>SUM(G56:G62)</f>
        <v>0</v>
      </c>
      <c r="H55" s="684"/>
      <c r="I55" s="685"/>
      <c r="J55" s="685"/>
      <c r="K55" s="685"/>
      <c r="L55" s="685"/>
      <c r="M55" s="686"/>
      <c r="N55" s="630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3" customFormat="1" ht="19.899999999999999" customHeight="1">
      <c r="B56" s="632"/>
      <c r="C56" s="1015" t="s">
        <v>816</v>
      </c>
      <c r="D56" s="706"/>
      <c r="E56" s="707">
        <v>-1482.9</v>
      </c>
      <c r="F56" s="707"/>
      <c r="G56" s="707"/>
      <c r="H56" s="708"/>
      <c r="I56" s="709"/>
      <c r="J56" s="709"/>
      <c r="K56" s="709"/>
      <c r="L56" s="709"/>
      <c r="M56" s="710"/>
      <c r="N56" s="630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3" customFormat="1" ht="19.899999999999999" customHeight="1">
      <c r="B57" s="632"/>
      <c r="C57" s="1016" t="s">
        <v>817</v>
      </c>
      <c r="D57" s="560"/>
      <c r="E57" s="581">
        <v>-369.66</v>
      </c>
      <c r="F57" s="581"/>
      <c r="G57" s="581"/>
      <c r="H57" s="535"/>
      <c r="I57" s="711"/>
      <c r="J57" s="711"/>
      <c r="K57" s="711"/>
      <c r="L57" s="711"/>
      <c r="M57" s="532"/>
      <c r="N57" s="630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3" customFormat="1" ht="19.899999999999999" customHeight="1">
      <c r="B58" s="632"/>
      <c r="C58" s="559"/>
      <c r="D58" s="560"/>
      <c r="E58" s="581"/>
      <c r="F58" s="581"/>
      <c r="G58" s="581"/>
      <c r="H58" s="535"/>
      <c r="I58" s="711"/>
      <c r="J58" s="711"/>
      <c r="K58" s="711"/>
      <c r="L58" s="711"/>
      <c r="M58" s="532"/>
      <c r="N58" s="630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3" customFormat="1" ht="19.899999999999999" customHeight="1">
      <c r="B59" s="632"/>
      <c r="C59" s="559"/>
      <c r="D59" s="560"/>
      <c r="E59" s="581"/>
      <c r="F59" s="581"/>
      <c r="G59" s="581"/>
      <c r="H59" s="535"/>
      <c r="I59" s="711"/>
      <c r="J59" s="711"/>
      <c r="K59" s="711"/>
      <c r="L59" s="711"/>
      <c r="M59" s="532"/>
      <c r="N59" s="630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3" customFormat="1" ht="19.899999999999999" customHeight="1">
      <c r="B60" s="632"/>
      <c r="C60" s="559"/>
      <c r="D60" s="560"/>
      <c r="E60" s="581"/>
      <c r="F60" s="581"/>
      <c r="G60" s="581"/>
      <c r="H60" s="535"/>
      <c r="I60" s="711"/>
      <c r="J60" s="711"/>
      <c r="K60" s="711"/>
      <c r="L60" s="711"/>
      <c r="M60" s="532"/>
      <c r="N60" s="630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3" customFormat="1" ht="19.899999999999999" customHeight="1">
      <c r="B61" s="632"/>
      <c r="C61" s="559"/>
      <c r="D61" s="560"/>
      <c r="E61" s="581"/>
      <c r="F61" s="581"/>
      <c r="G61" s="581"/>
      <c r="H61" s="535"/>
      <c r="I61" s="711"/>
      <c r="J61" s="711"/>
      <c r="K61" s="711"/>
      <c r="L61" s="711"/>
      <c r="M61" s="532"/>
      <c r="N61" s="630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3" customFormat="1" ht="19.899999999999999" customHeight="1">
      <c r="B62" s="632"/>
      <c r="C62" s="561"/>
      <c r="D62" s="562"/>
      <c r="E62" s="582"/>
      <c r="F62" s="582"/>
      <c r="G62" s="582"/>
      <c r="H62" s="533"/>
      <c r="I62" s="526"/>
      <c r="J62" s="526"/>
      <c r="K62" s="526"/>
      <c r="L62" s="526"/>
      <c r="M62" s="534"/>
      <c r="N62" s="630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3" customFormat="1" ht="22.9" customHeight="1">
      <c r="B63" s="632"/>
      <c r="C63" s="680"/>
      <c r="D63" s="680"/>
      <c r="E63" s="681"/>
      <c r="F63" s="681"/>
      <c r="G63" s="681"/>
      <c r="H63" s="681"/>
      <c r="I63" s="681"/>
      <c r="J63" s="681"/>
      <c r="K63" s="681"/>
      <c r="L63" s="681"/>
      <c r="M63" s="681"/>
      <c r="N63" s="630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3" customFormat="1" ht="22.9" customHeight="1">
      <c r="B64" s="632"/>
      <c r="C64" s="642"/>
      <c r="D64" s="643"/>
      <c r="E64" s="682" t="s">
        <v>183</v>
      </c>
      <c r="F64" s="682" t="s">
        <v>184</v>
      </c>
      <c r="G64" s="682" t="s">
        <v>185</v>
      </c>
      <c r="H64" s="1071" t="s">
        <v>523</v>
      </c>
      <c r="I64" s="1072"/>
      <c r="J64" s="1072"/>
      <c r="K64" s="1072"/>
      <c r="L64" s="1072"/>
      <c r="M64" s="1073"/>
      <c r="N64" s="630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3" customFormat="1" ht="22.9" customHeight="1">
      <c r="B65" s="632"/>
      <c r="C65" s="650" t="s">
        <v>608</v>
      </c>
      <c r="D65" s="651"/>
      <c r="E65" s="683">
        <f>ejercicio-2</f>
        <v>2016</v>
      </c>
      <c r="F65" s="683">
        <f>ejercicio-1</f>
        <v>2017</v>
      </c>
      <c r="G65" s="683">
        <f>ejercicio</f>
        <v>2018</v>
      </c>
      <c r="H65" s="1074"/>
      <c r="I65" s="1075"/>
      <c r="J65" s="1075"/>
      <c r="K65" s="1075"/>
      <c r="L65" s="1075"/>
      <c r="M65" s="1076"/>
      <c r="N65" s="630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3" customFormat="1" ht="22.9" customHeight="1">
      <c r="B66" s="632"/>
      <c r="C66" s="661" t="s">
        <v>609</v>
      </c>
      <c r="D66" s="662"/>
      <c r="E66" s="502">
        <v>42.75</v>
      </c>
      <c r="F66" s="502">
        <v>0</v>
      </c>
      <c r="G66" s="906">
        <v>0</v>
      </c>
      <c r="H66" s="712"/>
      <c r="I66" s="713"/>
      <c r="J66" s="713"/>
      <c r="K66" s="713"/>
      <c r="L66" s="713"/>
      <c r="M66" s="503"/>
      <c r="N66" s="630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3" customFormat="1" ht="22.9" customHeight="1">
      <c r="B67" s="632"/>
      <c r="C67" s="664" t="s">
        <v>610</v>
      </c>
      <c r="D67" s="665"/>
      <c r="E67" s="507">
        <v>-42.75</v>
      </c>
      <c r="F67" s="507">
        <v>0</v>
      </c>
      <c r="G67" s="582">
        <v>0</v>
      </c>
      <c r="H67" s="533"/>
      <c r="I67" s="526"/>
      <c r="J67" s="526"/>
      <c r="K67" s="526"/>
      <c r="L67" s="526"/>
      <c r="M67" s="534"/>
      <c r="N67" s="630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3" customFormat="1" ht="22.9" customHeight="1">
      <c r="B68" s="632"/>
      <c r="C68" s="680"/>
      <c r="D68" s="680"/>
      <c r="E68" s="681"/>
      <c r="F68" s="681"/>
      <c r="G68" s="681"/>
      <c r="H68" s="681"/>
      <c r="I68" s="681"/>
      <c r="J68" s="681"/>
      <c r="K68" s="681"/>
      <c r="L68" s="681"/>
      <c r="M68" s="681"/>
      <c r="N68" s="630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3" customFormat="1" ht="22.9" customHeight="1">
      <c r="B69" s="632"/>
      <c r="C69" s="642"/>
      <c r="D69" s="643"/>
      <c r="E69" s="682" t="s">
        <v>183</v>
      </c>
      <c r="F69" s="682" t="s">
        <v>184</v>
      </c>
      <c r="G69" s="682" t="s">
        <v>185</v>
      </c>
      <c r="H69" s="1071" t="s">
        <v>523</v>
      </c>
      <c r="I69" s="1072"/>
      <c r="J69" s="1072"/>
      <c r="K69" s="1072"/>
      <c r="L69" s="1072"/>
      <c r="M69" s="1073"/>
      <c r="N69" s="630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3" customFormat="1" ht="22.9" customHeight="1">
      <c r="B70" s="632"/>
      <c r="C70" s="650" t="s">
        <v>646</v>
      </c>
      <c r="D70" s="651"/>
      <c r="E70" s="683">
        <f>ejercicio-2</f>
        <v>2016</v>
      </c>
      <c r="F70" s="683">
        <f>ejercicio-1</f>
        <v>2017</v>
      </c>
      <c r="G70" s="683">
        <f>ejercicio</f>
        <v>2018</v>
      </c>
      <c r="H70" s="1074"/>
      <c r="I70" s="1075"/>
      <c r="J70" s="1075"/>
      <c r="K70" s="1075"/>
      <c r="L70" s="1075"/>
      <c r="M70" s="1076"/>
      <c r="N70" s="630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3" customFormat="1" ht="22.9" customHeight="1">
      <c r="B71" s="632"/>
      <c r="C71" s="655" t="s">
        <v>647</v>
      </c>
      <c r="D71" s="656"/>
      <c r="E71" s="657">
        <f>SUM(E72:E74)</f>
        <v>2670</v>
      </c>
      <c r="F71" s="657">
        <f>SUM(F72:F74)</f>
        <v>0</v>
      </c>
      <c r="G71" s="657">
        <f>SUM(G72:G74)</f>
        <v>0</v>
      </c>
      <c r="H71" s="687"/>
      <c r="I71" s="688"/>
      <c r="J71" s="688"/>
      <c r="K71" s="688"/>
      <c r="L71" s="688"/>
      <c r="M71" s="689"/>
      <c r="N71" s="630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3" customFormat="1" ht="22.9" customHeight="1">
      <c r="B72" s="632"/>
      <c r="C72" s="690" t="s">
        <v>648</v>
      </c>
      <c r="D72" s="691"/>
      <c r="E72" s="504"/>
      <c r="F72" s="504"/>
      <c r="G72" s="504"/>
      <c r="H72" s="530"/>
      <c r="I72" s="525"/>
      <c r="J72" s="525"/>
      <c r="K72" s="525"/>
      <c r="L72" s="525"/>
      <c r="M72" s="531"/>
      <c r="N72" s="630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3" customFormat="1" ht="22.9" customHeight="1">
      <c r="B73" s="632"/>
      <c r="C73" s="692" t="s">
        <v>649</v>
      </c>
      <c r="D73" s="666"/>
      <c r="E73" s="505"/>
      <c r="F73" s="505"/>
      <c r="G73" s="505"/>
      <c r="H73" s="535"/>
      <c r="I73" s="711"/>
      <c r="J73" s="711"/>
      <c r="K73" s="711"/>
      <c r="L73" s="711"/>
      <c r="M73" s="532"/>
      <c r="N73" s="630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3" customFormat="1" ht="22.9" customHeight="1">
      <c r="B74" s="632"/>
      <c r="C74" s="693" t="s">
        <v>650</v>
      </c>
      <c r="D74" s="694"/>
      <c r="E74" s="506">
        <v>2670</v>
      </c>
      <c r="F74" s="506"/>
      <c r="G74" s="506"/>
      <c r="H74" s="714"/>
      <c r="I74" s="715"/>
      <c r="J74" s="715"/>
      <c r="K74" s="715"/>
      <c r="L74" s="715"/>
      <c r="M74" s="491"/>
      <c r="N74" s="630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0" customFormat="1" ht="22.9" customHeight="1">
      <c r="B75" s="654"/>
      <c r="C75" s="655" t="s">
        <v>656</v>
      </c>
      <c r="D75" s="656"/>
      <c r="E75" s="657">
        <f>SUM(E76:E81)</f>
        <v>36260.11</v>
      </c>
      <c r="F75" s="657">
        <f>SUM(F76:F81)</f>
        <v>41574.5</v>
      </c>
      <c r="G75" s="657">
        <f>SUM(G76:G81)</f>
        <v>62891.279999999992</v>
      </c>
      <c r="H75" s="687"/>
      <c r="I75" s="688"/>
      <c r="J75" s="688"/>
      <c r="K75" s="688"/>
      <c r="L75" s="688"/>
      <c r="M75" s="689"/>
      <c r="N75" s="695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3" customFormat="1" ht="22.9" customHeight="1">
      <c r="B76" s="632"/>
      <c r="C76" s="690" t="s">
        <v>651</v>
      </c>
      <c r="D76" s="691"/>
      <c r="E76" s="579"/>
      <c r="F76" s="579"/>
      <c r="G76" s="579"/>
      <c r="H76" s="530"/>
      <c r="I76" s="525"/>
      <c r="J76" s="525"/>
      <c r="K76" s="525"/>
      <c r="L76" s="525"/>
      <c r="M76" s="531"/>
      <c r="N76" s="630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3" customFormat="1" ht="22.9" customHeight="1">
      <c r="B77" s="632"/>
      <c r="C77" s="692" t="s">
        <v>652</v>
      </c>
      <c r="D77" s="666"/>
      <c r="E77" s="581">
        <v>23770.93</v>
      </c>
      <c r="F77" s="581">
        <f>26228.18+2857.14</f>
        <v>29085.32</v>
      </c>
      <c r="G77" s="581">
        <v>24213.1</v>
      </c>
      <c r="H77" s="535"/>
      <c r="I77" s="711"/>
      <c r="J77" s="711"/>
      <c r="K77" s="711"/>
      <c r="L77" s="711"/>
      <c r="M77" s="532"/>
      <c r="N77" s="630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3" customFormat="1" ht="22.9" customHeight="1">
      <c r="B78" s="632"/>
      <c r="C78" s="692" t="s">
        <v>653</v>
      </c>
      <c r="D78" s="666"/>
      <c r="E78" s="581"/>
      <c r="F78" s="581"/>
      <c r="G78" s="581"/>
      <c r="H78" s="535"/>
      <c r="I78" s="711"/>
      <c r="J78" s="711"/>
      <c r="K78" s="711"/>
      <c r="L78" s="711"/>
      <c r="M78" s="532"/>
      <c r="N78" s="630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3" customFormat="1" ht="22.9" customHeight="1">
      <c r="B79" s="632"/>
      <c r="C79" s="692" t="s">
        <v>654</v>
      </c>
      <c r="D79" s="666"/>
      <c r="E79" s="581">
        <v>12489.18</v>
      </c>
      <c r="F79" s="581">
        <v>12489.18</v>
      </c>
      <c r="G79" s="581">
        <f>8460.34+4028.84+60000-38811+5000</f>
        <v>38678.179999999993</v>
      </c>
      <c r="H79" s="535"/>
      <c r="I79" s="711"/>
      <c r="J79" s="711"/>
      <c r="K79" s="711"/>
      <c r="L79" s="711"/>
      <c r="M79" s="532"/>
      <c r="N79" s="630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3" customFormat="1" ht="22.9" customHeight="1">
      <c r="B80" s="632"/>
      <c r="C80" s="696" t="s">
        <v>676</v>
      </c>
      <c r="D80" s="666"/>
      <c r="E80" s="581"/>
      <c r="F80" s="581"/>
      <c r="G80" s="581"/>
      <c r="H80" s="535"/>
      <c r="I80" s="711"/>
      <c r="J80" s="711"/>
      <c r="K80" s="711"/>
      <c r="L80" s="711"/>
      <c r="M80" s="532"/>
      <c r="N80" s="630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3" customFormat="1" ht="22.9" customHeight="1">
      <c r="B81" s="632"/>
      <c r="C81" s="664" t="s">
        <v>655</v>
      </c>
      <c r="D81" s="665"/>
      <c r="E81" s="582"/>
      <c r="F81" s="582"/>
      <c r="G81" s="582"/>
      <c r="H81" s="533"/>
      <c r="I81" s="526"/>
      <c r="J81" s="526"/>
      <c r="K81" s="526"/>
      <c r="L81" s="526"/>
      <c r="M81" s="534"/>
      <c r="N81" s="630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3" customFormat="1" ht="22.9" customHeight="1">
      <c r="B82" s="632"/>
      <c r="C82" s="680"/>
      <c r="D82" s="680"/>
      <c r="E82" s="681"/>
      <c r="F82" s="681"/>
      <c r="G82" s="681"/>
      <c r="H82" s="681"/>
      <c r="I82" s="681"/>
      <c r="J82" s="681"/>
      <c r="K82" s="681"/>
      <c r="L82" s="681"/>
      <c r="M82" s="681"/>
      <c r="N82" s="630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3" customFormat="1" ht="22.9" customHeight="1">
      <c r="B83" s="632"/>
      <c r="C83" s="1080" t="s">
        <v>712</v>
      </c>
      <c r="D83" s="1081"/>
      <c r="E83" s="1082"/>
      <c r="F83" s="847" t="s">
        <v>361</v>
      </c>
      <c r="G83" s="682" t="s">
        <v>185</v>
      </c>
      <c r="H83" s="1078" t="s">
        <v>523</v>
      </c>
      <c r="I83" s="1078"/>
      <c r="J83" s="1078"/>
      <c r="K83" s="1078"/>
      <c r="L83" s="1078"/>
      <c r="M83" s="1078"/>
      <c r="N83" s="630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3" customFormat="1" ht="43.15" customHeight="1">
      <c r="B84" s="632"/>
      <c r="C84" s="1083"/>
      <c r="D84" s="1084"/>
      <c r="E84" s="1085"/>
      <c r="F84" s="848" t="s">
        <v>713</v>
      </c>
      <c r="G84" s="683">
        <f>ejercicio</f>
        <v>2018</v>
      </c>
      <c r="H84" s="1079"/>
      <c r="I84" s="1079"/>
      <c r="J84" s="1079"/>
      <c r="K84" s="1079"/>
      <c r="L84" s="1079"/>
      <c r="M84" s="1079"/>
      <c r="N84" s="630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3" customFormat="1" ht="22.9" customHeight="1" thickBot="1">
      <c r="B85" s="632"/>
      <c r="C85" s="675" t="s">
        <v>717</v>
      </c>
      <c r="D85" s="852"/>
      <c r="E85" s="853"/>
      <c r="F85" s="677"/>
      <c r="G85" s="677">
        <f>SUM(G86:G88)</f>
        <v>0</v>
      </c>
      <c r="H85" s="684"/>
      <c r="I85" s="685"/>
      <c r="J85" s="685"/>
      <c r="K85" s="685"/>
      <c r="L85" s="685"/>
      <c r="M85" s="686"/>
      <c r="N85" s="630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3" customFormat="1" ht="22.9" customHeight="1">
      <c r="B86" s="632"/>
      <c r="C86" s="1086" t="s">
        <v>714</v>
      </c>
      <c r="D86" s="1087"/>
      <c r="E86" s="1088"/>
      <c r="F86" s="907"/>
      <c r="G86" s="504"/>
      <c r="H86" s="854"/>
      <c r="I86" s="525"/>
      <c r="J86" s="525"/>
      <c r="K86" s="525"/>
      <c r="L86" s="525"/>
      <c r="M86" s="724"/>
      <c r="N86" s="630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3" customFormat="1" ht="22.9" customHeight="1">
      <c r="B87" s="632"/>
      <c r="C87" s="849" t="s">
        <v>715</v>
      </c>
      <c r="D87" s="850"/>
      <c r="E87" s="851"/>
      <c r="F87" s="907"/>
      <c r="G87" s="504"/>
      <c r="H87" s="723"/>
      <c r="I87" s="525"/>
      <c r="J87" s="525"/>
      <c r="K87" s="525"/>
      <c r="L87" s="525"/>
      <c r="M87" s="724"/>
      <c r="N87" s="630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3" customFormat="1" ht="22.9" customHeight="1">
      <c r="B88" s="632"/>
      <c r="C88" s="1089" t="s">
        <v>716</v>
      </c>
      <c r="D88" s="1090"/>
      <c r="E88" s="1091"/>
      <c r="F88" s="908"/>
      <c r="G88" s="505"/>
      <c r="H88" s="725"/>
      <c r="I88" s="711"/>
      <c r="J88" s="711"/>
      <c r="K88" s="711"/>
      <c r="L88" s="711"/>
      <c r="M88" s="726"/>
      <c r="N88" s="630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3" customFormat="1" ht="22.9" customHeight="1">
      <c r="B89" s="632"/>
      <c r="C89" s="841"/>
      <c r="D89" s="680"/>
      <c r="E89" s="842"/>
      <c r="F89" s="842"/>
      <c r="G89" s="842"/>
      <c r="H89" s="843"/>
      <c r="I89" s="843"/>
      <c r="J89" s="843"/>
      <c r="K89" s="843"/>
      <c r="L89" s="843"/>
      <c r="M89" s="843"/>
      <c r="N89" s="630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3" customFormat="1" ht="22.9" customHeight="1">
      <c r="B90" s="632"/>
      <c r="C90" s="844" t="s">
        <v>354</v>
      </c>
      <c r="D90" s="845"/>
      <c r="E90" s="681"/>
      <c r="F90" s="681"/>
      <c r="G90" s="681"/>
      <c r="H90" s="681"/>
      <c r="I90" s="681"/>
      <c r="J90" s="681"/>
      <c r="K90" s="681"/>
      <c r="L90" s="681"/>
      <c r="M90" s="681"/>
      <c r="N90" s="630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3" customFormat="1" ht="22.9" customHeight="1">
      <c r="B91" s="632"/>
      <c r="C91" s="845" t="s">
        <v>769</v>
      </c>
      <c r="D91" s="845"/>
      <c r="E91" s="699"/>
      <c r="F91" s="699"/>
      <c r="G91" s="699"/>
      <c r="H91" s="699"/>
      <c r="I91" s="699"/>
      <c r="J91" s="699"/>
      <c r="K91" s="699"/>
      <c r="L91" s="699"/>
      <c r="M91" s="699"/>
      <c r="N91" s="630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3" customFormat="1" ht="22.9" customHeight="1">
      <c r="B92" s="632"/>
      <c r="C92" s="846" t="s">
        <v>612</v>
      </c>
      <c r="D92" s="845"/>
      <c r="E92" s="699"/>
      <c r="F92" s="699"/>
      <c r="G92" s="699"/>
      <c r="H92" s="699"/>
      <c r="I92" s="699"/>
      <c r="J92" s="699"/>
      <c r="K92" s="699"/>
      <c r="L92" s="699"/>
      <c r="M92" s="699"/>
      <c r="N92" s="630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3" customFormat="1" ht="22.9" customHeight="1">
      <c r="B93" s="632"/>
      <c r="C93" s="846" t="s">
        <v>770</v>
      </c>
      <c r="D93" s="845"/>
      <c r="E93" s="699"/>
      <c r="F93" s="699"/>
      <c r="G93" s="699"/>
      <c r="H93" s="699"/>
      <c r="I93" s="699"/>
      <c r="J93" s="699"/>
      <c r="K93" s="699"/>
      <c r="L93" s="699"/>
      <c r="M93" s="699"/>
      <c r="N93" s="630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" customHeight="1" thickBot="1">
      <c r="B94" s="700"/>
      <c r="C94" s="1055"/>
      <c r="D94" s="1055"/>
      <c r="E94" s="1055"/>
      <c r="F94" s="1055"/>
      <c r="G94" s="701"/>
      <c r="H94" s="701"/>
      <c r="I94" s="701"/>
      <c r="J94" s="701"/>
      <c r="K94" s="701"/>
      <c r="L94" s="701"/>
      <c r="M94" s="701"/>
      <c r="N94" s="702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" customHeight="1">
      <c r="C95" s="627"/>
      <c r="D95" s="627"/>
      <c r="E95" s="628"/>
      <c r="F95" s="628"/>
      <c r="G95" s="628"/>
      <c r="H95" s="628"/>
      <c r="I95" s="628"/>
      <c r="J95" s="628"/>
      <c r="K95" s="628"/>
      <c r="L95" s="628"/>
      <c r="M95" s="628"/>
    </row>
    <row r="96" spans="2:29" ht="12.75">
      <c r="C96" s="703" t="s">
        <v>77</v>
      </c>
      <c r="D96" s="627"/>
      <c r="E96" s="628"/>
      <c r="F96" s="628"/>
      <c r="G96" s="628"/>
      <c r="H96" s="628"/>
      <c r="I96" s="628"/>
      <c r="J96" s="628"/>
      <c r="K96" s="628"/>
      <c r="L96" s="628"/>
      <c r="M96" s="704" t="s">
        <v>47</v>
      </c>
    </row>
    <row r="97" spans="3:13" ht="12.75">
      <c r="C97" s="705" t="s">
        <v>78</v>
      </c>
      <c r="D97" s="627"/>
      <c r="E97" s="628"/>
      <c r="F97" s="628"/>
      <c r="G97" s="628"/>
      <c r="H97" s="628"/>
      <c r="I97" s="628"/>
      <c r="J97" s="628"/>
      <c r="K97" s="628"/>
      <c r="L97" s="628"/>
      <c r="M97" s="628"/>
    </row>
    <row r="98" spans="3:13" ht="12.75">
      <c r="C98" s="705" t="s">
        <v>79</v>
      </c>
      <c r="D98" s="627"/>
      <c r="E98" s="628"/>
      <c r="F98" s="628"/>
      <c r="G98" s="628"/>
      <c r="H98" s="628"/>
      <c r="I98" s="628"/>
      <c r="J98" s="628"/>
      <c r="K98" s="628"/>
      <c r="L98" s="628"/>
      <c r="M98" s="628"/>
    </row>
    <row r="99" spans="3:13" ht="12.75">
      <c r="C99" s="705" t="s">
        <v>80</v>
      </c>
      <c r="D99" s="627"/>
      <c r="E99" s="628"/>
      <c r="F99" s="628"/>
      <c r="G99" s="628"/>
      <c r="H99" s="628"/>
      <c r="I99" s="628"/>
      <c r="J99" s="628"/>
      <c r="K99" s="628"/>
      <c r="L99" s="628"/>
      <c r="M99" s="628"/>
    </row>
    <row r="100" spans="3:13" ht="12.75">
      <c r="C100" s="705" t="s">
        <v>81</v>
      </c>
      <c r="D100" s="627"/>
      <c r="E100" s="628"/>
      <c r="F100" s="628"/>
      <c r="G100" s="628"/>
      <c r="H100" s="628"/>
      <c r="I100" s="628"/>
      <c r="J100" s="628"/>
      <c r="K100" s="628"/>
      <c r="L100" s="628"/>
      <c r="M100" s="628"/>
    </row>
    <row r="101" spans="3:13" ht="22.9" customHeight="1">
      <c r="C101" s="627"/>
      <c r="D101" s="627"/>
      <c r="E101" s="628"/>
      <c r="F101" s="628"/>
      <c r="G101" s="628"/>
      <c r="H101" s="628"/>
      <c r="I101" s="628"/>
      <c r="J101" s="628"/>
      <c r="K101" s="628"/>
      <c r="L101" s="628"/>
      <c r="M101" s="628"/>
    </row>
    <row r="102" spans="3:13" ht="22.9" customHeight="1">
      <c r="C102" s="627"/>
      <c r="D102" s="627"/>
      <c r="E102" s="628"/>
      <c r="F102" s="628"/>
      <c r="G102" s="628"/>
      <c r="H102" s="628"/>
      <c r="I102" s="628"/>
      <c r="J102" s="628"/>
      <c r="K102" s="628"/>
      <c r="L102" s="628"/>
      <c r="M102" s="628"/>
    </row>
    <row r="103" spans="3:13" ht="22.9" customHeight="1">
      <c r="C103" s="627"/>
      <c r="D103" s="627"/>
      <c r="E103" s="628"/>
      <c r="F103" s="628"/>
      <c r="G103" s="628"/>
      <c r="H103" s="628"/>
      <c r="I103" s="628"/>
      <c r="J103" s="628"/>
      <c r="K103" s="628"/>
      <c r="L103" s="628"/>
      <c r="M103" s="628"/>
    </row>
    <row r="104" spans="3:13" ht="22.9" customHeight="1">
      <c r="C104" s="627"/>
      <c r="D104" s="627"/>
      <c r="E104" s="628"/>
      <c r="F104" s="628"/>
      <c r="G104" s="628"/>
      <c r="H104" s="628"/>
      <c r="I104" s="628"/>
      <c r="J104" s="628"/>
      <c r="K104" s="628"/>
      <c r="L104" s="628"/>
      <c r="M104" s="628"/>
    </row>
    <row r="105" spans="3:13" ht="22.9" customHeight="1">
      <c r="F105" s="628"/>
      <c r="G105" s="628"/>
      <c r="H105" s="628"/>
      <c r="I105" s="628"/>
      <c r="J105" s="628"/>
      <c r="K105" s="628"/>
      <c r="L105" s="628"/>
      <c r="M105" s="628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82" zoomScaleNormal="82" zoomScalePageLayoutView="82" workbookViewId="0">
      <selection activeCell="P14" sqref="P14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6384" width="10.55468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CULTESA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783809.30999999994</v>
      </c>
      <c r="F16" s="332">
        <f>F17+F26+F30+F33+F40+F47+F48</f>
        <v>899970.36</v>
      </c>
      <c r="G16" s="346">
        <f>G17+G26+G30+G33+G40+G47+G48</f>
        <v>751067.46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44583.709999999992</v>
      </c>
      <c r="F17" s="333">
        <f>SUM(F18:F25)</f>
        <v>23193.000000000004</v>
      </c>
      <c r="G17" s="348">
        <f>SUM(G18:G25)</f>
        <v>2215.73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7">
        <v>39382.629999999997</v>
      </c>
      <c r="F18" s="448">
        <v>19691.330000000002</v>
      </c>
      <c r="G18" s="449">
        <v>0.03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50">
        <v>2864.77</v>
      </c>
      <c r="F20" s="451">
        <v>2404.83</v>
      </c>
      <c r="G20" s="452">
        <v>1944.89</v>
      </c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50">
        <v>2336.31</v>
      </c>
      <c r="F22" s="451">
        <v>1096.8399999999999</v>
      </c>
      <c r="G22" s="452">
        <v>270.81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738475.6</v>
      </c>
      <c r="F26" s="333">
        <f>SUM(F27:F29)</f>
        <v>876027.36</v>
      </c>
      <c r="G26" s="348">
        <f>SUM(G27:G29)</f>
        <v>748101.73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50">
        <v>732175.6</v>
      </c>
      <c r="F28" s="451">
        <v>876027.36</v>
      </c>
      <c r="G28" s="452">
        <v>748101.73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50">
        <v>6300</v>
      </c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750</v>
      </c>
      <c r="F40" s="333">
        <f>SUM(F41:F46)</f>
        <v>750</v>
      </c>
      <c r="G40" s="348">
        <f>SUM(G41:G46)</f>
        <v>750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50">
        <v>750</v>
      </c>
      <c r="F46" s="451">
        <v>750</v>
      </c>
      <c r="G46" s="452">
        <v>750</v>
      </c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1176029.0299999998</v>
      </c>
      <c r="F50" s="332">
        <f>F51+F52+F65+F75+F82+F89+F90</f>
        <v>1035223.7</v>
      </c>
      <c r="G50" s="346">
        <f>G51+G52+G65+G75+G82+G89+G90</f>
        <v>1201116.1399999999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534117.6</v>
      </c>
      <c r="F52" s="333">
        <f t="shared" ref="F52:G52" si="0">F53+F54+F57+F60+F63+F64</f>
        <v>590986.68999999994</v>
      </c>
      <c r="G52" s="348">
        <f t="shared" si="0"/>
        <v>590986.68999999994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6"/>
      <c r="F55" s="717"/>
      <c r="G55" s="718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6"/>
      <c r="F56" s="717"/>
      <c r="G56" s="718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534067.6</v>
      </c>
      <c r="F57" s="334">
        <f t="shared" ref="F57:G57" si="2">F58+F59</f>
        <v>590986.68999999994</v>
      </c>
      <c r="G57" s="351">
        <f t="shared" si="2"/>
        <v>590986.68999999994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6"/>
      <c r="F58" s="717"/>
      <c r="G58" s="718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6">
        <v>534067.6</v>
      </c>
      <c r="F59" s="717">
        <v>590986.68999999994</v>
      </c>
      <c r="G59" s="718">
        <v>590986.68999999994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6"/>
      <c r="F61" s="717"/>
      <c r="G61" s="718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6"/>
      <c r="F62" s="717"/>
      <c r="G62" s="718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50">
        <v>50</v>
      </c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34046.36</v>
      </c>
      <c r="F65" s="333">
        <f t="shared" ref="F65:G65" si="4">F66+SUM(F69:F74)</f>
        <v>37522.06</v>
      </c>
      <c r="G65" s="348">
        <f t="shared" si="4"/>
        <v>97637.87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21597.55</v>
      </c>
      <c r="F66" s="334">
        <f t="shared" ref="F66:G66" si="5">F67+F68</f>
        <v>27256.73</v>
      </c>
      <c r="G66" s="351">
        <f t="shared" si="5"/>
        <v>43610.77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6"/>
      <c r="F67" s="717"/>
      <c r="G67" s="718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6">
        <v>21597.55</v>
      </c>
      <c r="F68" s="717">
        <v>27256.73</v>
      </c>
      <c r="G68" s="718">
        <v>43610.77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50">
        <v>271.27999999999997</v>
      </c>
      <c r="F70" s="451">
        <v>3</v>
      </c>
      <c r="G70" s="452">
        <v>3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50">
        <v>1633.02</v>
      </c>
      <c r="F71" s="451">
        <v>1250</v>
      </c>
      <c r="G71" s="452">
        <v>500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50">
        <v>223.5</v>
      </c>
      <c r="F72" s="451">
        <v>0</v>
      </c>
      <c r="G72" s="452">
        <v>0</v>
      </c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50">
        <v>10321.01</v>
      </c>
      <c r="F73" s="451">
        <v>9012.33</v>
      </c>
      <c r="G73" s="452">
        <v>53524.1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3"/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607865.06999999995</v>
      </c>
      <c r="F90" s="333">
        <f t="shared" ref="F90:G90" si="8">SUM(F91:F92)</f>
        <v>406714.95</v>
      </c>
      <c r="G90" s="348">
        <f t="shared" si="8"/>
        <v>512491.58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50"/>
      <c r="F91" s="451"/>
      <c r="G91" s="452"/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6">
        <v>607865.06999999995</v>
      </c>
      <c r="F92" s="457">
        <v>406714.95</v>
      </c>
      <c r="G92" s="458">
        <v>512491.58</v>
      </c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1959838.3399999999</v>
      </c>
      <c r="F94" s="336">
        <f t="shared" ref="F94:G94" si="9">F50+F16</f>
        <v>1935194.06</v>
      </c>
      <c r="G94" s="321">
        <f t="shared" si="9"/>
        <v>1952183.5999999999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69"/>
      <c r="D95" s="1069"/>
      <c r="E95" s="1069"/>
      <c r="F95" s="1069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7"/>
      <c r="F102" s="720"/>
      <c r="G102" s="720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tabSelected="1" topLeftCell="A2" zoomScale="75" zoomScaleNormal="75" zoomScalePageLayoutView="75" workbookViewId="0">
      <selection activeCell="R12" sqref="R12"/>
    </sheetView>
  </sheetViews>
  <sheetFormatPr baseColWidth="10" defaultColWidth="10.5546875" defaultRowHeight="22.9" customHeight="1"/>
  <cols>
    <col min="1" max="2" width="3.21875" style="42" customWidth="1"/>
    <col min="3" max="3" width="13.5546875" style="42" customWidth="1"/>
    <col min="4" max="4" width="76.5546875" style="42" customWidth="1"/>
    <col min="5" max="7" width="18.44140625" style="42" customWidth="1"/>
    <col min="8" max="8" width="3.44140625" style="42" customWidth="1"/>
    <col min="9" max="16384" width="10.55468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CULTESA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1743804.2200000002</v>
      </c>
      <c r="F16" s="124">
        <f>F17+F35+F41</f>
        <v>1760329.36</v>
      </c>
      <c r="G16" s="133">
        <f>G17+G35+G41</f>
        <v>1776076.47</v>
      </c>
      <c r="H16" s="50"/>
      <c r="J16" s="402"/>
      <c r="K16" s="1038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1737276.1400000001</v>
      </c>
      <c r="F17" s="125">
        <f>+F18+F21+F22+F27+F28+F31+F32+F33+F34</f>
        <v>1747201.28</v>
      </c>
      <c r="G17" s="135">
        <f>+G18+G21+G22+G27+G28+G31+G32+G33+G34</f>
        <v>1757326.47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300506.05</v>
      </c>
      <c r="F18" s="125">
        <f>SUM(F19:F20)</f>
        <v>300506.05</v>
      </c>
      <c r="G18" s="135">
        <f>SUM(G19:G20)</f>
        <v>300506.05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3">
        <v>300506.05</v>
      </c>
      <c r="F19" s="443">
        <v>300506.05</v>
      </c>
      <c r="G19" s="459">
        <v>300506.05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1376545.32</v>
      </c>
      <c r="F22" s="125">
        <f>SUM(F23:F26)</f>
        <v>1417771.86</v>
      </c>
      <c r="G22" s="135">
        <f>SUM(G23:G26)</f>
        <v>1427697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3">
        <v>66888.039999999994</v>
      </c>
      <c r="F23" s="443">
        <v>66888.039999999994</v>
      </c>
      <c r="G23" s="443">
        <v>66888.039999999994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60">
        <v>1309657.28</v>
      </c>
      <c r="F24" s="444">
        <v>1350883.82</v>
      </c>
      <c r="G24" s="460">
        <v>1360808.96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4"/>
      <c r="F30" s="444"/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5">
        <v>18998.23</v>
      </c>
      <c r="F31" s="445">
        <v>18998.23</v>
      </c>
      <c r="G31" s="445">
        <v>18998.23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61">
        <v>41226.54</v>
      </c>
      <c r="F32" s="445">
        <v>9925.14</v>
      </c>
      <c r="G32" s="461">
        <v>10125.19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61">
        <v>6528.08</v>
      </c>
      <c r="F41" s="445">
        <v>13128.08</v>
      </c>
      <c r="G41" s="461">
        <v>18750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2176.0300000000002</v>
      </c>
      <c r="F43" s="124">
        <f>F44+F49+SUM(F55:F59)</f>
        <v>4376.03</v>
      </c>
      <c r="G43" s="133">
        <f>G44+G49+SUM(G55:G59)</f>
        <v>6250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4"/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61">
        <v>2176.0300000000002</v>
      </c>
      <c r="F56" s="445">
        <v>4376.03</v>
      </c>
      <c r="G56" s="461">
        <v>6250</v>
      </c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213858.08999999997</v>
      </c>
      <c r="F61" s="124">
        <f>F62+F63+F66+F72+F73+F83+F84</f>
        <v>170488.66999999998</v>
      </c>
      <c r="G61" s="133">
        <f>G62+G63+G66+G72+G73+G83+G84</f>
        <v>169857.13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17698.02</v>
      </c>
      <c r="F66" s="125">
        <f>SUM(F67:F71)</f>
        <v>23660.49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60">
        <v>17698.02</v>
      </c>
      <c r="F71" s="444">
        <v>23660.49</v>
      </c>
      <c r="G71" s="460">
        <v>0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196160.06999999998</v>
      </c>
      <c r="F73" s="125">
        <f>F74+SUM(F77:F82)</f>
        <v>146828.18</v>
      </c>
      <c r="G73" s="135">
        <f>G74+SUM(G77:G82)</f>
        <v>131046.13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58619.85</v>
      </c>
      <c r="F74" s="127">
        <f>SUM(F75:F76)</f>
        <v>44817.73</v>
      </c>
      <c r="G74" s="138">
        <f>SUM(G75:G76)</f>
        <v>49299.5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3">
        <v>58619.85</v>
      </c>
      <c r="F76" s="462">
        <v>44817.73</v>
      </c>
      <c r="G76" s="463">
        <v>49299.5</v>
      </c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60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60">
        <v>67032.429999999993</v>
      </c>
      <c r="F78" s="444">
        <v>30981.95</v>
      </c>
      <c r="G78" s="460">
        <v>37178.339999999997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60">
        <v>39181.68</v>
      </c>
      <c r="F79" s="444">
        <v>47492.69</v>
      </c>
      <c r="G79" s="460">
        <v>23068.29</v>
      </c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4">
        <v>0</v>
      </c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4">
        <v>22666.2</v>
      </c>
      <c r="F81" s="444">
        <v>20782.830000000002</v>
      </c>
      <c r="G81" s="460">
        <v>19000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4">
        <v>8659.91</v>
      </c>
      <c r="F82" s="444">
        <v>2752.98</v>
      </c>
      <c r="G82" s="460">
        <v>2500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5"/>
      <c r="F83" s="445"/>
      <c r="G83" s="461">
        <v>38811</v>
      </c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1959838.3400000003</v>
      </c>
      <c r="F86" s="129">
        <f>F16+F43+F61</f>
        <v>1935194.06</v>
      </c>
      <c r="G86" s="144">
        <f>G16+G43+G61</f>
        <v>1952183.6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69"/>
      <c r="D87" s="1069"/>
      <c r="E87" s="1069"/>
      <c r="F87" s="1069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0" t="str">
        <f>IF(CHECK_LIST!J15&gt;0,"Revisa","")</f>
        <v/>
      </c>
      <c r="F94" s="720" t="str">
        <f>IF(CHECK_LIST!K15&gt;0,"Revisa","")</f>
        <v/>
      </c>
      <c r="G94" s="720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2017-11-24T13:00:38Z</cp:lastPrinted>
  <dcterms:created xsi:type="dcterms:W3CDTF">2017-09-18T15:25:23Z</dcterms:created>
  <dcterms:modified xsi:type="dcterms:W3CDTF">2018-01-26T09:43:16Z</dcterms:modified>
</cp:coreProperties>
</file>