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workbookPassword="CF7A" lockStructure="1"/>
  <bookViews>
    <workbookView xWindow="0" yWindow="450" windowWidth="1890" windowHeight="13050" tabRatio="991" firstSheet="2" activeTab="2"/>
  </bookViews>
  <sheets>
    <sheet name="GENERAL" sheetId="1" state="hidden" r:id="rId1"/>
    <sheet name="CHECK_LIST" sheetId="2" state="hidden" r:id="rId2"/>
    <sheet name="FC-1_ORGANOS_GOBIERNO" sheetId="3" r:id="rId3"/>
    <sheet name="FC-2_ACCIONISTAS" sheetId="4" r:id="rId4"/>
    <sheet name="FC-2_1" sheetId="5" r:id="rId5"/>
    <sheet name="FC-3_CPyG" sheetId="6" r:id="rId6"/>
    <sheet name="FC-3_1_INF_ADIC_CPyG" sheetId="7" r:id="rId7"/>
    <sheet name="FC-4_ACTIVO" sheetId="8" r:id="rId8"/>
    <sheet name="FC-4_PASIVO" sheetId="9" r:id="rId9"/>
    <sheet name="FC-5_EFE" sheetId="10" r:id="rId10"/>
    <sheet name="FC-6_Inversiones" sheetId="11" r:id="rId11"/>
    <sheet name="FC-7_INF" sheetId="12" r:id="rId12"/>
    <sheet name="FC-8_INV_FINANCIERAS" sheetId="13" r:id="rId13"/>
    <sheet name="FC-9_TRANS_SUBV" sheetId="14" r:id="rId14"/>
    <sheet name="FC-10_DEUDAS" sheetId="15" r:id="rId15"/>
    <sheet name="FC-11_DEUDA_VIVA" sheetId="16" r:id="rId16"/>
    <sheet name="FC-12_PERFIL_VTO_DEUDA" sheetId="17" r:id="rId17"/>
    <sheet name="FC-13_PERSONAL" sheetId="18" r:id="rId18"/>
    <sheet name="FC-14_OPER_INTERNAS" sheetId="19" r:id="rId19"/>
    <sheet name="FC-15_ENCOMIENDAS" sheetId="20" r:id="rId20"/>
    <sheet name="FC-16_ESTAB_PRESUP" sheetId="21" state="hidden" r:id="rId21"/>
    <sheet name="FC-17_FINANCIACIÓN" sheetId="22" r:id="rId22"/>
    <sheet name="FC-90_COMPROBACIÓN" sheetId="23" r:id="rId23"/>
    <sheet name="FC-91_PRESUPUESTO" sheetId="24" state="hidden" r:id="rId24"/>
    <sheet name="FC-92_PRESUPUESTO_PYG" sheetId="25" state="hidden" r:id="rId25"/>
  </sheets>
  <definedNames>
    <definedName name="__xlnm.Print_Area" localSheetId="1">CHECK_LIST!$B$5:$H$42</definedName>
    <definedName name="__xlnm.Print_Area" localSheetId="2">'FC-1_ORGANOS_GOBIERNO'!$B$5:$I$42</definedName>
    <definedName name="__xlnm.Print_Area" localSheetId="14">'FC-10_DEUDAS'!$B$5:$T$84</definedName>
    <definedName name="__xlnm.Print_Area" localSheetId="15">'FC-11_DEUDA_VIVA'!$B$5:$J$36</definedName>
    <definedName name="__xlnm.Print_Area" localSheetId="16">'FC-12_PERFIL_VTO_DEUDA'!$B$5:$O$24</definedName>
    <definedName name="__xlnm.Print_Area" localSheetId="17">'FC-13_PERSONAL'!$B$5:$K$65</definedName>
    <definedName name="__xlnm.Print_Area" localSheetId="18">'FC-14_OPER_INTERNAS'!$C$15:$E$56</definedName>
    <definedName name="__xlnm.Print_Area" localSheetId="19">'FC-15_ENCOMIENDAS'!$B$5:$H$35</definedName>
    <definedName name="__xlnm.Print_Area" localSheetId="20">'FC-16_ESTAB_PRESUP'!$B$5:$H$49</definedName>
    <definedName name="__xlnm.Print_Area" localSheetId="21">'FC-17_FINANCIACIÓN'!$B$5:$G$40</definedName>
    <definedName name="__xlnm.Print_Area" localSheetId="4">'FC-2_1'!$B$5:$O$49</definedName>
    <definedName name="__xlnm.Print_Area" localSheetId="3">'FC-2_ACCIONISTAS'!$C$29:$J$37</definedName>
    <definedName name="__xlnm.Print_Area" localSheetId="6">'FC-3_1_INF_ADIC_CPyG'!$B$5:$N$96</definedName>
    <definedName name="__xlnm.Print_Area" localSheetId="5">'FC-3_CPyG'!$C$6:$G$84</definedName>
    <definedName name="__xlnm.Print_Area" localSheetId="7">'FC-4_ACTIVO'!$C$13:$G$94</definedName>
    <definedName name="__xlnm.Print_Area" localSheetId="8">'FC-4_PASIVO'!$C$13:$G$86</definedName>
    <definedName name="__xlnm.Print_Area" localSheetId="9">'FC-5_EFE'!$B$5:$I$100</definedName>
    <definedName name="__xlnm.Print_Area" localSheetId="10">'FC-6_Inversiones'!$C$13:$M$47</definedName>
    <definedName name="__xlnm.Print_Area" localSheetId="11">'FC-7_INF'!$C$9:$N$33</definedName>
    <definedName name="__xlnm.Print_Area" localSheetId="12">'FC-8_INV_FINANCIERAS'!$B$5:$N$71</definedName>
    <definedName name="__xlnm.Print_Area" localSheetId="13">'FC-9_TRANS_SUBV'!$C$13:$L$65</definedName>
    <definedName name="__xlnm.Print_Area" localSheetId="22">'FC-90_COMPROBACIÓN'!$B$5:$F$75</definedName>
    <definedName name="__xlnm.Print_Area" localSheetId="23">'FC-91_PRESUPUESTO'!$B$5:$F$52</definedName>
    <definedName name="__xlnm.Print_Area" localSheetId="24">'FC-92_PRESUPUESTO_PYG'!$B$5:$F$61</definedName>
    <definedName name="__xlnm.Print_Area" localSheetId="0">GENERAL!$B$5:$N$47</definedName>
    <definedName name="_xlnm.Print_Area" localSheetId="1">CHECK_LIST!$B$5:$H$42</definedName>
    <definedName name="_xlnm.Print_Area" localSheetId="2">'FC-1_ORGANOS_GOBIERNO'!$B$1:$I$48</definedName>
    <definedName name="_xlnm.Print_Area" localSheetId="14">'FC-10_DEUDAS'!$B$1:$T$91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'FC-13_PERSONAL'!$B$1:$K$71</definedName>
    <definedName name="_xlnm.Print_Area" localSheetId="18">'FC-14_OPER_INTERNAS'!$B$1:$I$81</definedName>
    <definedName name="_xlnm.Print_Area" localSheetId="19">'FC-15_ENCOMIENDAS'!$B$1:$H$41</definedName>
    <definedName name="_xlnm.Print_Area" localSheetId="20">'FC-16_ESTAB_PRESUP'!$B$5:$H$49</definedName>
    <definedName name="_xlnm.Print_Area" localSheetId="21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'FC-3_1_INF_ADIC_CPyG'!$B$1:$N$102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'FC-5_EFE'!$B$1:$I$106</definedName>
    <definedName name="_xlnm.Print_Area" localSheetId="10">'FC-6_Inversiones'!$B$1:$S$61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'FC-9_TRANS_SUBV'!$B$1:$M$116</definedName>
    <definedName name="_xlnm.Print_Area" localSheetId="22">'FC-90_COMPROBACIÓN'!$B$1:$F$82</definedName>
    <definedName name="_xlnm.Print_Area" localSheetId="23">'FC-91_PRESUPUESTO'!$B$5:$F$52</definedName>
    <definedName name="_xlnm.Print_Area" localSheetId="24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</workbook>
</file>

<file path=xl/calcChain.xml><?xml version="1.0" encoding="utf-8"?>
<calcChain xmlns="http://schemas.openxmlformats.org/spreadsheetml/2006/main">
  <c r="H71" i="10" l="1"/>
  <c r="H48" i="10"/>
  <c r="H33" i="10"/>
  <c r="F28" i="12"/>
  <c r="G27" i="8"/>
  <c r="G56" i="9"/>
  <c r="G41" i="9"/>
  <c r="G31" i="6"/>
  <c r="G32" i="6"/>
  <c r="F51" i="18"/>
  <c r="I42" i="18"/>
  <c r="G35" i="6"/>
  <c r="G77" i="9"/>
  <c r="I55" i="14"/>
  <c r="I65" i="14" s="1"/>
  <c r="G55" i="14"/>
  <c r="D9" i="14"/>
  <c r="G6" i="2"/>
  <c r="D9" i="2"/>
  <c r="E14" i="2"/>
  <c r="F14" i="2"/>
  <c r="G14" i="2"/>
  <c r="F34" i="2"/>
  <c r="G34" i="2"/>
  <c r="H6" i="3"/>
  <c r="D9" i="3"/>
  <c r="H15" i="3"/>
  <c r="H13" i="3" s="1"/>
  <c r="S6" i="15"/>
  <c r="D9" i="15"/>
  <c r="L16" i="15"/>
  <c r="M16" i="15"/>
  <c r="N16" i="15"/>
  <c r="O16" i="15"/>
  <c r="P16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K42" i="15"/>
  <c r="L42" i="15"/>
  <c r="L74" i="15"/>
  <c r="M42" i="15"/>
  <c r="N42" i="15"/>
  <c r="O42" i="15"/>
  <c r="P42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L48" i="15"/>
  <c r="M48" i="15"/>
  <c r="N48" i="15"/>
  <c r="O48" i="15"/>
  <c r="P48" i="15"/>
  <c r="Q48" i="15"/>
  <c r="R74" i="15"/>
  <c r="S74" i="15"/>
  <c r="K74" i="15"/>
  <c r="M74" i="15"/>
  <c r="N74" i="15"/>
  <c r="O74" i="15"/>
  <c r="P74" i="15"/>
  <c r="I6" i="16"/>
  <c r="D9" i="16"/>
  <c r="F15" i="16"/>
  <c r="G15" i="16"/>
  <c r="H15" i="16"/>
  <c r="I15" i="16"/>
  <c r="F19" i="16"/>
  <c r="G19" i="16"/>
  <c r="H19" i="16"/>
  <c r="I19" i="16"/>
  <c r="F26" i="16"/>
  <c r="G26" i="16"/>
  <c r="H26" i="16"/>
  <c r="I26" i="16"/>
  <c r="F30" i="16"/>
  <c r="G30" i="16"/>
  <c r="H30" i="16"/>
  <c r="I30" i="16"/>
  <c r="N6" i="17"/>
  <c r="D9" i="17"/>
  <c r="E14" i="17"/>
  <c r="F14" i="17"/>
  <c r="G14" i="17"/>
  <c r="H14" i="17"/>
  <c r="I14" i="17"/>
  <c r="J14" i="17"/>
  <c r="K14" i="17"/>
  <c r="L14" i="17"/>
  <c r="M14" i="17"/>
  <c r="N14" i="17"/>
  <c r="E20" i="17"/>
  <c r="F20" i="17"/>
  <c r="G20" i="17"/>
  <c r="H20" i="17"/>
  <c r="I20" i="17"/>
  <c r="J20" i="17"/>
  <c r="K20" i="17"/>
  <c r="L20" i="17"/>
  <c r="M20" i="17"/>
  <c r="N20" i="17"/>
  <c r="J6" i="18"/>
  <c r="E9" i="18"/>
  <c r="C28" i="18"/>
  <c r="J39" i="18"/>
  <c r="J40" i="18"/>
  <c r="J41" i="18"/>
  <c r="J42" i="18"/>
  <c r="J43" i="18"/>
  <c r="J44" i="18"/>
  <c r="F53" i="18"/>
  <c r="E45" i="18"/>
  <c r="F30" i="18" s="1"/>
  <c r="F45" i="18"/>
  <c r="G45" i="18"/>
  <c r="H45" i="18"/>
  <c r="I45" i="18"/>
  <c r="H6" i="19"/>
  <c r="D9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E56" i="19"/>
  <c r="H56" i="19"/>
  <c r="G64" i="19"/>
  <c r="G65" i="19"/>
  <c r="G66" i="19"/>
  <c r="G67" i="19"/>
  <c r="G68" i="19"/>
  <c r="E69" i="19"/>
  <c r="H69" i="19"/>
  <c r="G6" i="20"/>
  <c r="D9" i="20"/>
  <c r="F16" i="20"/>
  <c r="E33" i="20"/>
  <c r="F33" i="20"/>
  <c r="G6" i="21"/>
  <c r="D9" i="21"/>
  <c r="E18" i="21"/>
  <c r="E22" i="21"/>
  <c r="E23" i="21"/>
  <c r="E24" i="21"/>
  <c r="E36" i="21"/>
  <c r="E37" i="21"/>
  <c r="E40" i="21"/>
  <c r="F6" i="22"/>
  <c r="D9" i="22"/>
  <c r="E25" i="22"/>
  <c r="E26" i="22"/>
  <c r="E28" i="22"/>
  <c r="N6" i="5"/>
  <c r="D9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D44" i="5"/>
  <c r="L44" i="5" s="1"/>
  <c r="J48" i="5"/>
  <c r="P6" i="4"/>
  <c r="D9" i="4"/>
  <c r="I15" i="4"/>
  <c r="O15" i="4"/>
  <c r="I31" i="4"/>
  <c r="O31" i="4"/>
  <c r="F33" i="4"/>
  <c r="F34" i="4"/>
  <c r="F35" i="4"/>
  <c r="M6" i="7"/>
  <c r="D9" i="7"/>
  <c r="G14" i="7"/>
  <c r="J14" i="7"/>
  <c r="M14" i="7"/>
  <c r="E16" i="7"/>
  <c r="F16" i="7"/>
  <c r="H16" i="7"/>
  <c r="I16" i="7"/>
  <c r="K16" i="7"/>
  <c r="L16" i="7"/>
  <c r="E20" i="7"/>
  <c r="E19" i="7" s="1"/>
  <c r="E27" i="7"/>
  <c r="F20" i="7"/>
  <c r="F27" i="7"/>
  <c r="H20" i="7"/>
  <c r="H19" i="7" s="1"/>
  <c r="I20" i="7"/>
  <c r="K20" i="7"/>
  <c r="K27" i="7"/>
  <c r="L20" i="7"/>
  <c r="L19" i="7" s="1"/>
  <c r="L27" i="7"/>
  <c r="H27" i="7"/>
  <c r="I27" i="7"/>
  <c r="E34" i="7"/>
  <c r="E38" i="7"/>
  <c r="E43" i="7"/>
  <c r="E42" i="7" s="1"/>
  <c r="F34" i="7"/>
  <c r="F33" i="7" s="1"/>
  <c r="F32" i="7" s="1"/>
  <c r="F38" i="7"/>
  <c r="F42" i="7"/>
  <c r="H34" i="7"/>
  <c r="I34" i="7"/>
  <c r="K34" i="7"/>
  <c r="K38" i="7"/>
  <c r="L34" i="7"/>
  <c r="L38" i="7"/>
  <c r="L42" i="7"/>
  <c r="H38" i="7"/>
  <c r="I38" i="7"/>
  <c r="I42" i="7"/>
  <c r="H43" i="7"/>
  <c r="H42" i="7" s="1"/>
  <c r="K43" i="7"/>
  <c r="K42" i="7" s="1"/>
  <c r="E21" i="22" s="1"/>
  <c r="E48" i="7"/>
  <c r="F48" i="7"/>
  <c r="G48" i="7"/>
  <c r="E49" i="7"/>
  <c r="E57" i="7"/>
  <c r="F49" i="7"/>
  <c r="F19" i="2" s="1"/>
  <c r="K19" i="2" s="1"/>
  <c r="F57" i="7"/>
  <c r="G49" i="7"/>
  <c r="E27" i="21"/>
  <c r="G57" i="7"/>
  <c r="E38" i="21" s="1"/>
  <c r="E67" i="7"/>
  <c r="F67" i="7"/>
  <c r="G67" i="7"/>
  <c r="E72" i="7"/>
  <c r="F72" i="7"/>
  <c r="G72" i="7"/>
  <c r="E73" i="7"/>
  <c r="E20" i="2" s="1"/>
  <c r="J20" i="2" s="1"/>
  <c r="F73" i="7"/>
  <c r="F20" i="2" s="1"/>
  <c r="K20" i="2" s="1"/>
  <c r="G73" i="7"/>
  <c r="G20" i="2"/>
  <c r="L20" i="2" s="1"/>
  <c r="E77" i="7"/>
  <c r="E21" i="2" s="1"/>
  <c r="J21" i="2" s="1"/>
  <c r="F77" i="7"/>
  <c r="F21" i="2" s="1"/>
  <c r="K21" i="2" s="1"/>
  <c r="G77" i="7"/>
  <c r="G21" i="2"/>
  <c r="L21" i="2" s="1"/>
  <c r="G86" i="7"/>
  <c r="G87" i="7"/>
  <c r="G6" i="6"/>
  <c r="D9" i="6"/>
  <c r="E14" i="6"/>
  <c r="F14" i="6"/>
  <c r="G14" i="6"/>
  <c r="E16" i="6"/>
  <c r="F16" i="6"/>
  <c r="G16" i="6"/>
  <c r="E22" i="6"/>
  <c r="F22" i="6"/>
  <c r="G22" i="6"/>
  <c r="E32" i="21" s="1"/>
  <c r="E27" i="6"/>
  <c r="E30" i="6"/>
  <c r="E34" i="6"/>
  <c r="E43" i="6"/>
  <c r="F27" i="6"/>
  <c r="G27" i="6"/>
  <c r="F30" i="6"/>
  <c r="F34" i="6"/>
  <c r="F43" i="6"/>
  <c r="G30" i="6"/>
  <c r="G34" i="6"/>
  <c r="E34" i="21" s="1"/>
  <c r="G43" i="6"/>
  <c r="G52" i="6"/>
  <c r="E26" i="21" s="1"/>
  <c r="G55" i="6"/>
  <c r="E52" i="6"/>
  <c r="E51" i="6" s="1"/>
  <c r="E55" i="6"/>
  <c r="E59" i="6"/>
  <c r="E63" i="6"/>
  <c r="E67" i="6"/>
  <c r="E70" i="6"/>
  <c r="F52" i="6"/>
  <c r="F55" i="6"/>
  <c r="F59" i="6"/>
  <c r="F63" i="6"/>
  <c r="F67" i="6"/>
  <c r="F70" i="6"/>
  <c r="G70" i="6"/>
  <c r="G59" i="6"/>
  <c r="G63" i="6"/>
  <c r="G67" i="6"/>
  <c r="G6" i="8"/>
  <c r="D9" i="8"/>
  <c r="E14" i="8"/>
  <c r="F14" i="8"/>
  <c r="G14" i="8"/>
  <c r="E17" i="8"/>
  <c r="E26" i="8"/>
  <c r="E30" i="8"/>
  <c r="E33" i="8"/>
  <c r="E40" i="8"/>
  <c r="F17" i="8"/>
  <c r="M15" i="12"/>
  <c r="F23" i="2" s="1"/>
  <c r="K23" i="2" s="1"/>
  <c r="G17" i="8"/>
  <c r="G28" i="8"/>
  <c r="G26" i="8" s="1"/>
  <c r="F28" i="8"/>
  <c r="F26" i="8" s="1"/>
  <c r="F30" i="8"/>
  <c r="M18" i="12"/>
  <c r="E29" i="12" s="1"/>
  <c r="M29" i="12" s="1"/>
  <c r="M19" i="12"/>
  <c r="G30" i="8"/>
  <c r="G33" i="8"/>
  <c r="F34" i="8"/>
  <c r="F33" i="8" s="1"/>
  <c r="F40" i="8"/>
  <c r="G40" i="8"/>
  <c r="F54" i="8"/>
  <c r="F57" i="8"/>
  <c r="F60" i="8"/>
  <c r="F66" i="8"/>
  <c r="F73" i="8"/>
  <c r="F75" i="8"/>
  <c r="F82" i="8"/>
  <c r="F90" i="8"/>
  <c r="E54" i="8"/>
  <c r="G54" i="8"/>
  <c r="G57" i="8"/>
  <c r="G60" i="8"/>
  <c r="E57" i="8"/>
  <c r="E60" i="8"/>
  <c r="E52" i="8" s="1"/>
  <c r="E66" i="8"/>
  <c r="E65" i="8" s="1"/>
  <c r="E75" i="8"/>
  <c r="E82" i="8"/>
  <c r="E90" i="8"/>
  <c r="G66" i="8"/>
  <c r="G73" i="8"/>
  <c r="G75" i="8"/>
  <c r="G82" i="8"/>
  <c r="G90" i="8"/>
  <c r="G6" i="9"/>
  <c r="D9" i="9"/>
  <c r="E14" i="9"/>
  <c r="F14" i="9"/>
  <c r="G14" i="9"/>
  <c r="E18" i="9"/>
  <c r="F18" i="9"/>
  <c r="G18" i="9"/>
  <c r="E22" i="9"/>
  <c r="F22" i="9"/>
  <c r="G22" i="9"/>
  <c r="E28" i="9"/>
  <c r="E35" i="9"/>
  <c r="F30" i="9"/>
  <c r="F28" i="9" s="1"/>
  <c r="F31" i="9"/>
  <c r="G31" i="9" s="1"/>
  <c r="F35" i="9"/>
  <c r="G35" i="9"/>
  <c r="E44" i="9"/>
  <c r="E49" i="9"/>
  <c r="F44" i="9"/>
  <c r="F49" i="9"/>
  <c r="F43" i="9"/>
  <c r="G44" i="9"/>
  <c r="G43" i="9" s="1"/>
  <c r="G49" i="9"/>
  <c r="E63" i="9"/>
  <c r="E66" i="9"/>
  <c r="E74" i="9"/>
  <c r="E73" i="9" s="1"/>
  <c r="F63" i="9"/>
  <c r="G63" i="9"/>
  <c r="F66" i="9"/>
  <c r="G66" i="9"/>
  <c r="G76" i="9"/>
  <c r="G74" i="9" s="1"/>
  <c r="G73" i="9" s="1"/>
  <c r="F76" i="9"/>
  <c r="F74" i="9" s="1"/>
  <c r="F77" i="9"/>
  <c r="F81" i="9"/>
  <c r="H6" i="10"/>
  <c r="D9" i="10"/>
  <c r="F14" i="10"/>
  <c r="G14" i="10"/>
  <c r="H14" i="10"/>
  <c r="F17" i="10"/>
  <c r="G17" i="10"/>
  <c r="H17" i="10"/>
  <c r="F29" i="10"/>
  <c r="G31" i="10"/>
  <c r="H31" i="10"/>
  <c r="H29" i="10" s="1"/>
  <c r="G33" i="10"/>
  <c r="G29" i="10" s="1"/>
  <c r="F36" i="10"/>
  <c r="G36" i="10"/>
  <c r="H36" i="10"/>
  <c r="F45" i="10"/>
  <c r="F63" i="10" s="1"/>
  <c r="F54" i="10"/>
  <c r="G45" i="10"/>
  <c r="G54" i="10"/>
  <c r="H45" i="10"/>
  <c r="H54" i="10"/>
  <c r="F71" i="10"/>
  <c r="F66" i="10" s="1"/>
  <c r="G71" i="10"/>
  <c r="G66" i="10" s="1"/>
  <c r="H66" i="10"/>
  <c r="H78" i="10"/>
  <c r="H73" i="10" s="1"/>
  <c r="H79" i="10"/>
  <c r="H85" i="10"/>
  <c r="F73" i="10"/>
  <c r="F72" i="10" s="1"/>
  <c r="F79" i="10"/>
  <c r="G78" i="10"/>
  <c r="G73" i="10" s="1"/>
  <c r="G84" i="10"/>
  <c r="G79" i="10" s="1"/>
  <c r="F85" i="10"/>
  <c r="G85" i="10"/>
  <c r="F95" i="10"/>
  <c r="G94" i="10" s="1"/>
  <c r="G95" i="10"/>
  <c r="H94" i="10" s="1"/>
  <c r="H95" i="10"/>
  <c r="R6" i="11"/>
  <c r="D9" i="11"/>
  <c r="Q13" i="11"/>
  <c r="H15" i="11"/>
  <c r="I15" i="11"/>
  <c r="J15" i="11"/>
  <c r="K15" i="11"/>
  <c r="L15" i="11"/>
  <c r="N15" i="11"/>
  <c r="O15" i="11"/>
  <c r="P15" i="11"/>
  <c r="Q15" i="11"/>
  <c r="H19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F49" i="11"/>
  <c r="G51" i="11"/>
  <c r="G53" i="11"/>
  <c r="N6" i="12"/>
  <c r="D9" i="12"/>
  <c r="D14" i="12"/>
  <c r="E14" i="12"/>
  <c r="M14" i="12"/>
  <c r="M16" i="12"/>
  <c r="E17" i="12"/>
  <c r="F17" i="12"/>
  <c r="I17" i="12"/>
  <c r="I20" i="12" s="1"/>
  <c r="F27" i="2" s="1"/>
  <c r="K27" i="2" s="1"/>
  <c r="I28" i="12"/>
  <c r="I31" i="12" s="1"/>
  <c r="E20" i="12"/>
  <c r="F20" i="12"/>
  <c r="G20" i="12"/>
  <c r="H20" i="12"/>
  <c r="J20" i="12"/>
  <c r="K20" i="12"/>
  <c r="L20" i="12"/>
  <c r="M22" i="12"/>
  <c r="D25" i="12"/>
  <c r="E25" i="12"/>
  <c r="M25" i="12"/>
  <c r="F27" i="12"/>
  <c r="F31" i="12" s="1"/>
  <c r="H31" i="12"/>
  <c r="K31" i="12"/>
  <c r="E30" i="12"/>
  <c r="M30" i="12" s="1"/>
  <c r="G31" i="12"/>
  <c r="J31" i="12"/>
  <c r="L31" i="12"/>
  <c r="M6" i="13"/>
  <c r="D9" i="13"/>
  <c r="F16" i="13"/>
  <c r="J16" i="13"/>
  <c r="L16" i="13"/>
  <c r="F18" i="13"/>
  <c r="J18" i="13" s="1"/>
  <c r="J19" i="13"/>
  <c r="J20" i="13"/>
  <c r="J21" i="13"/>
  <c r="J22" i="13"/>
  <c r="J23" i="13"/>
  <c r="J24" i="13"/>
  <c r="K19" i="13"/>
  <c r="G25" i="13"/>
  <c r="H25" i="13"/>
  <c r="I25" i="13"/>
  <c r="L25" i="13"/>
  <c r="J27" i="13"/>
  <c r="J28" i="13"/>
  <c r="J29" i="13"/>
  <c r="J30" i="13"/>
  <c r="J31" i="13"/>
  <c r="J32" i="13"/>
  <c r="J33" i="13"/>
  <c r="F34" i="13"/>
  <c r="G34" i="13"/>
  <c r="H34" i="13"/>
  <c r="I34" i="13"/>
  <c r="L34" i="13"/>
  <c r="F40" i="13"/>
  <c r="J40" i="13"/>
  <c r="L40" i="13"/>
  <c r="J42" i="13"/>
  <c r="K42" i="13"/>
  <c r="J43" i="13"/>
  <c r="J44" i="13"/>
  <c r="J45" i="13"/>
  <c r="J46" i="13"/>
  <c r="J47" i="13"/>
  <c r="J48" i="13"/>
  <c r="F49" i="13"/>
  <c r="G49" i="13"/>
  <c r="H49" i="13"/>
  <c r="I49" i="13"/>
  <c r="L49" i="13"/>
  <c r="J51" i="13"/>
  <c r="J52" i="13"/>
  <c r="J53" i="13"/>
  <c r="J54" i="13"/>
  <c r="J55" i="13"/>
  <c r="J56" i="13"/>
  <c r="J57" i="13"/>
  <c r="F58" i="13"/>
  <c r="G58" i="13"/>
  <c r="H58" i="13"/>
  <c r="I58" i="13"/>
  <c r="L58" i="13"/>
  <c r="L6" i="14"/>
  <c r="F16" i="14"/>
  <c r="G16" i="14"/>
  <c r="H16" i="14"/>
  <c r="I16" i="14"/>
  <c r="F30" i="14"/>
  <c r="F32" i="14"/>
  <c r="F34" i="14"/>
  <c r="G30" i="14"/>
  <c r="E29" i="21" s="1"/>
  <c r="H30" i="14"/>
  <c r="I30" i="14"/>
  <c r="G32" i="14"/>
  <c r="E70" i="23" s="1"/>
  <c r="G34" i="14"/>
  <c r="F39" i="14"/>
  <c r="G39" i="14"/>
  <c r="H39" i="14"/>
  <c r="I39" i="14"/>
  <c r="F50" i="14"/>
  <c r="F35" i="2" s="1"/>
  <c r="K35" i="2" s="1"/>
  <c r="G50" i="14"/>
  <c r="H50" i="14"/>
  <c r="I50" i="14"/>
  <c r="F54" i="14"/>
  <c r="G54" i="14"/>
  <c r="H54" i="14"/>
  <c r="I54" i="14"/>
  <c r="F65" i="14"/>
  <c r="G65" i="14"/>
  <c r="H65" i="14"/>
  <c r="F68" i="14"/>
  <c r="G68" i="14"/>
  <c r="F79" i="14"/>
  <c r="G79" i="14"/>
  <c r="F94" i="14"/>
  <c r="J94" i="14"/>
  <c r="E6" i="23"/>
  <c r="D9" i="23"/>
  <c r="E16" i="23"/>
  <c r="E17" i="23"/>
  <c r="E27" i="24"/>
  <c r="E29" i="24" s="1"/>
  <c r="E27" i="23"/>
  <c r="E29" i="23" s="1"/>
  <c r="E28" i="24"/>
  <c r="E28" i="23" s="1"/>
  <c r="E33" i="25"/>
  <c r="E33" i="23" s="1"/>
  <c r="E46" i="23"/>
  <c r="E47" i="24"/>
  <c r="E50" i="23" s="1"/>
  <c r="E63" i="23"/>
  <c r="E65" i="23"/>
  <c r="E66" i="23"/>
  <c r="E68" i="23"/>
  <c r="E6" i="24"/>
  <c r="D9" i="24"/>
  <c r="E23" i="24"/>
  <c r="E23" i="23" s="1"/>
  <c r="E24" i="24"/>
  <c r="E41" i="25"/>
  <c r="E38" i="24" s="1"/>
  <c r="E41" i="23" s="1"/>
  <c r="E42" i="25"/>
  <c r="E40" i="25" s="1"/>
  <c r="E6" i="25"/>
  <c r="D9" i="25"/>
  <c r="E18" i="25"/>
  <c r="E19" i="25"/>
  <c r="E19" i="24" s="1"/>
  <c r="E19" i="23" s="1"/>
  <c r="E20" i="25"/>
  <c r="E20" i="24" s="1"/>
  <c r="E20" i="23" s="1"/>
  <c r="E25" i="25"/>
  <c r="E29" i="25"/>
  <c r="E39" i="25"/>
  <c r="E36" i="24" s="1"/>
  <c r="E39" i="23" s="1"/>
  <c r="E47" i="25"/>
  <c r="E51" i="25"/>
  <c r="E55" i="25"/>
  <c r="E55" i="23" s="1"/>
  <c r="M6" i="1"/>
  <c r="F36" i="2"/>
  <c r="K36" i="2" s="1"/>
  <c r="G49" i="6"/>
  <c r="E33" i="21"/>
  <c r="E28" i="21"/>
  <c r="E24" i="22"/>
  <c r="E23" i="22" s="1"/>
  <c r="G35" i="2"/>
  <c r="L35" i="2" s="1"/>
  <c r="E27" i="12"/>
  <c r="F25" i="13"/>
  <c r="E33" i="12"/>
  <c r="M33" i="12" s="1"/>
  <c r="G19" i="2"/>
  <c r="L19" i="2" s="1"/>
  <c r="E21" i="21"/>
  <c r="G27" i="2" l="1"/>
  <c r="L27" i="2" s="1"/>
  <c r="E64" i="23"/>
  <c r="E43" i="9"/>
  <c r="G52" i="8"/>
  <c r="G16" i="8"/>
  <c r="K33" i="7"/>
  <c r="Q42" i="15"/>
  <c r="F35" i="14"/>
  <c r="G63" i="10"/>
  <c r="F25" i="2"/>
  <c r="K25" i="2" s="1"/>
  <c r="E19" i="2"/>
  <c r="J19" i="2" s="1"/>
  <c r="M19" i="2" s="1"/>
  <c r="I33" i="7"/>
  <c r="G26" i="2"/>
  <c r="L26" i="2" s="1"/>
  <c r="H72" i="10"/>
  <c r="G65" i="8"/>
  <c r="G50" i="8" s="1"/>
  <c r="F65" i="8"/>
  <c r="K19" i="7"/>
  <c r="E17" i="22" s="1"/>
  <c r="F37" i="2"/>
  <c r="K37" i="2" s="1"/>
  <c r="F88" i="10"/>
  <c r="J49" i="13"/>
  <c r="G31" i="2" s="1"/>
  <c r="E67" i="23"/>
  <c r="G36" i="2"/>
  <c r="L36" i="2" s="1"/>
  <c r="M36" i="2" s="1"/>
  <c r="Q74" i="15"/>
  <c r="G38" i="2" s="1"/>
  <c r="L38" i="2" s="1"/>
  <c r="M38" i="2" s="1"/>
  <c r="M17" i="12"/>
  <c r="E28" i="12" s="1"/>
  <c r="M28" i="12" s="1"/>
  <c r="G72" i="10"/>
  <c r="H63" i="10"/>
  <c r="F73" i="9"/>
  <c r="F61" i="9" s="1"/>
  <c r="E17" i="9"/>
  <c r="E16" i="9" s="1"/>
  <c r="E26" i="12"/>
  <c r="M26" i="12" s="1"/>
  <c r="G23" i="2" s="1"/>
  <c r="L23" i="2" s="1"/>
  <c r="M23" i="2" s="1"/>
  <c r="E35" i="21"/>
  <c r="F51" i="6"/>
  <c r="F74" i="6" s="1"/>
  <c r="H33" i="7"/>
  <c r="H32" i="7" s="1"/>
  <c r="H45" i="7" s="1"/>
  <c r="F18" i="2" s="1"/>
  <c r="K18" i="2" s="1"/>
  <c r="J58" i="13"/>
  <c r="G32" i="2" s="1"/>
  <c r="J34" i="13"/>
  <c r="G30" i="2" s="1"/>
  <c r="E46" i="24"/>
  <c r="E48" i="24" s="1"/>
  <c r="J25" i="13"/>
  <c r="G29" i="2" s="1"/>
  <c r="G22" i="2"/>
  <c r="L22" i="2" s="1"/>
  <c r="M22" i="2" s="1"/>
  <c r="G61" i="9"/>
  <c r="E71" i="23" s="1"/>
  <c r="F52" i="8"/>
  <c r="F50" i="8" s="1"/>
  <c r="F94" i="8" s="1"/>
  <c r="E16" i="8"/>
  <c r="I32" i="7"/>
  <c r="E33" i="7"/>
  <c r="E32" i="7" s="1"/>
  <c r="F19" i="7"/>
  <c r="F45" i="7" s="1"/>
  <c r="E62" i="23"/>
  <c r="G25" i="2"/>
  <c r="L25" i="2" s="1"/>
  <c r="E25" i="21"/>
  <c r="E74" i="6"/>
  <c r="F49" i="6"/>
  <c r="E49" i="6"/>
  <c r="L33" i="7"/>
  <c r="L32" i="7" s="1"/>
  <c r="L45" i="7" s="1"/>
  <c r="I19" i="7"/>
  <c r="J44" i="5"/>
  <c r="J45" i="18"/>
  <c r="F31" i="18" s="1"/>
  <c r="G39" i="2" s="1"/>
  <c r="L39" i="2" s="1"/>
  <c r="M39" i="2" s="1"/>
  <c r="E21" i="25"/>
  <c r="E31" i="25" s="1"/>
  <c r="E35" i="25" s="1"/>
  <c r="M35" i="2"/>
  <c r="E25" i="24"/>
  <c r="G18" i="14"/>
  <c r="G35" i="14" s="1"/>
  <c r="G33" i="2" s="1"/>
  <c r="L33" i="2" s="1"/>
  <c r="F33" i="2"/>
  <c r="K33" i="2" s="1"/>
  <c r="M27" i="2"/>
  <c r="H88" i="10"/>
  <c r="E61" i="9"/>
  <c r="E50" i="8"/>
  <c r="M25" i="2"/>
  <c r="E37" i="24"/>
  <c r="E43" i="25"/>
  <c r="E53" i="25" s="1"/>
  <c r="E57" i="25" s="1"/>
  <c r="E59" i="25" s="1"/>
  <c r="K32" i="7"/>
  <c r="K45" i="7" s="1"/>
  <c r="G18" i="2" s="1"/>
  <c r="L18" i="2" s="1"/>
  <c r="E18" i="22"/>
  <c r="E20" i="21"/>
  <c r="M21" i="2"/>
  <c r="E39" i="21"/>
  <c r="E31" i="21" s="1"/>
  <c r="E42" i="24"/>
  <c r="G28" i="2"/>
  <c r="F26" i="2"/>
  <c r="K26" i="2" s="1"/>
  <c r="M26" i="2" s="1"/>
  <c r="F16" i="8"/>
  <c r="F24" i="2"/>
  <c r="K24" i="2" s="1"/>
  <c r="G88" i="10"/>
  <c r="M20" i="2"/>
  <c r="E45" i="7"/>
  <c r="E18" i="2" s="1"/>
  <c r="J18" i="2" s="1"/>
  <c r="M27" i="12"/>
  <c r="E18" i="24"/>
  <c r="E39" i="24"/>
  <c r="E42" i="23" s="1"/>
  <c r="E24" i="23"/>
  <c r="E25" i="23" s="1"/>
  <c r="G51" i="6"/>
  <c r="G74" i="6" s="1"/>
  <c r="G76" i="6" s="1"/>
  <c r="I45" i="7" l="1"/>
  <c r="E49" i="23"/>
  <c r="E51" i="23" s="1"/>
  <c r="F76" i="6"/>
  <c r="F79" i="6" s="1"/>
  <c r="F84" i="6" s="1"/>
  <c r="E86" i="9"/>
  <c r="M20" i="12"/>
  <c r="E94" i="8"/>
  <c r="M33" i="2"/>
  <c r="E76" i="6"/>
  <c r="G37" i="2"/>
  <c r="L37" i="2" s="1"/>
  <c r="M37" i="2" s="1"/>
  <c r="E40" i="23"/>
  <c r="E43" i="23" s="1"/>
  <c r="E40" i="24"/>
  <c r="E50" i="24" s="1"/>
  <c r="H16" i="10"/>
  <c r="H42" i="10" s="1"/>
  <c r="H92" i="10" s="1"/>
  <c r="G17" i="2" s="1"/>
  <c r="L17" i="2" s="1"/>
  <c r="G79" i="6"/>
  <c r="G84" i="6" s="1"/>
  <c r="G24" i="2"/>
  <c r="L24" i="2" s="1"/>
  <c r="M24" i="2" s="1"/>
  <c r="M31" i="12"/>
  <c r="E18" i="23"/>
  <c r="E21" i="23" s="1"/>
  <c r="E31" i="23" s="1"/>
  <c r="E35" i="23" s="1"/>
  <c r="E21" i="24"/>
  <c r="E31" i="24" s="1"/>
  <c r="G16" i="10"/>
  <c r="G42" i="10" s="1"/>
  <c r="G92" i="10" s="1"/>
  <c r="F17" i="2" s="1"/>
  <c r="K17" i="2" s="1"/>
  <c r="E44" i="24"/>
  <c r="E45" i="23"/>
  <c r="E47" i="23" s="1"/>
  <c r="E16" i="22"/>
  <c r="E45" i="21"/>
  <c r="E31" i="12"/>
  <c r="E15" i="2"/>
  <c r="J15" i="2" s="1"/>
  <c r="M18" i="2"/>
  <c r="E69" i="23"/>
  <c r="E61" i="23" s="1"/>
  <c r="G94" i="8"/>
  <c r="F16" i="10" l="1"/>
  <c r="F42" i="10" s="1"/>
  <c r="F92" i="10" s="1"/>
  <c r="E17" i="2" s="1"/>
  <c r="J17" i="2" s="1"/>
  <c r="M17" i="2" s="1"/>
  <c r="E79" i="6"/>
  <c r="E84" i="6" s="1"/>
  <c r="E16" i="2" s="1"/>
  <c r="J16" i="2" s="1"/>
  <c r="F32" i="9"/>
  <c r="F16" i="2" s="1"/>
  <c r="K16" i="2" s="1"/>
  <c r="E53" i="23"/>
  <c r="E57" i="23" s="1"/>
  <c r="E59" i="23" s="1"/>
  <c r="E73" i="23" s="1"/>
  <c r="E33" i="22"/>
  <c r="F16" i="22" s="1"/>
  <c r="E94" i="9"/>
  <c r="G41" i="2"/>
  <c r="L41" i="2" s="1"/>
  <c r="M41" i="2" s="1"/>
  <c r="G32" i="9"/>
  <c r="G16" i="2" s="1"/>
  <c r="L16" i="2" s="1"/>
  <c r="F23" i="22" l="1"/>
  <c r="F28" i="22"/>
  <c r="F31" i="22"/>
  <c r="F25" i="22"/>
  <c r="F30" i="22"/>
  <c r="F33" i="22"/>
  <c r="F26" i="22"/>
  <c r="F29" i="22"/>
  <c r="F24" i="22"/>
  <c r="F19" i="22"/>
  <c r="F21" i="22"/>
  <c r="F17" i="22"/>
  <c r="F18" i="22"/>
  <c r="G30" i="9"/>
  <c r="G28" i="9" s="1"/>
  <c r="G17" i="9" s="1"/>
  <c r="G16" i="9" s="1"/>
  <c r="G86" i="9" s="1"/>
  <c r="G15" i="2" s="1"/>
  <c r="L15" i="2" s="1"/>
  <c r="G94" i="9" s="1"/>
  <c r="F17" i="9"/>
  <c r="F16" i="9" s="1"/>
  <c r="F86" i="9" s="1"/>
  <c r="F15" i="2" s="1"/>
  <c r="K15" i="2" s="1"/>
  <c r="M16" i="2"/>
  <c r="F94" i="9" l="1"/>
  <c r="M15" i="2"/>
</calcChain>
</file>

<file path=xl/sharedStrings.xml><?xml version="1.0" encoding="utf-8"?>
<sst xmlns="http://schemas.openxmlformats.org/spreadsheetml/2006/main" count="1770" uniqueCount="952">
  <si>
    <t>Área de Presidencia</t>
  </si>
  <si>
    <t>Dirección Insular de Hacienda</t>
  </si>
  <si>
    <t xml:space="preserve"> PRESUPUESTO GENERAL</t>
  </si>
  <si>
    <t xml:space="preserve"> PROGRAMA DE ACTUACIÓN, INVERSIONES Y FINANCIACIÓN (PAIF)</t>
  </si>
  <si>
    <t xml:space="preserve"> DATOS GENERALES E ÍNDICE</t>
  </si>
  <si>
    <t xml:space="preserve">  Entidad:</t>
  </si>
  <si>
    <t>BALSAS DE TENERIFE (BALTEN), EPEL</t>
  </si>
  <si>
    <t xml:space="preserve">  Ejercicio:</t>
  </si>
  <si>
    <t>ÍNDICE</t>
  </si>
  <si>
    <t>FC-1</t>
  </si>
  <si>
    <t>Órganos de Gobierno</t>
  </si>
  <si>
    <t xml:space="preserve">FC-2 </t>
  </si>
  <si>
    <t>Accionistas</t>
  </si>
  <si>
    <t>FC-2.1</t>
  </si>
  <si>
    <t>Información adicional sobre la participación del Excmo. Cabildo Insular de Tenerife en la Entidad</t>
  </si>
  <si>
    <t>FC-3</t>
  </si>
  <si>
    <t>Cuenta de Pérdidas y Ganancias</t>
  </si>
  <si>
    <t>FC-3.1</t>
  </si>
  <si>
    <t>Información adicional Cuenta de Pérdidas y Ganancias</t>
  </si>
  <si>
    <t>FC-4</t>
  </si>
  <si>
    <t>Balance de Situación, Activo - Pasivo y Patrimonio Neto</t>
  </si>
  <si>
    <t>FC-5</t>
  </si>
  <si>
    <t>Estado de Flujos de Efectivo</t>
  </si>
  <si>
    <t>FC-6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</si>
  <si>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</si>
  <si>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</si>
  <si>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</si>
  <si>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</si>
  <si>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</si>
  <si>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</si>
  <si>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</si>
  <si>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</si>
  <si>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a corto y largo plazo</t>
  </si>
  <si>
    <t>FC-11</t>
  </si>
  <si>
    <t>Deuda viva y previsión de vencimientos de deuda</t>
  </si>
  <si>
    <t>FC-12</t>
  </si>
  <si>
    <t>Perfíl de vencimientos de deuda a 10 años</t>
  </si>
  <si>
    <t>FC-13</t>
  </si>
  <si>
    <t>Personal</t>
  </si>
  <si>
    <t>FC-14</t>
  </si>
  <si>
    <t>Operaciones internas</t>
  </si>
  <si>
    <t>FC-15</t>
  </si>
  <si>
    <t>Encomiendas</t>
  </si>
  <si>
    <t>FC-16</t>
  </si>
  <si>
    <t>Estabilidad presupuestaria</t>
  </si>
  <si>
    <t>FC-17</t>
  </si>
  <si>
    <t>Fuentes de financiación</t>
  </si>
  <si>
    <t>FC-90</t>
  </si>
  <si>
    <t>Comprobación estructura presupuestaria</t>
  </si>
  <si>
    <t>FC-91</t>
  </si>
  <si>
    <t>Presupuesto</t>
  </si>
  <si>
    <t>FC-92</t>
  </si>
  <si>
    <t>Presupuesto CPyG</t>
  </si>
  <si>
    <t>INSTRUCCIONES GENERALES</t>
  </si>
  <si>
    <r>
      <t>Todas los datos económicos deben expresarse en EUROS</t>
    </r>
    <r>
      <rPr>
        <sz val="12"/>
        <color indexed="8"/>
        <rFont val="Arial"/>
        <family val="2"/>
        <charset val="1"/>
      </rPr>
      <t>. No es válido introducir datos en miles de euros, ni millones de euros.</t>
    </r>
  </si>
  <si>
    <t>Cabildo Insular de Tenerife</t>
  </si>
  <si>
    <t>GENERAL</t>
  </si>
  <si>
    <t>Plaza de España, S/N</t>
  </si>
  <si>
    <t>38003 Santa Cruz de Tenerife</t>
  </si>
  <si>
    <t>Teléfono: 901 501 901</t>
  </si>
  <si>
    <t>www.tenerife.es</t>
  </si>
  <si>
    <t>º</t>
  </si>
  <si>
    <t xml:space="preserve"> ENTIDAD:</t>
  </si>
  <si>
    <t xml:space="preserve"> Listado de comprobaciones (CHECK LIST)</t>
  </si>
  <si>
    <t>( n-2 )</t>
  </si>
  <si>
    <t>( n-1 )</t>
  </si>
  <si>
    <t>( n )</t>
  </si>
  <si>
    <t>Activo = Pasivo y patrimonio neto</t>
  </si>
  <si>
    <t>Rtdo. Ejercicio PN = Rtdo. PyG</t>
  </si>
  <si>
    <t>Aumento/disminución neta efectivo = variación efectivo</t>
  </si>
  <si>
    <t>Importe neto de la cifra de negocios = detalle en FC-3.1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</si>
  <si>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</si>
  <si>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</si>
  <si>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</si>
  <si>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Inversiones reales: Coste total = ejecución prevista 31-12-(n-1) + programación plurianual (FC-6)</t>
  </si>
  <si>
    <t>Inmovilizado intangible = Detalle de movimientos (FC-7)</t>
  </si>
  <si>
    <t>Inmovilizado material = Detalle de movimientos (FC-7)</t>
  </si>
  <si>
    <t>Inversiones inmobiliarias = Detalle de movimientos (FC-7)</t>
  </si>
  <si>
    <t>Existencias finales = Detalle de movimientos (FC-7)</t>
  </si>
  <si>
    <t>Dotaciones a la amortización PyG = Detalle de movimientos (FC-7)</t>
  </si>
  <si>
    <t>Programación plurianual (año n) en FC-6 = Adquisiciones (año n) en FC-7</t>
  </si>
  <si>
    <t>Inversiones en instrumentos patrimonio CP+LP (grupo y asociadas) = detalle en FC-8</t>
  </si>
  <si>
    <t>Resto Inversiones financieras (grupo y asociadas) = detalle en FC-8</t>
  </si>
  <si>
    <t>Inversiones en instrumentos patrimonio CP + LP (otras) = detalle en FC-8</t>
  </si>
  <si>
    <t>Resto Inversiones financieras (otras) = detalle en FC-8</t>
  </si>
  <si>
    <t>Subvenciones capital en balance = dato en FC-9</t>
  </si>
  <si>
    <t>Imputación de subvenciones capital en PyG (FC-3) = detalle de imputación en FC-9</t>
  </si>
  <si>
    <t>Subvenciones explotación en PyG = dato en FC-9</t>
  </si>
  <si>
    <t>Variación aportaciones socios en FC-4 PASIVO = detalle en FC-9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</si>
  <si>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</si>
  <si>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</si>
  <si>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</si>
  <si>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Resultado de PyG = Resultado FC-92</t>
  </si>
  <si>
    <t>OBSERVACIONES Y NOTAS DE LA ENTIDAD</t>
  </si>
  <si>
    <t>ÓRGANOS DE GOBIERNO DE LA ENTIDAD</t>
  </si>
  <si>
    <t>Número total</t>
  </si>
  <si>
    <t>Designados por el sector público</t>
  </si>
  <si>
    <t>a) Por el Cabildo Insular de Tenerife o sus Entes Dependientes</t>
  </si>
  <si>
    <t>b) Por otras Administraciones Públicas</t>
  </si>
  <si>
    <t>Designados por el sector privado</t>
  </si>
  <si>
    <t>Cargo</t>
  </si>
  <si>
    <t>Nombre</t>
  </si>
  <si>
    <t>Fecha nombramiento:</t>
  </si>
  <si>
    <t>Presidencia</t>
  </si>
  <si>
    <t>D. Carlos Alonso Rodríguez</t>
  </si>
  <si>
    <t>Vicepresidencia</t>
  </si>
  <si>
    <t>D. Jesús Morales Martínez</t>
  </si>
  <si>
    <t>Secretaría</t>
  </si>
  <si>
    <t>D. Domingo Jesús Hernández Hernández</t>
  </si>
  <si>
    <t>Vicesecretaría</t>
  </si>
  <si>
    <t>Vocal 1</t>
  </si>
  <si>
    <t>Dª Mª Coromoto Yanes González</t>
  </si>
  <si>
    <t>Vocal 2</t>
  </si>
  <si>
    <t>D. Miguel Becerra Domínguez</t>
  </si>
  <si>
    <t>Vocal 3</t>
  </si>
  <si>
    <t>D. Félix Miguel Fariña Rodríguez</t>
  </si>
  <si>
    <t>Vocal 4</t>
  </si>
  <si>
    <t>D. Wladimiro Rodríguez Brito</t>
  </si>
  <si>
    <t>Vocal 5</t>
  </si>
  <si>
    <t>D. Manuel Fernando Martínez Álvarez</t>
  </si>
  <si>
    <t>Vocal 6</t>
  </si>
  <si>
    <t>D. José Antonio Valbuena Alonso</t>
  </si>
  <si>
    <t>Vocal 7</t>
  </si>
  <si>
    <t>D. Alexis Oliva Hernández</t>
  </si>
  <si>
    <t>Vocal 8</t>
  </si>
  <si>
    <t>D. Fernando Sabaté Bel</t>
  </si>
  <si>
    <t>Vocal 9</t>
  </si>
  <si>
    <t>Vocal 10</t>
  </si>
  <si>
    <t>Vocal 11</t>
  </si>
  <si>
    <t>Vocal 12</t>
  </si>
  <si>
    <t>Gerencia</t>
  </si>
  <si>
    <t>D. Escolástico Aguiar González</t>
  </si>
  <si>
    <t>Letrado Asesor</t>
  </si>
  <si>
    <t>ACCIONISTAS, PARTICIPACIONES EN OTRAS ENTIDADES Y AUDITORES DE CUENTAS</t>
  </si>
  <si>
    <t>a) ACCIONISTAS (1)</t>
  </si>
  <si>
    <t xml:space="preserve">Datos a 31 de diciembre de </t>
  </si>
  <si>
    <t>Variaciones producidas o previsibles en</t>
  </si>
  <si>
    <t>Razón Social</t>
  </si>
  <si>
    <t>NIF</t>
  </si>
  <si>
    <t>% Participación</t>
  </si>
  <si>
    <t>Nº Acciones / Participaciones</t>
  </si>
  <si>
    <t>Clase</t>
  </si>
  <si>
    <t>Valor Nominal (2)</t>
  </si>
  <si>
    <t>Valor Teórico (3)</t>
  </si>
  <si>
    <t>Incremento en la participación (Euros)</t>
  </si>
  <si>
    <t>Incremento en el nº de acciones</t>
  </si>
  <si>
    <t>Reducciones en la participación (Euros)</t>
  </si>
  <si>
    <t>Reducciones en el nº de acciones</t>
  </si>
  <si>
    <t>Observaciones</t>
  </si>
  <si>
    <t>Excmo. Cabildo Insular de Tenerife</t>
  </si>
  <si>
    <t>P-3800001-D</t>
  </si>
  <si>
    <t>N/A</t>
  </si>
  <si>
    <t>BALTEN no tiene capital social</t>
  </si>
  <si>
    <t>b) PARTICIPACIONES EN OTRAS ENTIDADES</t>
  </si>
  <si>
    <t>Desembolsos pendientes</t>
  </si>
  <si>
    <t>Incremento en la participación</t>
  </si>
  <si>
    <t>Reducciones en la participación</t>
  </si>
  <si>
    <t>Comunidad de Aguas El Pris</t>
  </si>
  <si>
    <t>E38085536</t>
  </si>
  <si>
    <t>Son participaciones en comunidades de agua</t>
  </si>
  <si>
    <t>Comunidad de Aguas Risco Atravesado</t>
  </si>
  <si>
    <t>E38244042</t>
  </si>
  <si>
    <t>Comunidad de Aguas Pozo Saltadero de Los Abejones</t>
  </si>
  <si>
    <t>E38078440</t>
  </si>
  <si>
    <t>c) AUDITORES DE CUENTAS</t>
  </si>
  <si>
    <t>Nombre ó Razón Social</t>
  </si>
  <si>
    <t>ASSAP Auditores, S.L.</t>
  </si>
  <si>
    <t>NOTAS</t>
  </si>
  <si>
    <t>(1) IMPORTANTE: LA participación del Excmo. Cabildo Insular de Tenerife (ECIT), además de incluirse en este cuadro se detallará en la pestaña adjunta FC-2.1 Información adicional de la participación del ECIT</t>
  </si>
  <si>
    <t>(2) Valor nominal de una acción o participación</t>
  </si>
  <si>
    <t>(3) Valor teórico por acción o participación. Patrimonio neto a fin del ejercicio / nº de acciones o participaciones que componen el capital social</t>
  </si>
  <si>
    <t>FC-2</t>
  </si>
  <si>
    <t>INFORMACIÓN ADICIONAL SOBRE LA PARTICIPACIÓN DEL EXMO. CABILDO INSULAR DE TENERIFE EN LA ENTIDAD (1)</t>
  </si>
  <si>
    <t>Fecha de adquisición</t>
  </si>
  <si>
    <t>Nº de titulos (Acciones o participaciones)</t>
  </si>
  <si>
    <t>Serie y numeración                        (desde    -        hasta)</t>
  </si>
  <si>
    <t>Valor nominal por titulo</t>
  </si>
  <si>
    <t>Prima de emisión por titulo</t>
  </si>
  <si>
    <t>Desembolso TOTAL</t>
  </si>
  <si>
    <t>Valor teórico        por titulo                     (2)</t>
  </si>
  <si>
    <t>Valor teórico contable      TOTAL</t>
  </si>
  <si>
    <t>Observaciones (3)</t>
  </si>
  <si>
    <t>NO APLICABLE. BALTEN NO TIENE CAPITAL SOCIAL</t>
  </si>
  <si>
    <t>TOTALES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</si>
  <si>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</si>
  <si>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(2) Patrimonio neto a fin del ejercicio cerrado / nº de acciones o participaciones que componen el capital social. Datos correspondientes  ejercicio finalizado 31-12-</t>
  </si>
  <si>
    <t>Introducir el mismo dato que en FC-2 en la celda K44</t>
  </si>
  <si>
    <t>FC-2,1</t>
  </si>
  <si>
    <t>CUENTA DE PÉRDIDAS Y GANANCIAS</t>
  </si>
  <si>
    <t>Real</t>
  </si>
  <si>
    <t>Estimación</t>
  </si>
  <si>
    <t>Previsión</t>
  </si>
  <si>
    <t>A)</t>
  </si>
  <si>
    <t>OPERACIONES CONTINUADAS</t>
  </si>
  <si>
    <t>1.</t>
  </si>
  <si>
    <t>Importe neto de la cifra de negocios (Detalle en FC-3.1)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</si>
  <si>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</si>
  <si>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</si>
  <si>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</si>
  <si>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</si>
  <si>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</si>
  <si>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</si>
  <si>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</si>
  <si>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</si>
  <si>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</si>
  <si>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</si>
  <si>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</si>
  <si>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</si>
  <si>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</si>
  <si>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</si>
  <si>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</si>
  <si>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</si>
  <si>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</si>
  <si>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</si>
  <si>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Otros ingresos de explotación (Detalle en FC-3.1)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</si>
  <si>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</si>
  <si>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</si>
  <si>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</si>
  <si>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</si>
  <si>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</si>
  <si>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</si>
  <si>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</si>
  <si>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</si>
  <si>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</si>
  <si>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</si>
  <si>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</si>
  <si>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</si>
  <si>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</si>
  <si>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</si>
  <si>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</si>
  <si>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</si>
  <si>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</si>
  <si>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</si>
  <si>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</si>
  <si>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</si>
  <si>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</si>
  <si>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</si>
  <si>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</si>
  <si>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</si>
  <si>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</si>
  <si>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</si>
  <si>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</si>
  <si>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</si>
  <si>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</si>
  <si>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Otros resultados (Detalle en FC-3.1)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</si>
  <si>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</si>
  <si>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</si>
  <si>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</si>
  <si>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</si>
  <si>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</si>
  <si>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</si>
  <si>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</si>
  <si>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</si>
  <si>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</si>
  <si>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</si>
  <si>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</si>
  <si>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</si>
  <si>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</si>
  <si>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</si>
  <si>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</si>
  <si>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</si>
  <si>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</si>
  <si>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</si>
  <si>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</si>
  <si>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</si>
  <si>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</si>
  <si>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</si>
  <si>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</si>
  <si>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</si>
  <si>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</si>
  <si>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</si>
  <si>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</si>
  <si>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</si>
  <si>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</si>
  <si>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</si>
  <si>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</si>
  <si>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</si>
  <si>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</si>
  <si>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</si>
  <si>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</si>
  <si>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</si>
  <si>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</si>
  <si>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</si>
  <si>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</si>
  <si>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</si>
  <si>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</si>
  <si>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RESULTADOS EJERC. PROCEDENTES ACTIVIDADES CONTINUADAS (A3+20)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</si>
  <si>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</si>
  <si>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</si>
  <si>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</si>
  <si>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</si>
  <si>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</si>
  <si>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</si>
  <si>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 xml:space="preserve">    Área de Presidencia</t>
  </si>
  <si>
    <t xml:space="preserve">    Dirección Insular de Hacienda</t>
  </si>
  <si>
    <t>INFORMACIÓN ADICIONAL RELATIVA A LA CUENTA DE PÉRDIDAS Y GANANCIAS</t>
  </si>
  <si>
    <t>I. VENTAS Y PRESTACIONES DE SERVICIOS (1)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</si>
  <si>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</si>
  <si>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</si>
  <si>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</si>
  <si>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</si>
  <si>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</si>
  <si>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</si>
  <si>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B.1.- Ventas: (detallar)</t>
  </si>
  <si>
    <t>Instituto de Atención Social y Sociosanitaria (IASS)</t>
  </si>
  <si>
    <t>Metropolitano de Tenerife, S.A.</t>
  </si>
  <si>
    <t>Gestión Insular para el Deporte, Cultura y Ocio, SA (IDECO)</t>
  </si>
  <si>
    <t>Organismo Autónomo Museos y Centros</t>
  </si>
  <si>
    <t>Parque Científico y Tecnológico de Tenerife, S.A.</t>
  </si>
  <si>
    <t>Cultivos y Tecnología Agraria de Tenerife, S.A. (CULTESA)</t>
  </si>
  <si>
    <t>B.2.- Prestaciones de servicios: (detallar)</t>
  </si>
  <si>
    <t>C.- Resto de Ventas y Prestaciones de servicios:</t>
  </si>
  <si>
    <t>C.1.- A otras AA PP</t>
  </si>
  <si>
    <t>C.1.1.- Ventas: (detallar)</t>
  </si>
  <si>
    <t>C.1.2.- Prestaciones de servicios: (detallar)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</si>
  <si>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</si>
  <si>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</si>
  <si>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</si>
  <si>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</si>
  <si>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</si>
  <si>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r>
      <t xml:space="preserve">DETALLE DE INGRESOS (Cta 778) (2).   Cifras en </t>
    </r>
    <r>
      <rPr>
        <b/>
        <u/>
        <sz val="12"/>
        <color indexed="8"/>
        <rFont val="Arial"/>
        <family val="2"/>
        <charset val="1"/>
      </rPr>
      <t>positivo</t>
    </r>
  </si>
  <si>
    <t>Paga extra diciembre 2012 (exceso de provisión)</t>
  </si>
  <si>
    <t>Indemnizaciones de entidades aseguradoras</t>
  </si>
  <si>
    <r>
      <t xml:space="preserve">DETALLE DE GASTOS (Cta 678) (3).     Cifras en </t>
    </r>
    <r>
      <rPr>
        <b/>
        <u/>
        <sz val="12"/>
        <color indexed="8"/>
        <rFont val="Arial"/>
        <family val="2"/>
        <charset val="1"/>
      </rPr>
      <t>negativo</t>
    </r>
  </si>
  <si>
    <t>Suministro de energía y compra de agua depurada</t>
  </si>
  <si>
    <t>Otros</t>
  </si>
  <si>
    <t>IMPUESTO SOBRE SOCIEDADES</t>
  </si>
  <si>
    <t>Retenciones y pagos a cuenta del ejercicio</t>
  </si>
  <si>
    <t>Cuota líquida a ingresar (+) o a devolver (-) del ejercicio anterior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</si>
  <si>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</si>
  <si>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</si>
  <si>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</si>
  <si>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</si>
  <si>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</si>
  <si>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>b) Subvenc. explotación incorporadas al resultado del ejercicio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</si>
  <si>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</si>
  <si>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</si>
  <si>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</si>
  <si>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</si>
  <si>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b.5. Otros entes (U.E.)</t>
  </si>
  <si>
    <t xml:space="preserve">   b.6. Imputación de subvenciones de explotac. de ejercicios anteriores</t>
  </si>
  <si>
    <r>
      <t>"SUBVENCIONES"</t>
    </r>
    <r>
      <rPr>
        <b/>
        <sz val="14"/>
        <color indexed="8"/>
        <rFont val="Arial"/>
        <family val="2"/>
        <charset val="1"/>
      </rPr>
      <t xml:space="preserve"> CONCEDIDAS y TRANSFERENCIAS A REALIZAR POR LA ENTIDAD REGISTRADAS COMO GASTO EN LA CUENTA DE PÉRDIDAS Y GANANCIAS</t>
    </r>
  </si>
  <si>
    <t>Cuenta</t>
  </si>
  <si>
    <t>Contable GASTO</t>
  </si>
  <si>
    <t>a) Total</t>
  </si>
  <si>
    <t xml:space="preserve">   a.1. Al sector público local de carácter administrativo</t>
  </si>
  <si>
    <t xml:space="preserve">   a.2. Al sector público local de carácter empresarial o fundacional</t>
  </si>
  <si>
    <t xml:space="preserve">   a.3. A otros</t>
  </si>
  <si>
    <t>(1) Ventas y Prestaciones de Servicios. Destallar la cifra del Importe Neto de la Cifra de Negocios de la Cuenta de Pérdidas y Ganancias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</si>
  <si>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</si>
  <si>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</si>
  <si>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BALANCE DE SITUACIÓN - ACTIVO</t>
  </si>
  <si>
    <t>ACTIVO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</si>
  <si>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</si>
  <si>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</si>
  <si>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</si>
  <si>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</si>
  <si>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</si>
  <si>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</si>
  <si>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</si>
  <si>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</si>
  <si>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</si>
  <si>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</si>
  <si>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</si>
  <si>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Propiedad intelectual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</si>
  <si>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</si>
  <si>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</si>
  <si>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</si>
  <si>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</si>
  <si>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</si>
  <si>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</si>
  <si>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</si>
  <si>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</si>
  <si>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</si>
  <si>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</si>
  <si>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</si>
  <si>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</si>
  <si>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</si>
  <si>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</si>
  <si>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</si>
  <si>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</si>
  <si>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</si>
  <si>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</si>
  <si>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</si>
  <si>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</si>
  <si>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</si>
  <si>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</si>
  <si>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</si>
  <si>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</si>
  <si>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</si>
  <si>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</si>
  <si>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</si>
  <si>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</si>
  <si>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</si>
  <si>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</si>
  <si>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Materias primas y otros aprovisionamientos a largo plazo</t>
  </si>
  <si>
    <t>Materias primas y otros aprovisionamientos a corto plazo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</si>
  <si>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</si>
  <si>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</si>
  <si>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</si>
  <si>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</si>
  <si>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</si>
  <si>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</si>
  <si>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</si>
  <si>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</si>
  <si>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</si>
  <si>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</si>
  <si>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</si>
  <si>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</si>
  <si>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</si>
  <si>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</si>
  <si>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</si>
  <si>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</si>
  <si>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</si>
  <si>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</si>
  <si>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</si>
  <si>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</si>
  <si>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</si>
  <si>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 xml:space="preserve">      TOTAL ACTIVO (A+B)</t>
  </si>
  <si>
    <t>FC-4 - ACTIVO</t>
  </si>
  <si>
    <t>BALANCE DE SITUACIÓN - PATRIMONIO NETO Y PASIVO</t>
  </si>
  <si>
    <t xml:space="preserve">   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</si>
  <si>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</si>
  <si>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</si>
  <si>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</si>
  <si>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</si>
  <si>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</si>
  <si>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</si>
  <si>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</si>
  <si>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</si>
  <si>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</si>
  <si>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</si>
  <si>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Reserva de capitalización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</si>
  <si>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</si>
  <si>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</si>
  <si>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</si>
  <si>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</si>
  <si>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</si>
  <si>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</si>
  <si>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</si>
  <si>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</si>
  <si>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</si>
  <si>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</si>
  <si>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</si>
  <si>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</si>
  <si>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</si>
  <si>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</si>
  <si>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</si>
  <si>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</si>
  <si>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</si>
  <si>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</si>
  <si>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</si>
  <si>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</si>
  <si>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</si>
  <si>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</si>
  <si>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</si>
  <si>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</si>
  <si>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</si>
  <si>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</si>
  <si>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</si>
  <si>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</si>
  <si>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</si>
  <si>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</si>
  <si>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</si>
  <si>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</si>
  <si>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</si>
  <si>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</si>
  <si>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</si>
  <si>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</si>
  <si>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</si>
  <si>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</si>
  <si>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</si>
  <si>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</si>
  <si>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</si>
  <si>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</si>
  <si>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</si>
  <si>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</si>
  <si>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</si>
  <si>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</si>
  <si>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</si>
  <si>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</si>
  <si>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</si>
  <si>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</si>
  <si>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</si>
  <si>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</si>
  <si>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</si>
  <si>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FC-4 - PASIVO Y PATRIMONIO NETO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</si>
  <si>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</si>
  <si>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</si>
  <si>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</si>
  <si>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</si>
  <si>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</si>
  <si>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</si>
  <si>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</si>
  <si>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</si>
  <si>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</si>
  <si>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</si>
  <si>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</si>
  <si>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</si>
  <si>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</si>
  <si>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</si>
  <si>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</si>
  <si>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</si>
  <si>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</si>
  <si>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</si>
  <si>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</si>
  <si>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</si>
  <si>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</si>
  <si>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</si>
  <si>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</si>
  <si>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</si>
  <si>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</si>
  <si>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</si>
  <si>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</si>
  <si>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</si>
  <si>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</si>
  <si>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</si>
  <si>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</si>
  <si>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</si>
  <si>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</si>
  <si>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</si>
  <si>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</si>
  <si>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</si>
  <si>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</si>
  <si>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g) Unidades de negocio</t>
  </si>
  <si>
    <t>h) Otros activos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</si>
  <si>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</si>
  <si>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</si>
  <si>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</si>
  <si>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</si>
  <si>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</si>
  <si>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</si>
  <si>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c) Adquisición de instrumentos de patrimonio propio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</si>
  <si>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</si>
  <si>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</si>
  <si>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</si>
  <si>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</si>
  <si>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</si>
  <si>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</si>
  <si>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</si>
  <si>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</si>
  <si>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</si>
  <si>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</si>
  <si>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</si>
  <si>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</si>
  <si>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</si>
  <si>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</si>
  <si>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</si>
  <si>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t>11. Pagos por dividendos y remuneraciones de otros instrumentos de patrimonio</t>
  </si>
  <si>
    <t>a) Dividendos (-)</t>
  </si>
  <si>
    <t>b) Remuneración de otros instrumentos de patrimonio (-)</t>
  </si>
  <si>
    <t>12. Flujos de efectivo de las actividades de financiación ( 9 + 10 + 11)</t>
  </si>
  <si>
    <t>D) EFECTO DE LAS VARIACIONES DE LOS TIPOS DE CAMBIO</t>
  </si>
  <si>
    <t>E) AUMENTO / DISMINUCIÓN NETA DEL EFECTIVO O EQUIVALENTES  ( 5+8+12+D )</t>
  </si>
  <si>
    <t>Efectivo o equivalentes al comienzo del ejercicio  (1)</t>
  </si>
  <si>
    <t>Efectivo o equivalentes al final del ejercicio</t>
  </si>
  <si>
    <t>NOTAS:</t>
  </si>
  <si>
    <r>
      <t xml:space="preserve">(1) Los datos están referenciados al Activo del Balance de Situación, excepto el dato inicial del periodo n-2 que </t>
    </r>
    <r>
      <rPr>
        <b/>
        <u/>
        <sz val="10"/>
        <color indexed="8"/>
        <rFont val="Arial"/>
        <family val="2"/>
        <charset val="1"/>
      </rPr>
      <t>debe indicarse manualmente en la celda F94</t>
    </r>
  </si>
  <si>
    <t>INVERSIONES REALES (1)</t>
  </si>
  <si>
    <t>Ejecución prevista</t>
  </si>
  <si>
    <t>Programación Plurianual (3)</t>
  </si>
  <si>
    <t>Previsión de importe comprometidos a 31-12-</t>
  </si>
  <si>
    <t>(4)</t>
  </si>
  <si>
    <t>hasta 31 diciembre</t>
  </si>
  <si>
    <t>Código</t>
  </si>
  <si>
    <t>Denominación</t>
  </si>
  <si>
    <t>Año inicial</t>
  </si>
  <si>
    <t>Año fin</t>
  </si>
  <si>
    <t>Coste total (2)</t>
  </si>
  <si>
    <t>Resto</t>
  </si>
  <si>
    <t>Solar Pinillos COAGISORA</t>
  </si>
  <si>
    <t>Presa Reverón COAGISORA</t>
  </si>
  <si>
    <t>Depósito de Aripe COAGISORA</t>
  </si>
  <si>
    <t>Instalaciones técnicas</t>
  </si>
  <si>
    <t>Maquinaria</t>
  </si>
  <si>
    <t>Utillaje</t>
  </si>
  <si>
    <t>Otras instalaciones</t>
  </si>
  <si>
    <t>Mobiliario</t>
  </si>
  <si>
    <t>Equipos para proceso de información</t>
  </si>
  <si>
    <t>Elementos de transporte</t>
  </si>
  <si>
    <t>Otro inmovlizado material</t>
  </si>
  <si>
    <t>21X</t>
  </si>
  <si>
    <t>Inversiones varias en inmovilizado material</t>
  </si>
  <si>
    <t>EPI - En especie aportación ECIT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</si>
  <si>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</si>
  <si>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</si>
  <si>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</si>
  <si>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</si>
  <si>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</si>
  <si>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</si>
  <si>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  <charset val="1"/>
      </rPr>
      <t>adjudicadas</t>
    </r>
    <r>
      <rPr>
        <sz val="12"/>
        <color indexed="8"/>
        <rFont val="Arial"/>
        <family val="2"/>
        <charset val="1"/>
      </rPr>
      <t xml:space="preserve"> a 31 / dic /</t>
    </r>
  </si>
  <si>
    <t>, desglosandolos por los ejercicios en los que se prevé realizar la inversión.</t>
  </si>
  <si>
    <t>INVERSIONES NO FINANCIERAS. Variaciones del inmovilizado y existencias</t>
  </si>
  <si>
    <r>
      <t xml:space="preserve">Saldo inicial </t>
    </r>
    <r>
      <rPr>
        <b/>
        <sz val="9"/>
        <color indexed="8"/>
        <rFont val="Arial"/>
        <family val="2"/>
        <charset val="1"/>
      </rPr>
      <t>(1)</t>
    </r>
  </si>
  <si>
    <t>Variaciones</t>
  </si>
  <si>
    <r>
      <t xml:space="preserve">Saldo final </t>
    </r>
    <r>
      <rPr>
        <b/>
        <sz val="9"/>
        <color indexed="8"/>
        <rFont val="Arial"/>
        <family val="2"/>
        <charset val="1"/>
      </rPr>
      <t>(9)</t>
    </r>
  </si>
  <si>
    <t>OBSERVACIONES (10)</t>
  </si>
  <si>
    <t xml:space="preserve"> I. Estimación</t>
  </si>
  <si>
    <t>(+)Adquisiciones      (2)</t>
  </si>
  <si>
    <t>(+/-)Provisión por desmantelamiento (3)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</si>
  <si>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</si>
  <si>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</si>
  <si>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</si>
  <si>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</si>
  <si>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>(+/-) Otras variaciones (especificar en observaciones) (8)</t>
  </si>
  <si>
    <t xml:space="preserve">  Inmovilizado Intangible</t>
  </si>
  <si>
    <t xml:space="preserve">  Inmovilizado material (terrenos)</t>
  </si>
  <si>
    <t xml:space="preserve">  Inmovilizado material (excepto terrenos)</t>
  </si>
  <si>
    <t xml:space="preserve">  Inversiones inmobiliarias (terrenos)</t>
  </si>
  <si>
    <t xml:space="preserve">  Inversiones inmobiliarias (excepto terrenos)</t>
  </si>
  <si>
    <t>TOTAL</t>
  </si>
  <si>
    <t xml:space="preserve">  Existencias</t>
  </si>
  <si>
    <t>II. Previsión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</si>
  <si>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</si>
  <si>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</si>
  <si>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</si>
  <si>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</si>
  <si>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(5)  AMORTIZACIÓN DEL EJERCICIO: se reflejará, con signo negativo, el importe de la amortización dotada en el ejercicio. En su caso, con signo positivo, las correcciones a la amortización acumulada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</si>
  <si>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</si>
  <si>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</si>
  <si>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</si>
  <si>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</si>
  <si>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</si>
  <si>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INVERSIONES FINANCIERAS. Variación de las inversiones financieras e instrumentos de patrimonio.</t>
  </si>
  <si>
    <t>I. INVERSIONES EN EMPRESAS DEL GRUPO Y ASOCIADAS (1)</t>
  </si>
  <si>
    <t>Saldo inicial</t>
  </si>
  <si>
    <t>Porcentaje</t>
  </si>
  <si>
    <t>Dividendo</t>
  </si>
  <si>
    <t>OBSERVACIONES (3)</t>
  </si>
  <si>
    <t>Entidad beneficiaria</t>
  </si>
  <si>
    <t>de balance</t>
  </si>
  <si>
    <t>Adquisiciones (3)</t>
  </si>
  <si>
    <t>Enajenaciones o reembolsos de préstamos concedidos</t>
  </si>
  <si>
    <t>Pérdidas de valor y otros</t>
  </si>
  <si>
    <t>Participación (2)</t>
  </si>
  <si>
    <t>INVERSIONES EN INSTRUMENTOS DE PATRIMONIO (4)</t>
  </si>
  <si>
    <t>24003 - 2933</t>
  </si>
  <si>
    <t>RESTO DE INVERSIONES (5)</t>
  </si>
  <si>
    <t>II. INVERSIONES EN OTRAS EMPRESAS (6)</t>
  </si>
  <si>
    <t>OBSERVACIONES (8)</t>
  </si>
  <si>
    <t>Participación (7)</t>
  </si>
  <si>
    <t>INVERSIONES EN INSTRUMENTOS DE PATRIMONIO (9)</t>
  </si>
  <si>
    <t>RESTO DE INVERSIONES (10)</t>
  </si>
  <si>
    <t>Créditos a largo plazo al personal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</si>
  <si>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</si>
  <si>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</si>
  <si>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</si>
  <si>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</si>
  <si>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</si>
  <si>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</si>
  <si>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(7) % PARTICIPACION: porcentaje total de participación que, al final del ejercicio, la entidad posee en la sociedad.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</si>
  <si>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</si>
  <si>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</si>
  <si>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</si>
  <si>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SUBVENCIONES Y TRANSFERENCIAS (1)</t>
  </si>
  <si>
    <t>I. SUBVENCIONES Y TRANSFERENCIAS.</t>
  </si>
  <si>
    <t>I.1. SUBVENCIONES DE CAPITAL</t>
  </si>
  <si>
    <t>Descripción</t>
  </si>
  <si>
    <t>DATOS SEGÚN CRITERIOS CONTABILIDAD ENTIDAD (2)</t>
  </si>
  <si>
    <t>DATOS SEGÚN CRITERIOS ECIT y OTRAS ADM. PÚBLICAS (3)</t>
  </si>
  <si>
    <t>Subvención</t>
  </si>
  <si>
    <t>Ente</t>
  </si>
  <si>
    <t>ÁREA</t>
  </si>
  <si>
    <t>PROG.</t>
  </si>
  <si>
    <t>ECON.</t>
  </si>
  <si>
    <t>Saldo inicial (neto de efecto impositivo)</t>
  </si>
  <si>
    <t>Anualidad 2017 Red de riego COAGISORA</t>
  </si>
  <si>
    <t>Anualidad Red de riego COPABONA</t>
  </si>
  <si>
    <t>Compra Presa Reverón COAGISORA</t>
  </si>
  <si>
    <t>Depósito Aripe COAGISORA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</si>
  <si>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</si>
  <si>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</si>
  <si>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</si>
  <si>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</si>
  <si>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</si>
  <si>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I.2. SUBVENCIONES DE EXPLOTACIÓN.</t>
  </si>
  <si>
    <t>DATOS SEGÚN CRITERIOS CONTABILIDAD ENTIDAD (4)</t>
  </si>
  <si>
    <t>DATOS SEGÚN CRITERIOS ECIT y OTRAS ADM. PÚBLICAS (5)</t>
  </si>
  <si>
    <t>Elaboración inventario de bienes</t>
  </si>
  <si>
    <t>Costes extraord. elevación agua Fonsalía</t>
  </si>
  <si>
    <t>II. APORTACIONES DE SOCIOS.</t>
  </si>
  <si>
    <t>DATOS SEGÚN CRITERIOS CONTABILIDAD ENTIDAD (6)</t>
  </si>
  <si>
    <t>DATOS SEGÚN CRITERIOS ECIT y OTRAS ADM. PÚBLICAS (7)</t>
  </si>
  <si>
    <t>Aportación genérica Anexo III</t>
  </si>
  <si>
    <t>Compensación no incremento tarifas</t>
  </si>
  <si>
    <t>Incremento 1% gastos de personal</t>
  </si>
  <si>
    <t>Aport. Especie Electrónica Red</t>
  </si>
  <si>
    <r>
      <t>III. EMISIÓN DE INSTRUMENTOS DE PATRIMONIO PROPIO.</t>
    </r>
    <r>
      <rPr>
        <b/>
        <sz val="12"/>
        <color indexed="1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(8)</t>
    </r>
  </si>
  <si>
    <t>TOTAL EMISIÓN</t>
  </si>
  <si>
    <t>NOTAS ACLARATORIAS DE LA ENTIDAD</t>
  </si>
  <si>
    <t>NOTA: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</si>
  <si>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</si>
  <si>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r>
      <t xml:space="preserve">      En las notas siguientes, cuando se refiere a</t>
    </r>
    <r>
      <rPr>
        <b/>
        <sz val="8"/>
        <color indexed="8"/>
        <rFont val="Arial"/>
        <family val="2"/>
        <charset val="1"/>
      </rPr>
      <t xml:space="preserve"> importes estimados</t>
    </r>
    <r>
      <rPr>
        <sz val="8"/>
        <color indexed="8"/>
        <rFont val="Arial"/>
        <family val="2"/>
        <charset val="1"/>
      </rPr>
      <t xml:space="preserve"> son los correspondientes a:</t>
    </r>
  </si>
  <si>
    <r>
      <t>Cuando se refiere a</t>
    </r>
    <r>
      <rPr>
        <b/>
        <sz val="8"/>
        <color indexed="8"/>
        <rFont val="Arial"/>
        <family val="2"/>
        <charset val="1"/>
      </rPr>
      <t xml:space="preserve"> importes previsibles</t>
    </r>
    <r>
      <rPr>
        <sz val="8"/>
        <color indexed="8"/>
        <rFont val="Arial"/>
        <family val="2"/>
        <charset val="1"/>
      </rPr>
      <t xml:space="preserve"> son los correspondientes a:</t>
    </r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</si>
  <si>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</si>
  <si>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</si>
  <si>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</si>
  <si>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</si>
  <si>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</si>
  <si>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 xml:space="preserve">      de la subvención.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</si>
  <si>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</si>
  <si>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</si>
  <si>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 xml:space="preserve">       pública que otorgara la subvención y la entidad/sociedad son coincidentes, deben indicarse idénticas cifras en ambos cuadros.</t>
  </si>
  <si>
    <t>(6) Se indicarán los importes de las aportaciones de socios estimadas y previsibles que se registran en la cuenta contable 118 y que se recogen en el epígrafe A1) VI. del patrimonio neto del balance.</t>
  </si>
  <si>
    <r>
      <t xml:space="preserve">(7) Se indicarán los importes de las </t>
    </r>
    <r>
      <rPr>
        <sz val="8"/>
        <rFont val="Arial"/>
        <family val="2"/>
        <charset val="1"/>
      </rPr>
      <t>aportaciones genéricas</t>
    </r>
    <r>
      <rPr>
        <sz val="8"/>
        <color indexed="8"/>
        <rFont val="Arial"/>
        <family val="2"/>
        <charset val="1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</si>
  <si>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 xml:space="preserve">       indicarse idénticas cifras en ambos cuadros.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</si>
  <si>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</si>
  <si>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t xml:space="preserve">      importe total de la ampliación de capital + prima de emisión.</t>
  </si>
  <si>
    <t>DEUDAS A CORTO Y LARGO PLAZO</t>
  </si>
  <si>
    <t>I. OPERACIONES DE CRÉDITO A CORTO PLAZO  (1)</t>
  </si>
  <si>
    <t>Nº</t>
  </si>
  <si>
    <t>Tipo</t>
  </si>
  <si>
    <t>Fecha</t>
  </si>
  <si>
    <t>Entidad</t>
  </si>
  <si>
    <t>Epígrafe</t>
  </si>
  <si>
    <t>Avalada por</t>
  </si>
  <si>
    <t>Avalado por</t>
  </si>
  <si>
    <t>Importe</t>
  </si>
  <si>
    <t>Saldo 31-12</t>
  </si>
  <si>
    <t>Disposición Capital</t>
  </si>
  <si>
    <t>Capital Amort. (3)</t>
  </si>
  <si>
    <t>Intereses (4)</t>
  </si>
  <si>
    <t>Otros gastos financieros(5)</t>
  </si>
  <si>
    <t>Operación</t>
  </si>
  <si>
    <t>Concesión</t>
  </si>
  <si>
    <t>Vencimiento</t>
  </si>
  <si>
    <t>Financiera</t>
  </si>
  <si>
    <t>Balance</t>
  </si>
  <si>
    <t>Cabildo (2)</t>
  </si>
  <si>
    <t>Otra entidad (3)</t>
  </si>
  <si>
    <t>Concedido</t>
  </si>
  <si>
    <t xml:space="preserve"> </t>
  </si>
  <si>
    <t xml:space="preserve">   Total </t>
  </si>
  <si>
    <t>II. OPERACIONES DE CRÉDITO A  LARGO PLAZO. (1)</t>
  </si>
  <si>
    <t>Clasificación (7)</t>
  </si>
  <si>
    <t>corto plazo</t>
  </si>
  <si>
    <t>largo plazo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</si>
  <si>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</si>
  <si>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indexed="8"/>
        <rFont val="Arial"/>
        <family val="2"/>
        <charset val="1"/>
      </rPr>
      <t>(si/no)</t>
    </r>
  </si>
  <si>
    <t>(3) Indicar la entidad, distinta del Excmo. Cabildo Insular de Tenerife que avala la operación</t>
  </si>
  <si>
    <r>
      <t xml:space="preserve">(4) Cuota de amortización del principal de la deuda, y/o amortización anticipada prevista. (Capital a amortizar). </t>
    </r>
    <r>
      <rPr>
        <b/>
        <sz val="10"/>
        <color indexed="8"/>
        <rFont val="Arial"/>
        <family val="2"/>
        <charset val="1"/>
      </rPr>
      <t>CIFRA EN POSITIVO</t>
    </r>
  </si>
  <si>
    <t xml:space="preserve">(5) Intereses devengados en el ejercicio. </t>
  </si>
  <si>
    <t>(6) Otros gastos financieros relacionados con la operación, por ejemplo, gastos de avales, gastos de formalización, etc.</t>
  </si>
  <si>
    <t>(7) Desglose del saldo a fin de ejercicio entre lo que vence a corto plazo (1 año) y lo que vence a largo plazo (más de un año)</t>
  </si>
  <si>
    <t>DEUDA VIVA Y PREVISIÓN DE VENCIMIENTOS DE DEUDA</t>
  </si>
  <si>
    <t>Deuda viva</t>
  </si>
  <si>
    <t>Vencimientos previstos</t>
  </si>
  <si>
    <t>a 31 dic.</t>
  </si>
  <si>
    <t>ene</t>
  </si>
  <si>
    <t>feb</t>
  </si>
  <si>
    <t>mar</t>
  </si>
  <si>
    <t>Concepto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</si>
  <si>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</si>
  <si>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</si>
  <si>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</si>
  <si>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</si>
  <si>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</si>
  <si>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</si>
  <si>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</si>
  <si>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indexed="8"/>
        <rFont val="Arial"/>
        <family val="2"/>
        <charset val="1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</si>
  <si>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</si>
  <si>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</si>
  <si>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</si>
  <si>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>PERFIL DE VENCIMIENTO DE DEUDA EN LOS PRÓXIMOS 10 AÑOS.</t>
    </r>
    <r>
      <rPr>
        <b/>
        <sz val="10"/>
        <color indexed="8"/>
        <rFont val="Arial"/>
        <family val="2"/>
        <charset val="1"/>
      </rPr>
      <t xml:space="preserve"> (Total de operaciones contratadas y previsto contratar en el ejercicio presupuestado)</t>
    </r>
  </si>
  <si>
    <r>
      <t xml:space="preserve">Vencimientos previstos en el ejercicio </t>
    </r>
    <r>
      <rPr>
        <b/>
        <sz val="10"/>
        <rFont val="Arial"/>
        <family val="2"/>
        <charset val="1"/>
      </rPr>
      <t>(Incluyendo las operaciones contratadas y previsto contratar en el ejercicio presupuestado)</t>
    </r>
  </si>
  <si>
    <t xml:space="preserve">   Total vencimientos</t>
  </si>
  <si>
    <t>NOTA</t>
  </si>
  <si>
    <t>PERSONAL</t>
  </si>
  <si>
    <t xml:space="preserve">I. SECTORES A CONSIDERAR. (Se cumplimentará un cuadro para cada uno de los sectores de actividad de la Entidad)    </t>
  </si>
  <si>
    <t>(Marcar con X)</t>
  </si>
  <si>
    <t>x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</si>
  <si>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</si>
  <si>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</si>
  <si>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</si>
  <si>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</si>
  <si>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</si>
  <si>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>II. DATOS DE PLANTILLAS Y RETRIBUCIONES DE UN DETERMINADO SECTOR</t>
  </si>
  <si>
    <t xml:space="preserve">  Número total de efectivos</t>
  </si>
  <si>
    <t xml:space="preserve">  Número total de gastos</t>
  </si>
  <si>
    <t>III. GASTOS DISTRIBUIDOS POR GRUPOS DE PERSONAL</t>
  </si>
  <si>
    <t>Retribuciones distribuidas por grupos</t>
  </si>
  <si>
    <t>Grupo de</t>
  </si>
  <si>
    <t>Número de</t>
  </si>
  <si>
    <t>Sueldos y salarios</t>
  </si>
  <si>
    <t>Retribución</t>
  </si>
  <si>
    <t>Planes de</t>
  </si>
  <si>
    <t xml:space="preserve">Otras </t>
  </si>
  <si>
    <t>Total</t>
  </si>
  <si>
    <t>efectivos</t>
  </si>
  <si>
    <t>(excepto variable)</t>
  </si>
  <si>
    <t>Variable</t>
  </si>
  <si>
    <t>Pensiones</t>
  </si>
  <si>
    <t>Retribuciones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</si>
  <si>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</si>
  <si>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</si>
  <si>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</si>
  <si>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</si>
  <si>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</si>
  <si>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</si>
  <si>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 xml:space="preserve">Total </t>
  </si>
  <si>
    <t>IV. GASTOS COMUNES SIN DISTRIBUIR POR GRUPOS</t>
  </si>
  <si>
    <t>Acción social</t>
  </si>
  <si>
    <t>Seguridad Social</t>
  </si>
  <si>
    <t>V. OBSERVACIONES</t>
  </si>
  <si>
    <t>Esta hoja se cumplimentará con los mismos datos que resulten de la hoja 'Resumen Personal' del fichero "Desglose gastos personal".</t>
  </si>
  <si>
    <t>OPERACIONES INTERNAS</t>
  </si>
  <si>
    <t>VENTAS Y PRESTACIONES DE SERVICIOS PREVISTAS (IGIC Incluido)</t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</si>
  <si>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</si>
  <si>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</si>
  <si>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</si>
  <si>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</si>
  <si>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</si>
  <si>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</si>
  <si>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</si>
  <si>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</si>
  <si>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TEA, TENERFE ESPACIO DE LAS ARTES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</si>
  <si>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</si>
  <si>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</si>
  <si>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</si>
  <si>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</si>
  <si>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</si>
  <si>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</si>
  <si>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</si>
  <si>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</si>
  <si>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</si>
  <si>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</si>
  <si>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</si>
  <si>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</si>
  <si>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</si>
  <si>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</si>
  <si>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</si>
  <si>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</si>
  <si>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</si>
  <si>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</si>
  <si>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</si>
  <si>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</si>
  <si>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</si>
  <si>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</si>
  <si>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</si>
  <si>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</si>
  <si>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</si>
  <si>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</si>
  <si>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</si>
  <si>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</si>
  <si>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</si>
  <si>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</si>
  <si>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</si>
  <si>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</si>
  <si>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 xml:space="preserve">ENTIDADES CON PARTICIPACIÓN MINORITARIA EN EL CAPITAL SOCIAL PERO QUE FORMAN PARTE DEL SECTOR PÚBLICO INSULAR 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</si>
  <si>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</si>
  <si>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</si>
  <si>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</si>
  <si>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</si>
  <si>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</si>
  <si>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</si>
  <si>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</si>
  <si>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</si>
  <si>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Importe anualidad</t>
  </si>
  <si>
    <t>Área</t>
  </si>
  <si>
    <t>Encomienda</t>
  </si>
  <si>
    <t>Duración</t>
  </si>
  <si>
    <t>CAPACIDAD / NECESIDAD DE FINANCIACIÓN DE LA ENTIDAD (Calculada conforme a las normas del Sistema Europeo de Cuentas)</t>
  </si>
  <si>
    <t>( +/- ) Importe</t>
  </si>
  <si>
    <t>contemplado</t>
  </si>
  <si>
    <t>Informe Evaluación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</si>
  <si>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</si>
  <si>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</si>
  <si>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</si>
  <si>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</si>
  <si>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</si>
  <si>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</si>
  <si>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</si>
  <si>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</si>
  <si>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r>
      <t>Aportaciones patrimoniales</t>
    </r>
    <r>
      <rPr>
        <sz val="12"/>
        <color indexed="8"/>
        <rFont val="Arial"/>
        <family val="2"/>
        <charset val="1"/>
      </rPr>
      <t xml:space="preserve"> (Aumento de capital + aportaciones de socios)</t>
    </r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</si>
  <si>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</si>
  <si>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</si>
  <si>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</si>
  <si>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</si>
  <si>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</si>
  <si>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</si>
  <si>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</si>
  <si>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</si>
  <si>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</si>
  <si>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</si>
  <si>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</si>
  <si>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</si>
  <si>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</si>
  <si>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(1) Este saldo aparecerá como mayor gasto en caso de reducción de existencias (-) y como menor gasto en caso de incremento (+)</t>
  </si>
  <si>
    <t>FUENTES DE FINANCIACIÓN</t>
  </si>
  <si>
    <t>%</t>
  </si>
  <si>
    <t>1. Ventas de bienes y prestaciones de servicios dentro del sector público</t>
  </si>
  <si>
    <t>a.</t>
  </si>
  <si>
    <t>A la Entidad Local o a sus unidades dependientes</t>
  </si>
  <si>
    <t>b.</t>
  </si>
  <si>
    <t>A otras administraciones públicas</t>
  </si>
  <si>
    <t>c.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</si>
  <si>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</si>
  <si>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</si>
  <si>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</si>
  <si>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</si>
  <si>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otras administraciones y entes públicos</t>
  </si>
  <si>
    <t>De la Unión Europea</t>
  </si>
  <si>
    <t>4. Otros ingresos (especificar en su caso)</t>
  </si>
  <si>
    <t>TOTAL ( 1 + 2 + 3 + 4 )</t>
  </si>
  <si>
    <t>ESTRUCTURA PRESUPUESTARIA  -  ESTADO DE PREVISIÓN DE INGRESOS Y GASTOS</t>
  </si>
  <si>
    <t>Capítulos Ingresos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</si>
  <si>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</si>
  <si>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</si>
  <si>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</si>
  <si>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</si>
  <si>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</si>
  <si>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</si>
  <si>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</si>
  <si>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</si>
  <si>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</si>
  <si>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</si>
  <si>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</si>
  <si>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</si>
  <si>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</si>
  <si>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</si>
  <si>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Gastos</t>
  </si>
  <si>
    <t>Gastos de Personal</t>
  </si>
  <si>
    <t>Compra de Bienes y Servicios</t>
  </si>
  <si>
    <t>Intereses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</si>
  <si>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</si>
  <si>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</si>
  <si>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</si>
  <si>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</si>
  <si>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</si>
  <si>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</si>
  <si>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</si>
  <si>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</si>
  <si>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</si>
  <si>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</si>
  <si>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(-)Amortización del ejercicio (5)</t>
  </si>
  <si>
    <t>(+/-)Deterioro o Reversión del deterioro (6)</t>
  </si>
  <si>
    <t>ACTIVO FIJO FINANCIERO</t>
  </si>
  <si>
    <t>VARIACIÓN DEUDAS COMERCIALES NO CORRIENTES</t>
  </si>
  <si>
    <t>VARIACIÓN ACTIVO CORRIENTE SIN INVERSIONES FINANCIERAS A C/P</t>
  </si>
  <si>
    <t>VARIACIÓN DEL PATRIMONIO NETO</t>
  </si>
  <si>
    <t>VARIACIÓN DEL PASIVO CORRIENTE - NO CORRIENTE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</si>
  <si>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</si>
  <si>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</si>
  <si>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</si>
  <si>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FC-93</t>
  </si>
  <si>
    <t>0604</t>
  </si>
  <si>
    <t>4190</t>
  </si>
  <si>
    <t>74302</t>
  </si>
  <si>
    <t>0711</t>
  </si>
  <si>
    <t>9261</t>
  </si>
  <si>
    <t>Redes de riego y pozos de la isla de Tenerife</t>
  </si>
  <si>
    <t>Redes de riego y pozos de la Isla de 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</si>
</sst>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42" x14ac:knownFonts="1">
    <font>
      <sz val="12"/>
      <color indexed="8"/>
      <name val="Arial"/>
      <family val="2"/>
      <charset val="1"/>
    </font>
    <font>
      <sz val="10"/>
      <name val="Arial"/>
      <family val="2"/>
    </font>
    <font>
      <b/>
      <sz val="12"/>
      <color indexed="8"/>
      <name val="Arial"/>
      <family val="2"/>
      <charset val="1"/>
    </font>
    <font>
      <b/>
      <sz val="22"/>
      <color indexed="8"/>
      <name val="Arial"/>
      <family val="2"/>
      <charset val="1"/>
    </font>
    <font>
      <b/>
      <sz val="14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55"/>
      <name val="Arial"/>
      <family val="2"/>
      <charset val="1"/>
    </font>
    <font>
      <sz val="12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sz val="14"/>
      <color indexed="8"/>
      <name val="Arial"/>
      <family val="2"/>
      <charset val="1"/>
    </font>
    <font>
      <b/>
      <sz val="14"/>
      <name val="Arial"/>
      <family val="2"/>
      <charset val="1"/>
    </font>
    <font>
      <b/>
      <sz val="14"/>
      <color indexed="10"/>
      <name val="Arial"/>
      <family val="2"/>
      <charset val="1"/>
    </font>
    <font>
      <sz val="12"/>
      <color indexed="9"/>
      <name val="Arial"/>
      <family val="2"/>
      <charset val="1"/>
    </font>
    <font>
      <b/>
      <sz val="11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10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i/>
      <sz val="11"/>
      <color indexed="8"/>
      <name val="Arial"/>
      <family val="2"/>
      <charset val="1"/>
    </font>
    <font>
      <b/>
      <i/>
      <sz val="12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b/>
      <u/>
      <sz val="12"/>
      <color indexed="8"/>
      <name val="Arial"/>
      <family val="2"/>
      <charset val="1"/>
    </font>
    <font>
      <b/>
      <i/>
      <sz val="14"/>
      <color indexed="8"/>
      <name val="Arial"/>
      <family val="2"/>
      <charset val="1"/>
    </font>
    <font>
      <i/>
      <sz val="10"/>
      <color indexed="8"/>
      <name val="Arial"/>
      <family val="2"/>
      <charset val="1"/>
    </font>
    <font>
      <sz val="16"/>
      <color indexed="8"/>
      <name val="Arial"/>
      <family val="2"/>
      <charset val="1"/>
    </font>
    <font>
      <sz val="14"/>
      <color indexed="10"/>
      <name val="Arial"/>
      <family val="2"/>
      <charset val="1"/>
    </font>
    <font>
      <b/>
      <u/>
      <sz val="10"/>
      <color indexed="8"/>
      <name val="Arial"/>
      <family val="2"/>
      <charset val="1"/>
    </font>
    <font>
      <b/>
      <u/>
      <sz val="12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color indexed="10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</fills>
  <borders count="163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hair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hair">
        <color indexed="22"/>
      </left>
      <right style="thin">
        <color indexed="22"/>
      </right>
      <top style="hair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22"/>
      </top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22"/>
      </top>
      <bottom style="medium">
        <color indexed="55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/>
      <diagonal/>
    </border>
    <border>
      <left style="thin">
        <color indexed="55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hair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hair">
        <color indexed="55"/>
      </bottom>
      <diagonal/>
    </border>
    <border>
      <left style="thin">
        <color indexed="22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22"/>
      </left>
      <right style="thin">
        <color indexed="22"/>
      </right>
      <top style="hair">
        <color indexed="55"/>
      </top>
      <bottom style="hair">
        <color indexed="55"/>
      </bottom>
      <diagonal/>
    </border>
    <border>
      <left style="thin">
        <color indexed="22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medium">
        <color indexed="55"/>
      </bottom>
      <diagonal/>
    </border>
    <border>
      <left style="thin">
        <color indexed="22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 style="thin">
        <color indexed="22"/>
      </left>
      <right style="thin">
        <color indexed="22"/>
      </right>
      <top/>
      <bottom style="hair">
        <color indexed="55"/>
      </bottom>
      <diagonal/>
    </border>
    <border>
      <left style="thin">
        <color indexed="22"/>
      </left>
      <right/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 style="thin">
        <color indexed="22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 style="thin">
        <color indexed="22"/>
      </left>
      <right style="thin">
        <color indexed="22"/>
      </right>
      <top style="medium">
        <color indexed="55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hair">
        <color indexed="22"/>
      </bottom>
      <diagonal/>
    </border>
    <border>
      <left/>
      <right style="thin">
        <color indexed="22"/>
      </right>
      <top style="thin">
        <color indexed="22"/>
      </top>
      <bottom style="hair">
        <color indexed="22"/>
      </bottom>
      <diagonal/>
    </border>
    <border>
      <left style="thin">
        <color indexed="22"/>
      </left>
      <right/>
      <top style="hair">
        <color indexed="22"/>
      </top>
      <bottom style="thin">
        <color indexed="22"/>
      </bottom>
      <diagonal/>
    </border>
    <border>
      <left/>
      <right style="thin">
        <color indexed="22"/>
      </right>
      <top style="hair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hair">
        <color indexed="22"/>
      </bottom>
      <diagonal/>
    </border>
    <border>
      <left/>
      <right style="thin">
        <color indexed="22"/>
      </right>
      <top style="medium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hair">
        <color indexed="22"/>
      </bottom>
      <diagonal/>
    </border>
    <border>
      <left/>
      <right/>
      <top style="medium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hair">
        <color indexed="22"/>
      </bottom>
      <diagonal/>
    </border>
    <border>
      <left style="thin">
        <color indexed="22"/>
      </left>
      <right/>
      <top/>
      <bottom style="hair">
        <color indexed="22"/>
      </bottom>
      <diagonal/>
    </border>
    <border>
      <left/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 style="thin">
        <color indexed="22"/>
      </right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22"/>
      </left>
      <right/>
      <top style="hair">
        <color indexed="22"/>
      </top>
      <bottom/>
      <diagonal/>
    </border>
    <border>
      <left/>
      <right style="thin">
        <color indexed="22"/>
      </right>
      <top style="hair">
        <color indexed="22"/>
      </top>
      <bottom/>
      <diagonal/>
    </border>
    <border>
      <left style="thin">
        <color indexed="22"/>
      </left>
      <right style="thin">
        <color indexed="22"/>
      </right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22"/>
      </right>
      <top/>
      <bottom style="thin">
        <color indexed="55"/>
      </bottom>
      <diagonal/>
    </border>
    <border>
      <left/>
      <right style="thin">
        <color indexed="22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hair">
        <color indexed="55"/>
      </bottom>
      <diagonal/>
    </border>
    <border>
      <left/>
      <right style="thin">
        <color indexed="22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22"/>
      </right>
      <top style="hair">
        <color indexed="55"/>
      </top>
      <bottom style="hair">
        <color indexed="55"/>
      </bottom>
      <diagonal/>
    </border>
    <border>
      <left/>
      <right style="thin">
        <color indexed="22"/>
      </right>
      <top style="hair">
        <color indexed="55"/>
      </top>
      <bottom style="hair">
        <color indexed="55"/>
      </bottom>
      <diagonal/>
    </border>
    <border>
      <left style="thin">
        <color indexed="22"/>
      </left>
      <right/>
      <top style="hair">
        <color indexed="55"/>
      </top>
      <bottom style="thin">
        <color indexed="22"/>
      </bottom>
      <diagonal/>
    </border>
    <border>
      <left/>
      <right/>
      <top style="hair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22"/>
      </right>
      <top style="hair">
        <color indexed="55"/>
      </top>
      <bottom style="thin">
        <color indexed="22"/>
      </bottom>
      <diagonal/>
    </border>
    <border>
      <left/>
      <right style="thin">
        <color indexed="22"/>
      </right>
      <top style="hair">
        <color indexed="55"/>
      </top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 style="thin">
        <color indexed="55"/>
      </left>
      <right style="thin">
        <color indexed="22"/>
      </right>
      <top/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55"/>
      </right>
      <top style="thin">
        <color indexed="55"/>
      </top>
      <bottom/>
      <diagonal/>
    </border>
    <border>
      <left style="thin">
        <color indexed="22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2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22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22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22"/>
      </left>
      <right style="thin">
        <color indexed="55"/>
      </right>
      <top/>
      <bottom style="medium">
        <color indexed="55"/>
      </bottom>
      <diagonal/>
    </border>
    <border>
      <left style="thin">
        <color indexed="22"/>
      </left>
      <right/>
      <top style="thin">
        <color indexed="22"/>
      </top>
      <bottom style="medium">
        <color indexed="55"/>
      </bottom>
      <diagonal/>
    </border>
    <border>
      <left/>
      <right/>
      <top style="thin">
        <color indexed="22"/>
      </top>
      <bottom style="medium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medium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medium">
        <color indexed="22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/>
      <right style="hair">
        <color indexed="22"/>
      </right>
      <top style="thin">
        <color indexed="22"/>
      </top>
      <bottom style="medium">
        <color indexed="22"/>
      </bottom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thin">
        <color indexed="22"/>
      </left>
      <right style="hair">
        <color indexed="22"/>
      </right>
      <top/>
      <bottom style="thin">
        <color indexed="22"/>
      </bottom>
      <diagonal/>
    </border>
    <border>
      <left style="hair">
        <color indexed="22"/>
      </left>
      <right style="hair">
        <color indexed="22"/>
      </right>
      <top/>
      <bottom style="thin">
        <color indexed="22"/>
      </bottom>
      <diagonal/>
    </border>
    <border>
      <left style="hair">
        <color indexed="22"/>
      </left>
      <right style="thin">
        <color indexed="22"/>
      </right>
      <top/>
      <bottom style="thin">
        <color indexed="22"/>
      </bottom>
      <diagonal/>
    </border>
    <border>
      <left style="hair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medium">
        <color indexed="22"/>
      </bottom>
      <diagonal/>
    </border>
  </borders>
  <cellStyleXfs count="3">
    <xf numFmtId="0" fontId="0" fillId="0" borderId="0"/>
    <xf numFmtId="0" fontId="1" fillId="0" borderId="0"/>
    <xf numFmtId="9" fontId="40" fillId="0" borderId="0" applyFill="0" applyBorder="0" applyProtection="0"/>
  </cellStyleXfs>
  <cellXfs count="1037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2" fillId="2" borderId="0" xfId="0" applyFont="1" applyFill="1" applyBorder="1"/>
    <xf numFmtId="0" fontId="0" fillId="2" borderId="5" xfId="0" applyFont="1" applyFill="1" applyBorder="1"/>
    <xf numFmtId="0" fontId="0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/>
    <xf numFmtId="0" fontId="2" fillId="2" borderId="0" xfId="0" applyFont="1" applyFill="1"/>
    <xf numFmtId="0" fontId="2" fillId="2" borderId="7" xfId="0" applyFont="1" applyFill="1" applyBorder="1"/>
    <xf numFmtId="0" fontId="0" fillId="2" borderId="7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5" fillId="2" borderId="0" xfId="0" applyFont="1" applyFill="1"/>
    <xf numFmtId="0" fontId="5" fillId="2" borderId="0" xfId="0" applyFont="1" applyFill="1" applyBorder="1"/>
    <xf numFmtId="164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7" fillId="2" borderId="1" xfId="0" applyFont="1" applyFill="1" applyBorder="1"/>
    <xf numFmtId="0" fontId="8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9" fillId="2" borderId="4" xfId="0" applyFont="1" applyFill="1" applyBorder="1"/>
    <xf numFmtId="0" fontId="10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2" fillId="2" borderId="5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4" fontId="0" fillId="2" borderId="13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vertical="center"/>
    </xf>
    <xf numFmtId="0" fontId="0" fillId="6" borderId="15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center" vertical="center"/>
    </xf>
    <xf numFmtId="0" fontId="12" fillId="2" borderId="0" xfId="0" applyFont="1" applyFill="1"/>
    <xf numFmtId="0" fontId="0" fillId="2" borderId="6" xfId="0" applyFont="1" applyFill="1" applyBorder="1" applyAlignment="1">
      <alignment vertical="center"/>
    </xf>
    <xf numFmtId="0" fontId="0" fillId="6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0" fillId="0" borderId="4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0" fillId="2" borderId="18" xfId="0" applyFont="1" applyFill="1" applyBorder="1"/>
    <xf numFmtId="0" fontId="0" fillId="2" borderId="19" xfId="0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13" fillId="2" borderId="16" xfId="0" applyFont="1" applyFill="1" applyBorder="1"/>
    <xf numFmtId="0" fontId="13" fillId="2" borderId="16" xfId="0" applyFont="1" applyFill="1" applyBorder="1" applyAlignment="1">
      <alignment horizontal="center" wrapText="1"/>
    </xf>
    <xf numFmtId="0" fontId="14" fillId="2" borderId="20" xfId="0" applyFont="1" applyFill="1" applyBorder="1"/>
    <xf numFmtId="0" fontId="0" fillId="2" borderId="0" xfId="0" applyFont="1" applyFill="1" applyProtection="1">
      <protection locked="0"/>
    </xf>
    <xf numFmtId="0" fontId="14" fillId="2" borderId="20" xfId="0" applyFont="1" applyFill="1" applyBorder="1" applyAlignment="1" applyProtection="1">
      <protection locked="0"/>
    </xf>
    <xf numFmtId="164" fontId="14" fillId="2" borderId="20" xfId="0" applyNumberFormat="1" applyFont="1" applyFill="1" applyBorder="1" applyAlignment="1" applyProtection="1">
      <alignment horizontal="center"/>
      <protection locked="0"/>
    </xf>
    <xf numFmtId="0" fontId="14" fillId="2" borderId="21" xfId="0" applyFont="1" applyFill="1" applyBorder="1"/>
    <xf numFmtId="0" fontId="14" fillId="2" borderId="21" xfId="0" applyFont="1" applyFill="1" applyBorder="1" applyAlignment="1" applyProtection="1">
      <protection locked="0"/>
    </xf>
    <xf numFmtId="164" fontId="14" fillId="2" borderId="21" xfId="0" applyNumberFormat="1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15" fillId="0" borderId="5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/>
    <xf numFmtId="0" fontId="14" fillId="2" borderId="0" xfId="0" applyFont="1" applyFill="1" applyBorder="1" applyAlignment="1">
      <alignment horizontal="left"/>
    </xf>
    <xf numFmtId="164" fontId="14" fillId="2" borderId="0" xfId="0" applyNumberFormat="1" applyFont="1" applyFill="1" applyBorder="1" applyAlignment="1">
      <alignment horizontal="center"/>
    </xf>
    <xf numFmtId="0" fontId="14" fillId="2" borderId="18" xfId="0" applyFont="1" applyFill="1" applyBorder="1"/>
    <xf numFmtId="0" fontId="14" fillId="2" borderId="18" xfId="0" applyFont="1" applyFill="1" applyBorder="1" applyAlignment="1" applyProtection="1">
      <protection locked="0"/>
    </xf>
    <xf numFmtId="164" fontId="14" fillId="2" borderId="18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0" fillId="2" borderId="0" xfId="0" applyFont="1" applyFill="1" applyProtection="1"/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vertical="center"/>
    </xf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4" xfId="0" applyFont="1" applyFill="1" applyBorder="1" applyProtection="1"/>
    <xf numFmtId="0" fontId="2" fillId="2" borderId="0" xfId="0" applyFont="1" applyFill="1" applyBorder="1" applyProtection="1"/>
    <xf numFmtId="0" fontId="5" fillId="2" borderId="5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 vertical="center"/>
    </xf>
    <xf numFmtId="0" fontId="0" fillId="2" borderId="4" xfId="0" applyFont="1" applyFill="1" applyBorder="1" applyProtection="1"/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left" vertical="center" wrapText="1"/>
    </xf>
    <xf numFmtId="0" fontId="0" fillId="2" borderId="5" xfId="0" applyFont="1" applyFill="1" applyBorder="1" applyProtection="1"/>
    <xf numFmtId="0" fontId="4" fillId="2" borderId="0" xfId="0" applyFont="1" applyFill="1" applyAlignment="1" applyProtection="1">
      <alignment vertical="center"/>
    </xf>
    <xf numFmtId="0" fontId="9" fillId="2" borderId="4" xfId="0" applyFont="1" applyFill="1" applyBorder="1" applyProtection="1"/>
    <xf numFmtId="0" fontId="4" fillId="3" borderId="0" xfId="0" applyFont="1" applyFill="1" applyBorder="1" applyAlignment="1" applyProtection="1">
      <alignment vertical="center"/>
    </xf>
    <xf numFmtId="0" fontId="9" fillId="2" borderId="5" xfId="0" applyFont="1" applyFill="1" applyBorder="1" applyProtection="1"/>
    <xf numFmtId="0" fontId="2" fillId="2" borderId="16" xfId="0" applyFont="1" applyFill="1" applyBorder="1" applyProtection="1"/>
    <xf numFmtId="0" fontId="1" fillId="2" borderId="16" xfId="0" applyNumberFormat="1" applyFont="1" applyFill="1" applyBorder="1" applyAlignment="1" applyProtection="1">
      <alignment horizontal="left"/>
    </xf>
    <xf numFmtId="0" fontId="5" fillId="2" borderId="16" xfId="0" applyFont="1" applyFill="1" applyBorder="1" applyProtection="1"/>
    <xf numFmtId="0" fontId="5" fillId="2" borderId="16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wrapText="1"/>
    </xf>
    <xf numFmtId="0" fontId="5" fillId="2" borderId="4" xfId="0" applyFont="1" applyFill="1" applyBorder="1" applyAlignment="1" applyProtection="1">
      <alignment wrapText="1"/>
    </xf>
    <xf numFmtId="0" fontId="5" fillId="2" borderId="16" xfId="0" applyFont="1" applyFill="1" applyBorder="1" applyAlignment="1" applyProtection="1">
      <alignment wrapText="1"/>
    </xf>
    <xf numFmtId="0" fontId="5" fillId="2" borderId="16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wrapText="1"/>
    </xf>
    <xf numFmtId="0" fontId="5" fillId="2" borderId="20" xfId="0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10" fontId="5" fillId="2" borderId="20" xfId="0" applyNumberFormat="1" applyFont="1" applyFill="1" applyBorder="1" applyAlignment="1" applyProtection="1">
      <alignment horizontal="center"/>
      <protection locked="0"/>
    </xf>
    <xf numFmtId="3" fontId="5" fillId="2" borderId="20" xfId="0" applyNumberFormat="1" applyFont="1" applyFill="1" applyBorder="1" applyAlignment="1" applyProtection="1">
      <alignment horizontal="center"/>
      <protection locked="0"/>
    </xf>
    <xf numFmtId="4" fontId="5" fillId="2" borderId="20" xfId="0" applyNumberFormat="1" applyFont="1" applyFill="1" applyBorder="1" applyProtection="1">
      <protection locked="0"/>
    </xf>
    <xf numFmtId="0" fontId="5" fillId="2" borderId="21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10" fontId="5" fillId="2" borderId="21" xfId="0" applyNumberFormat="1" applyFont="1" applyFill="1" applyBorder="1" applyAlignment="1" applyProtection="1">
      <alignment horizontal="center"/>
      <protection locked="0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4" fontId="5" fillId="2" borderId="21" xfId="0" applyNumberFormat="1" applyFont="1" applyFill="1" applyBorder="1" applyProtection="1">
      <protection locked="0"/>
    </xf>
    <xf numFmtId="10" fontId="5" fillId="2" borderId="20" xfId="0" applyNumberFormat="1" applyFont="1" applyFill="1" applyBorder="1" applyProtection="1">
      <protection locked="0"/>
    </xf>
    <xf numFmtId="3" fontId="5" fillId="2" borderId="20" xfId="0" applyNumberFormat="1" applyFont="1" applyFill="1" applyBorder="1" applyProtection="1">
      <protection locked="0"/>
    </xf>
    <xf numFmtId="10" fontId="5" fillId="2" borderId="21" xfId="0" applyNumberFormat="1" applyFont="1" applyFill="1" applyBorder="1" applyProtection="1">
      <protection locked="0"/>
    </xf>
    <xf numFmtId="3" fontId="5" fillId="2" borderId="21" xfId="0" applyNumberFormat="1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vertical="center"/>
    </xf>
    <xf numFmtId="0" fontId="5" fillId="2" borderId="8" xfId="0" applyFont="1" applyFill="1" applyBorder="1" applyProtection="1"/>
    <xf numFmtId="0" fontId="5" fillId="2" borderId="9" xfId="0" applyFont="1" applyFill="1" applyBorder="1" applyAlignment="1" applyProtection="1">
      <alignment horizontal="left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6" fillId="2" borderId="0" xfId="0" applyFont="1" applyFill="1" applyAlignment="1" applyProtection="1">
      <alignment horizontal="right"/>
    </xf>
    <xf numFmtId="0" fontId="5" fillId="2" borderId="0" xfId="0" applyFont="1" applyFill="1" applyProtection="1"/>
    <xf numFmtId="0" fontId="0" fillId="2" borderId="0" xfId="0" applyFont="1" applyFill="1" applyBorder="1" applyProtection="1"/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6" borderId="6" xfId="0" applyNumberFormat="1" applyFont="1" applyFill="1" applyBorder="1" applyAlignment="1" applyProtection="1">
      <alignment horizontal="center" wrapText="1"/>
    </xf>
    <xf numFmtId="165" fontId="0" fillId="2" borderId="13" xfId="0" applyNumberFormat="1" applyFont="1" applyFill="1" applyBorder="1" applyAlignment="1" applyProtection="1">
      <alignment horizontal="center"/>
      <protection locked="0"/>
    </xf>
    <xf numFmtId="3" fontId="0" fillId="2" borderId="13" xfId="0" applyNumberFormat="1" applyFont="1" applyFill="1" applyBorder="1" applyAlignment="1" applyProtection="1">
      <alignment horizontal="center"/>
      <protection locked="0"/>
    </xf>
    <xf numFmtId="3" fontId="0" fillId="2" borderId="22" xfId="0" applyNumberFormat="1" applyFont="1" applyFill="1" applyBorder="1" applyAlignment="1" applyProtection="1">
      <alignment horizontal="center"/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4" fontId="0" fillId="2" borderId="13" xfId="0" applyNumberFormat="1" applyFont="1" applyFill="1" applyBorder="1" applyProtection="1">
      <protection locked="0"/>
    </xf>
    <xf numFmtId="4" fontId="2" fillId="2" borderId="13" xfId="0" applyNumberFormat="1" applyFont="1" applyFill="1" applyBorder="1" applyProtection="1"/>
    <xf numFmtId="4" fontId="0" fillId="6" borderId="11" xfId="0" applyNumberFormat="1" applyFont="1" applyFill="1" applyBorder="1" applyProtection="1"/>
    <xf numFmtId="0" fontId="0" fillId="6" borderId="24" xfId="0" applyFont="1" applyFill="1" applyBorder="1" applyProtection="1"/>
    <xf numFmtId="0" fontId="0" fillId="2" borderId="0" xfId="0" applyFont="1" applyFill="1" applyAlignment="1" applyProtection="1">
      <alignment wrapText="1"/>
    </xf>
    <xf numFmtId="0" fontId="0" fillId="2" borderId="4" xfId="0" applyFont="1" applyFill="1" applyBorder="1" applyAlignment="1" applyProtection="1">
      <alignment wrapText="1"/>
    </xf>
    <xf numFmtId="165" fontId="0" fillId="2" borderId="14" xfId="0" applyNumberFormat="1" applyFont="1" applyFill="1" applyBorder="1" applyAlignment="1" applyProtection="1">
      <alignment horizontal="center" wrapText="1"/>
      <protection locked="0"/>
    </xf>
    <xf numFmtId="3" fontId="0" fillId="2" borderId="14" xfId="0" applyNumberFormat="1" applyFont="1" applyFill="1" applyBorder="1" applyAlignment="1" applyProtection="1">
      <alignment horizontal="center" wrapText="1"/>
      <protection locked="0"/>
    </xf>
    <xf numFmtId="3" fontId="0" fillId="2" borderId="25" xfId="0" applyNumberFormat="1" applyFont="1" applyFill="1" applyBorder="1" applyAlignment="1" applyProtection="1">
      <alignment horizontal="center" wrapText="1"/>
      <protection locked="0"/>
    </xf>
    <xf numFmtId="0" fontId="0" fillId="2" borderId="26" xfId="0" applyFont="1" applyFill="1" applyBorder="1" applyAlignment="1" applyProtection="1">
      <alignment horizontal="center" wrapText="1"/>
      <protection locked="0"/>
    </xf>
    <xf numFmtId="0" fontId="0" fillId="2" borderId="14" xfId="0" applyFont="1" applyFill="1" applyBorder="1" applyAlignment="1" applyProtection="1">
      <alignment horizontal="center" wrapText="1"/>
      <protection locked="0"/>
    </xf>
    <xf numFmtId="4" fontId="0" fillId="2" borderId="14" xfId="0" applyNumberFormat="1" applyFont="1" applyFill="1" applyBorder="1" applyAlignment="1" applyProtection="1">
      <alignment wrapText="1"/>
      <protection locked="0"/>
    </xf>
    <xf numFmtId="4" fontId="2" fillId="2" borderId="14" xfId="0" applyNumberFormat="1" applyFont="1" applyFill="1" applyBorder="1" applyProtection="1"/>
    <xf numFmtId="4" fontId="0" fillId="6" borderId="12" xfId="0" applyNumberFormat="1" applyFont="1" applyFill="1" applyBorder="1" applyAlignment="1" applyProtection="1">
      <alignment wrapText="1"/>
    </xf>
    <xf numFmtId="0" fontId="0" fillId="6" borderId="27" xfId="0" applyFont="1" applyFill="1" applyBorder="1" applyAlignment="1" applyProtection="1">
      <alignment wrapText="1"/>
    </xf>
    <xf numFmtId="0" fontId="0" fillId="2" borderId="5" xfId="0" applyFont="1" applyFill="1" applyBorder="1" applyAlignment="1" applyProtection="1">
      <alignment wrapText="1"/>
    </xf>
    <xf numFmtId="165" fontId="0" fillId="2" borderId="14" xfId="0" applyNumberFormat="1" applyFont="1" applyFill="1" applyBorder="1" applyAlignment="1" applyProtection="1">
      <alignment horizontal="center"/>
      <protection locked="0"/>
    </xf>
    <xf numFmtId="3" fontId="0" fillId="2" borderId="14" xfId="0" applyNumberFormat="1" applyFont="1" applyFill="1" applyBorder="1" applyAlignment="1" applyProtection="1">
      <alignment horizontal="center"/>
      <protection locked="0"/>
    </xf>
    <xf numFmtId="3" fontId="0" fillId="2" borderId="25" xfId="0" applyNumberFormat="1" applyFont="1" applyFill="1" applyBorder="1" applyAlignment="1" applyProtection="1">
      <alignment horizontal="center"/>
      <protection locked="0"/>
    </xf>
    <xf numFmtId="0" fontId="0" fillId="2" borderId="26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4" fontId="0" fillId="2" borderId="14" xfId="0" applyNumberFormat="1" applyFont="1" applyFill="1" applyBorder="1" applyProtection="1">
      <protection locked="0"/>
    </xf>
    <xf numFmtId="4" fontId="0" fillId="6" borderId="12" xfId="0" applyNumberFormat="1" applyFont="1" applyFill="1" applyBorder="1" applyProtection="1"/>
    <xf numFmtId="0" fontId="0" fillId="6" borderId="27" xfId="0" applyFont="1" applyFill="1" applyBorder="1" applyProtection="1"/>
    <xf numFmtId="4" fontId="0" fillId="2" borderId="14" xfId="0" applyNumberFormat="1" applyFont="1" applyFill="1" applyBorder="1" applyAlignment="1" applyProtection="1">
      <alignment horizontal="left"/>
      <protection locked="0"/>
    </xf>
    <xf numFmtId="4" fontId="0" fillId="6" borderId="12" xfId="0" applyNumberFormat="1" applyFont="1" applyFill="1" applyBorder="1" applyAlignment="1" applyProtection="1">
      <alignment horizontal="left"/>
    </xf>
    <xf numFmtId="0" fontId="0" fillId="6" borderId="27" xfId="0" applyFont="1" applyFill="1" applyBorder="1" applyAlignment="1" applyProtection="1">
      <alignment horizontal="left"/>
    </xf>
    <xf numFmtId="0" fontId="0" fillId="2" borderId="28" xfId="0" applyFont="1" applyFill="1" applyBorder="1" applyAlignment="1" applyProtection="1">
      <alignment horizontal="left"/>
      <protection locked="0"/>
    </xf>
    <xf numFmtId="0" fontId="0" fillId="2" borderId="29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165" fontId="0" fillId="2" borderId="15" xfId="0" applyNumberFormat="1" applyFont="1" applyFill="1" applyBorder="1" applyAlignment="1" applyProtection="1">
      <alignment horizontal="center"/>
      <protection locked="0"/>
    </xf>
    <xf numFmtId="3" fontId="0" fillId="2" borderId="30" xfId="0" applyNumberFormat="1" applyFont="1" applyFill="1" applyBorder="1" applyAlignment="1" applyProtection="1">
      <alignment horizontal="center"/>
      <protection locked="0"/>
    </xf>
    <xf numFmtId="0" fontId="0" fillId="2" borderId="31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4" fontId="0" fillId="2" borderId="15" xfId="0" applyNumberFormat="1" applyFont="1" applyFill="1" applyBorder="1" applyAlignment="1" applyProtection="1">
      <alignment horizontal="right"/>
      <protection locked="0"/>
    </xf>
    <xf numFmtId="4" fontId="2" fillId="2" borderId="15" xfId="0" applyNumberFormat="1" applyFont="1" applyFill="1" applyBorder="1" applyProtection="1"/>
    <xf numFmtId="4" fontId="0" fillId="6" borderId="32" xfId="0" applyNumberFormat="1" applyFont="1" applyFill="1" applyBorder="1" applyAlignment="1" applyProtection="1">
      <alignment horizontal="left"/>
    </xf>
    <xf numFmtId="0" fontId="0" fillId="6" borderId="33" xfId="0" applyFont="1" applyFill="1" applyBorder="1" applyAlignment="1" applyProtection="1">
      <alignment horizontal="left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4" fontId="19" fillId="2" borderId="34" xfId="0" applyNumberFormat="1" applyFont="1" applyFill="1" applyBorder="1" applyAlignment="1" applyProtection="1">
      <alignment horizontal="center"/>
    </xf>
    <xf numFmtId="3" fontId="19" fillId="2" borderId="34" xfId="0" applyNumberFormat="1" applyFont="1" applyFill="1" applyBorder="1" applyAlignment="1" applyProtection="1">
      <alignment horizontal="center"/>
    </xf>
    <xf numFmtId="4" fontId="19" fillId="6" borderId="35" xfId="0" applyNumberFormat="1" applyFont="1" applyFill="1" applyBorder="1" applyProtection="1"/>
    <xf numFmtId="4" fontId="19" fillId="6" borderId="36" xfId="0" applyNumberFormat="1" applyFont="1" applyFill="1" applyBorder="1" applyProtection="1"/>
    <xf numFmtId="4" fontId="19" fillId="6" borderId="34" xfId="0" applyNumberFormat="1" applyFont="1" applyFill="1" applyBorder="1" applyProtection="1"/>
    <xf numFmtId="4" fontId="19" fillId="2" borderId="34" xfId="0" applyNumberFormat="1" applyFont="1" applyFill="1" applyBorder="1" applyProtection="1">
      <protection locked="0"/>
    </xf>
    <xf numFmtId="4" fontId="19" fillId="2" borderId="37" xfId="0" applyNumberFormat="1" applyFont="1" applyFill="1" applyBorder="1" applyProtection="1"/>
    <xf numFmtId="4" fontId="19" fillId="2" borderId="38" xfId="0" applyNumberFormat="1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9" fillId="2" borderId="5" xfId="0" applyFont="1" applyFill="1" applyBorder="1"/>
    <xf numFmtId="0" fontId="4" fillId="2" borderId="0" xfId="0" applyFont="1" applyFill="1" applyBorder="1" applyAlignment="1">
      <alignment vertical="center"/>
    </xf>
    <xf numFmtId="0" fontId="5" fillId="6" borderId="39" xfId="0" applyFont="1" applyFill="1" applyBorder="1"/>
    <xf numFmtId="0" fontId="5" fillId="6" borderId="40" xfId="0" applyFont="1" applyFill="1" applyBorder="1"/>
    <xf numFmtId="0" fontId="2" fillId="6" borderId="41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8" fillId="6" borderId="43" xfId="0" applyFont="1" applyFill="1" applyBorder="1"/>
    <xf numFmtId="0" fontId="5" fillId="6" borderId="0" xfId="0" applyFont="1" applyFill="1" applyBorder="1"/>
    <xf numFmtId="0" fontId="19" fillId="6" borderId="44" xfId="0" applyFont="1" applyFill="1" applyBorder="1" applyAlignment="1">
      <alignment horizontal="center"/>
    </xf>
    <xf numFmtId="0" fontId="19" fillId="6" borderId="45" xfId="0" applyFont="1" applyFill="1" applyBorder="1" applyAlignment="1">
      <alignment horizontal="center"/>
    </xf>
    <xf numFmtId="0" fontId="19" fillId="6" borderId="27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12" xfId="0" applyFont="1" applyFill="1" applyBorder="1"/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/>
    <xf numFmtId="4" fontId="2" fillId="2" borderId="48" xfId="0" applyNumberFormat="1" applyFont="1" applyFill="1" applyBorder="1"/>
    <xf numFmtId="0" fontId="0" fillId="2" borderId="49" xfId="0" applyFont="1" applyFill="1" applyBorder="1" applyAlignment="1">
      <alignment horizontal="center"/>
    </xf>
    <xf numFmtId="0" fontId="0" fillId="2" borderId="50" xfId="0" applyFont="1" applyFill="1" applyBorder="1"/>
    <xf numFmtId="4" fontId="0" fillId="2" borderId="51" xfId="0" applyNumberFormat="1" applyFont="1" applyFill="1" applyBorder="1" applyProtection="1">
      <protection locked="0"/>
    </xf>
    <xf numFmtId="0" fontId="0" fillId="2" borderId="52" xfId="0" applyFont="1" applyFill="1" applyBorder="1" applyAlignment="1">
      <alignment horizontal="center"/>
    </xf>
    <xf numFmtId="0" fontId="0" fillId="2" borderId="53" xfId="0" applyFont="1" applyFill="1" applyBorder="1"/>
    <xf numFmtId="4" fontId="0" fillId="2" borderId="54" xfId="0" applyNumberFormat="1" applyFont="1" applyFill="1" applyBorder="1" applyProtection="1">
      <protection locked="0"/>
    </xf>
    <xf numFmtId="4" fontId="2" fillId="2" borderId="48" xfId="0" applyNumberFormat="1" applyFont="1" applyFill="1" applyBorder="1" applyProtection="1">
      <protection locked="0"/>
    </xf>
    <xf numFmtId="0" fontId="9" fillId="2" borderId="0" xfId="0" applyFont="1" applyFill="1"/>
    <xf numFmtId="0" fontId="19" fillId="2" borderId="55" xfId="0" applyFont="1" applyFill="1" applyBorder="1" applyAlignment="1">
      <alignment horizontal="left"/>
    </xf>
    <xf numFmtId="0" fontId="19" fillId="2" borderId="56" xfId="0" applyFont="1" applyFill="1" applyBorder="1" applyAlignment="1">
      <alignment horizontal="left"/>
    </xf>
    <xf numFmtId="4" fontId="4" fillId="2" borderId="57" xfId="0" applyNumberFormat="1" applyFont="1" applyFill="1" applyBorder="1"/>
    <xf numFmtId="0" fontId="2" fillId="2" borderId="43" xfId="0" applyFont="1" applyFill="1" applyBorder="1" applyAlignment="1">
      <alignment horizontal="center"/>
    </xf>
    <xf numFmtId="4" fontId="0" fillId="2" borderId="51" xfId="0" applyNumberFormat="1" applyFont="1" applyFill="1" applyBorder="1"/>
    <xf numFmtId="0" fontId="20" fillId="2" borderId="43" xfId="0" applyFont="1" applyFill="1" applyBorder="1" applyAlignment="1">
      <alignment horizontal="center"/>
    </xf>
    <xf numFmtId="0" fontId="20" fillId="2" borderId="0" xfId="0" applyFont="1" applyFill="1" applyBorder="1"/>
    <xf numFmtId="4" fontId="20" fillId="2" borderId="12" xfId="0" applyNumberFormat="1" applyFont="1" applyFill="1" applyBorder="1" applyProtection="1">
      <protection locked="0"/>
    </xf>
    <xf numFmtId="0" fontId="0" fillId="2" borderId="58" xfId="0" applyFont="1" applyFill="1" applyBorder="1" applyAlignment="1">
      <alignment horizontal="center"/>
    </xf>
    <xf numFmtId="0" fontId="0" fillId="2" borderId="59" xfId="0" applyFont="1" applyFill="1" applyBorder="1"/>
    <xf numFmtId="4" fontId="0" fillId="2" borderId="60" xfId="0" applyNumberFormat="1" applyFont="1" applyFill="1" applyBorder="1"/>
    <xf numFmtId="4" fontId="0" fillId="2" borderId="60" xfId="0" applyNumberFormat="1" applyFont="1" applyFill="1" applyBorder="1" applyProtection="1">
      <protection locked="0"/>
    </xf>
    <xf numFmtId="0" fontId="4" fillId="2" borderId="61" xfId="0" applyFont="1" applyFill="1" applyBorder="1" applyAlignment="1">
      <alignment horizontal="center"/>
    </xf>
    <xf numFmtId="0" fontId="4" fillId="2" borderId="62" xfId="0" applyFont="1" applyFill="1" applyBorder="1"/>
    <xf numFmtId="2" fontId="0" fillId="2" borderId="63" xfId="0" applyNumberFormat="1" applyFont="1" applyFill="1" applyBorder="1" applyAlignment="1">
      <alignment horizontal="center"/>
    </xf>
    <xf numFmtId="2" fontId="0" fillId="2" borderId="64" xfId="0" applyNumberFormat="1" applyFont="1" applyFill="1" applyBorder="1"/>
    <xf numFmtId="2" fontId="5" fillId="2" borderId="65" xfId="0" applyNumberFormat="1" applyFont="1" applyFill="1" applyBorder="1"/>
    <xf numFmtId="0" fontId="4" fillId="2" borderId="55" xfId="0" applyFont="1" applyFill="1" applyBorder="1" applyAlignment="1">
      <alignment horizontal="center"/>
    </xf>
    <xf numFmtId="0" fontId="4" fillId="2" borderId="56" xfId="0" applyFont="1" applyFill="1" applyBorder="1"/>
    <xf numFmtId="4" fontId="4" fillId="2" borderId="66" xfId="0" applyNumberFormat="1" applyFont="1" applyFill="1" applyBorder="1"/>
    <xf numFmtId="0" fontId="0" fillId="2" borderId="43" xfId="0" applyFont="1" applyFill="1" applyBorder="1" applyAlignment="1">
      <alignment horizontal="center"/>
    </xf>
    <xf numFmtId="0" fontId="19" fillId="2" borderId="55" xfId="0" applyFont="1" applyFill="1" applyBorder="1" applyAlignment="1">
      <alignment horizontal="center"/>
    </xf>
    <xf numFmtId="0" fontId="19" fillId="2" borderId="56" xfId="0" applyFont="1" applyFill="1" applyBorder="1"/>
    <xf numFmtId="4" fontId="19" fillId="2" borderId="66" xfId="0" applyNumberFormat="1" applyFont="1" applyFill="1" applyBorder="1"/>
    <xf numFmtId="0" fontId="5" fillId="2" borderId="8" xfId="0" applyFont="1" applyFill="1" applyBorder="1"/>
    <xf numFmtId="0" fontId="5" fillId="2" borderId="9" xfId="0" applyFont="1" applyFill="1" applyBorder="1" applyAlignment="1">
      <alignment horizontal="left"/>
    </xf>
    <xf numFmtId="0" fontId="5" fillId="2" borderId="9" xfId="0" applyFont="1" applyFill="1" applyBorder="1"/>
    <xf numFmtId="0" fontId="5" fillId="2" borderId="10" xfId="0" applyFont="1" applyFill="1" applyBorder="1"/>
    <xf numFmtId="0" fontId="0" fillId="2" borderId="0" xfId="0" applyFont="1" applyFill="1" applyAlignment="1" applyProtection="1">
      <alignment horizontal="left"/>
    </xf>
    <xf numFmtId="4" fontId="0" fillId="2" borderId="0" xfId="0" applyNumberFormat="1" applyFont="1" applyFill="1" applyAlignment="1" applyProtection="1">
      <alignment horizontal="left"/>
    </xf>
    <xf numFmtId="0" fontId="0" fillId="2" borderId="0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4" fontId="5" fillId="2" borderId="2" xfId="0" applyNumberFormat="1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4" fontId="5" fillId="2" borderId="0" xfId="0" applyNumberFormat="1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0" fillId="2" borderId="5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center"/>
    </xf>
    <xf numFmtId="4" fontId="4" fillId="3" borderId="0" xfId="0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left"/>
    </xf>
    <xf numFmtId="0" fontId="14" fillId="6" borderId="39" xfId="0" applyFont="1" applyFill="1" applyBorder="1" applyAlignment="1" applyProtection="1">
      <alignment vertical="center"/>
    </xf>
    <xf numFmtId="0" fontId="14" fillId="6" borderId="24" xfId="0" applyFont="1" applyFill="1" applyBorder="1" applyAlignment="1" applyProtection="1">
      <alignment vertical="center"/>
    </xf>
    <xf numFmtId="4" fontId="13" fillId="6" borderId="67" xfId="0" applyNumberFormat="1" applyFont="1" applyFill="1" applyBorder="1" applyAlignment="1" applyProtection="1">
      <alignment horizontal="right" vertical="center"/>
    </xf>
    <xf numFmtId="1" fontId="13" fillId="6" borderId="68" xfId="0" applyNumberFormat="1" applyFont="1" applyFill="1" applyBorder="1" applyAlignment="1" applyProtection="1">
      <alignment horizontal="center" vertical="center"/>
    </xf>
    <xf numFmtId="1" fontId="4" fillId="6" borderId="69" xfId="0" applyNumberFormat="1" applyFont="1" applyFill="1" applyBorder="1" applyAlignment="1" applyProtection="1">
      <alignment horizontal="left" vertical="center"/>
    </xf>
    <xf numFmtId="1" fontId="13" fillId="6" borderId="68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/>
    </xf>
    <xf numFmtId="0" fontId="4" fillId="6" borderId="70" xfId="0" applyFont="1" applyFill="1" applyBorder="1" applyAlignment="1" applyProtection="1">
      <alignment vertical="center"/>
    </xf>
    <xf numFmtId="0" fontId="15" fillId="6" borderId="33" xfId="0" applyFont="1" applyFill="1" applyBorder="1" applyAlignment="1" applyProtection="1">
      <alignment horizontal="center" vertical="center"/>
    </xf>
    <xf numFmtId="4" fontId="15" fillId="6" borderId="6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/>
    </xf>
    <xf numFmtId="0" fontId="2" fillId="2" borderId="67" xfId="0" applyFont="1" applyFill="1" applyBorder="1" applyAlignment="1" applyProtection="1">
      <alignment vertical="center"/>
    </xf>
    <xf numFmtId="0" fontId="2" fillId="2" borderId="69" xfId="0" applyFont="1" applyFill="1" applyBorder="1" applyAlignment="1" applyProtection="1">
      <alignment vertical="center"/>
    </xf>
    <xf numFmtId="4" fontId="2" fillId="2" borderId="6" xfId="0" applyNumberFormat="1" applyFont="1" applyFill="1" applyBorder="1" applyAlignment="1" applyProtection="1">
      <alignment vertical="center"/>
    </xf>
    <xf numFmtId="4" fontId="2" fillId="2" borderId="6" xfId="0" applyNumberFormat="1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1" xfId="0" applyFont="1" applyFill="1" applyBorder="1" applyAlignment="1" applyProtection="1">
      <alignment vertical="center"/>
    </xf>
    <xf numFmtId="0" fontId="2" fillId="2" borderId="72" xfId="0" applyFont="1" applyFill="1" applyBorder="1" applyAlignment="1" applyProtection="1">
      <alignment vertical="center"/>
    </xf>
    <xf numFmtId="4" fontId="2" fillId="2" borderId="13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/>
    </xf>
    <xf numFmtId="0" fontId="2" fillId="2" borderId="73" xfId="0" applyFont="1" applyFill="1" applyBorder="1" applyAlignment="1" applyProtection="1">
      <alignment vertical="center"/>
    </xf>
    <xf numFmtId="0" fontId="2" fillId="2" borderId="74" xfId="0" applyFont="1" applyFill="1" applyBorder="1" applyAlignment="1" applyProtection="1">
      <alignment vertical="center"/>
    </xf>
    <xf numFmtId="4" fontId="2" fillId="2" borderId="15" xfId="0" applyNumberFormat="1" applyFont="1" applyFill="1" applyBorder="1" applyAlignment="1" applyProtection="1">
      <alignment vertical="center"/>
      <protection locked="0"/>
    </xf>
    <xf numFmtId="4" fontId="2" fillId="2" borderId="15" xfId="0" applyNumberFormat="1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4" fontId="2" fillId="2" borderId="13" xfId="0" applyNumberFormat="1" applyFont="1" applyFill="1" applyBorder="1" applyAlignment="1" applyProtection="1">
      <alignment vertical="center"/>
    </xf>
    <xf numFmtId="4" fontId="2" fillId="2" borderId="13" xfId="0" applyNumberFormat="1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</xf>
    <xf numFmtId="0" fontId="0" fillId="2" borderId="28" xfId="0" applyFont="1" applyFill="1" applyBorder="1" applyAlignment="1" applyProtection="1">
      <alignment vertical="center"/>
      <protection locked="0"/>
    </xf>
    <xf numFmtId="0" fontId="0" fillId="2" borderId="29" xfId="0" applyFont="1" applyFill="1" applyBorder="1" applyAlignment="1" applyProtection="1">
      <alignment vertical="center"/>
      <protection locked="0"/>
    </xf>
    <xf numFmtId="4" fontId="0" fillId="2" borderId="14" xfId="0" applyNumberFormat="1" applyFont="1" applyFill="1" applyBorder="1" applyAlignment="1" applyProtection="1">
      <alignment vertical="center"/>
      <protection locked="0"/>
    </xf>
    <xf numFmtId="4" fontId="0" fillId="2" borderId="14" xfId="0" applyNumberFormat="1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4" fontId="2" fillId="2" borderId="14" xfId="0" applyNumberFormat="1" applyFont="1" applyFill="1" applyBorder="1" applyAlignment="1" applyProtection="1">
      <alignment vertical="center"/>
    </xf>
    <xf numFmtId="4" fontId="2" fillId="2" borderId="14" xfId="0" applyNumberFormat="1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0" fillId="2" borderId="73" xfId="0" applyFont="1" applyFill="1" applyBorder="1" applyAlignment="1" applyProtection="1">
      <alignment vertical="center"/>
      <protection locked="0"/>
    </xf>
    <xf numFmtId="0" fontId="0" fillId="2" borderId="74" xfId="0" applyFont="1" applyFill="1" applyBorder="1" applyAlignment="1" applyProtection="1">
      <alignment vertical="center"/>
      <protection locked="0"/>
    </xf>
    <xf numFmtId="4" fontId="0" fillId="2" borderId="15" xfId="0" applyNumberFormat="1" applyFont="1" applyFill="1" applyBorder="1" applyAlignment="1" applyProtection="1">
      <alignment vertical="center"/>
      <protection locked="0"/>
    </xf>
    <xf numFmtId="4" fontId="0" fillId="2" borderId="15" xfId="0" applyNumberFormat="1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</xf>
    <xf numFmtId="0" fontId="21" fillId="2" borderId="4" xfId="0" applyFont="1" applyFill="1" applyBorder="1" applyAlignment="1" applyProtection="1">
      <alignment horizontal="left"/>
    </xf>
    <xf numFmtId="0" fontId="21" fillId="2" borderId="71" xfId="0" applyFont="1" applyFill="1" applyBorder="1" applyAlignment="1" applyProtection="1">
      <alignment vertical="center"/>
    </xf>
    <xf numFmtId="0" fontId="21" fillId="2" borderId="72" xfId="0" applyFont="1" applyFill="1" applyBorder="1" applyAlignment="1" applyProtection="1">
      <alignment vertical="center"/>
    </xf>
    <xf numFmtId="4" fontId="21" fillId="2" borderId="13" xfId="0" applyNumberFormat="1" applyFont="1" applyFill="1" applyBorder="1" applyAlignment="1" applyProtection="1">
      <alignment vertical="center"/>
    </xf>
    <xf numFmtId="4" fontId="21" fillId="2" borderId="13" xfId="0" applyNumberFormat="1" applyFont="1" applyFill="1" applyBorder="1" applyAlignment="1" applyProtection="1">
      <alignment horizontal="left" vertical="center"/>
    </xf>
    <xf numFmtId="0" fontId="21" fillId="2" borderId="13" xfId="0" applyFont="1" applyFill="1" applyBorder="1" applyAlignment="1" applyProtection="1">
      <alignment horizontal="left" vertical="center"/>
    </xf>
    <xf numFmtId="0" fontId="21" fillId="2" borderId="5" xfId="0" applyFont="1" applyFill="1" applyBorder="1" applyAlignment="1" applyProtection="1">
      <alignment horizontal="left"/>
    </xf>
    <xf numFmtId="0" fontId="22" fillId="0" borderId="4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5" xfId="0" applyFont="1" applyFill="1" applyBorder="1" applyAlignment="1" applyProtection="1">
      <alignment horizontal="left"/>
      <protection locked="0"/>
    </xf>
    <xf numFmtId="0" fontId="0" fillId="2" borderId="71" xfId="0" applyFont="1" applyFill="1" applyBorder="1" applyAlignment="1" applyProtection="1">
      <alignment vertical="center"/>
      <protection locked="0"/>
    </xf>
    <xf numFmtId="0" fontId="0" fillId="2" borderId="72" xfId="0" applyFont="1" applyFill="1" applyBorder="1" applyAlignment="1" applyProtection="1">
      <alignment vertical="center"/>
      <protection locked="0"/>
    </xf>
    <xf numFmtId="4" fontId="0" fillId="2" borderId="13" xfId="0" applyNumberFormat="1" applyFont="1" applyFill="1" applyBorder="1" applyAlignment="1" applyProtection="1">
      <alignment vertical="center"/>
      <protection locked="0"/>
    </xf>
    <xf numFmtId="4" fontId="0" fillId="2" borderId="13" xfId="0" applyNumberFormat="1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4" fontId="2" fillId="2" borderId="11" xfId="0" applyNumberFormat="1" applyFont="1" applyFill="1" applyBorder="1" applyAlignment="1" applyProtection="1">
      <alignment vertical="center"/>
      <protection locked="0"/>
    </xf>
    <xf numFmtId="4" fontId="2" fillId="2" borderId="11" xfId="0" applyNumberFormat="1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75" xfId="0" applyFont="1" applyFill="1" applyBorder="1" applyAlignment="1" applyProtection="1">
      <alignment vertical="center"/>
    </xf>
    <xf numFmtId="0" fontId="2" fillId="2" borderId="76" xfId="0" applyFont="1" applyFill="1" applyBorder="1" applyAlignment="1" applyProtection="1">
      <alignment vertical="center"/>
    </xf>
    <xf numFmtId="4" fontId="2" fillId="2" borderId="77" xfId="0" applyNumberFormat="1" applyFont="1" applyFill="1" applyBorder="1" applyAlignment="1" applyProtection="1">
      <alignment vertical="center"/>
    </xf>
    <xf numFmtId="4" fontId="2" fillId="2" borderId="77" xfId="0" applyNumberFormat="1" applyFont="1" applyFill="1" applyBorder="1" applyAlignment="1" applyProtection="1">
      <alignment horizontal="left" vertical="center"/>
    </xf>
    <xf numFmtId="0" fontId="2" fillId="2" borderId="77" xfId="0" applyFont="1" applyFill="1" applyBorder="1" applyAlignment="1" applyProtection="1">
      <alignment horizontal="left" vertical="center"/>
    </xf>
    <xf numFmtId="4" fontId="0" fillId="2" borderId="0" xfId="0" applyNumberFormat="1" applyFont="1" applyFill="1" applyBorder="1" applyAlignment="1" applyProtection="1">
      <alignment horizontal="left" vertical="center"/>
    </xf>
    <xf numFmtId="4" fontId="15" fillId="6" borderId="11" xfId="0" applyNumberFormat="1" applyFont="1" applyFill="1" applyBorder="1" applyAlignment="1" applyProtection="1">
      <alignment horizontal="center" vertical="center"/>
    </xf>
    <xf numFmtId="1" fontId="4" fillId="6" borderId="32" xfId="0" applyNumberFormat="1" applyFont="1" applyFill="1" applyBorder="1" applyAlignment="1" applyProtection="1">
      <alignment horizontal="center" vertical="center"/>
    </xf>
    <xf numFmtId="4" fontId="2" fillId="2" borderId="75" xfId="0" applyNumberFormat="1" applyFont="1" applyFill="1" applyBorder="1" applyAlignment="1" applyProtection="1">
      <alignment horizontal="left" vertical="center"/>
    </xf>
    <xf numFmtId="4" fontId="2" fillId="2" borderId="78" xfId="0" applyNumberFormat="1" applyFont="1" applyFill="1" applyBorder="1" applyAlignment="1" applyProtection="1">
      <alignment horizontal="left" vertical="center"/>
    </xf>
    <xf numFmtId="4" fontId="2" fillId="2" borderId="76" xfId="0" applyNumberFormat="1" applyFont="1" applyFill="1" applyBorder="1" applyAlignment="1" applyProtection="1">
      <alignment horizontal="left" vertical="center"/>
    </xf>
    <xf numFmtId="0" fontId="0" fillId="2" borderId="79" xfId="0" applyFont="1" applyFill="1" applyBorder="1" applyAlignment="1" applyProtection="1">
      <alignment vertical="center"/>
      <protection locked="0"/>
    </xf>
    <xf numFmtId="0" fontId="0" fillId="2" borderId="80" xfId="0" applyFont="1" applyFill="1" applyBorder="1" applyAlignment="1" applyProtection="1">
      <alignment vertical="center"/>
      <protection locked="0"/>
    </xf>
    <xf numFmtId="4" fontId="0" fillId="2" borderId="81" xfId="0" applyNumberFormat="1" applyFont="1" applyFill="1" applyBorder="1" applyAlignment="1" applyProtection="1">
      <alignment horizontal="right" vertical="center"/>
      <protection locked="0"/>
    </xf>
    <xf numFmtId="4" fontId="0" fillId="2" borderId="79" xfId="0" applyNumberFormat="1" applyFont="1" applyFill="1" applyBorder="1" applyAlignment="1" applyProtection="1">
      <alignment horizontal="left" vertical="center"/>
      <protection locked="0"/>
    </xf>
    <xf numFmtId="4" fontId="0" fillId="2" borderId="82" xfId="0" applyNumberFormat="1" applyFont="1" applyFill="1" applyBorder="1" applyAlignment="1" applyProtection="1">
      <alignment horizontal="left" vertical="center"/>
      <protection locked="0"/>
    </xf>
    <xf numFmtId="4" fontId="0" fillId="2" borderId="80" xfId="0" applyNumberFormat="1" applyFont="1" applyFill="1" applyBorder="1" applyAlignment="1" applyProtection="1">
      <alignment horizontal="left" vertical="center"/>
      <protection locked="0"/>
    </xf>
    <xf numFmtId="4" fontId="0" fillId="2" borderId="14" xfId="0" applyNumberFormat="1" applyFont="1" applyFill="1" applyBorder="1" applyAlignment="1" applyProtection="1">
      <alignment horizontal="right" vertical="center"/>
      <protection locked="0"/>
    </xf>
    <xf numFmtId="4" fontId="0" fillId="2" borderId="28" xfId="0" applyNumberFormat="1" applyFont="1" applyFill="1" applyBorder="1" applyAlignment="1" applyProtection="1">
      <alignment horizontal="left" vertical="center"/>
      <protection locked="0"/>
    </xf>
    <xf numFmtId="4" fontId="0" fillId="2" borderId="83" xfId="0" applyNumberFormat="1" applyFont="1" applyFill="1" applyBorder="1" applyAlignment="1" applyProtection="1">
      <alignment horizontal="left" vertical="center"/>
      <protection locked="0"/>
    </xf>
    <xf numFmtId="4" fontId="0" fillId="2" borderId="29" xfId="0" applyNumberFormat="1" applyFont="1" applyFill="1" applyBorder="1" applyAlignment="1" applyProtection="1">
      <alignment horizontal="left" vertical="center"/>
      <protection locked="0"/>
    </xf>
    <xf numFmtId="4" fontId="0" fillId="2" borderId="15" xfId="0" applyNumberFormat="1" applyFont="1" applyFill="1" applyBorder="1" applyAlignment="1" applyProtection="1">
      <alignment horizontal="right" vertical="center"/>
      <protection locked="0"/>
    </xf>
    <xf numFmtId="4" fontId="0" fillId="2" borderId="73" xfId="0" applyNumberFormat="1" applyFont="1" applyFill="1" applyBorder="1" applyAlignment="1" applyProtection="1">
      <alignment horizontal="left" vertical="center"/>
      <protection locked="0"/>
    </xf>
    <xf numFmtId="4" fontId="0" fillId="2" borderId="84" xfId="0" applyNumberFormat="1" applyFont="1" applyFill="1" applyBorder="1" applyAlignment="1" applyProtection="1">
      <alignment horizontal="left" vertical="center"/>
      <protection locked="0"/>
    </xf>
    <xf numFmtId="4" fontId="0" fillId="2" borderId="74" xfId="0" applyNumberFormat="1" applyFont="1" applyFill="1" applyBorder="1" applyAlignment="1" applyProtection="1">
      <alignment horizontal="left" vertical="center"/>
      <protection locked="0"/>
    </xf>
    <xf numFmtId="0" fontId="0" fillId="2" borderId="71" xfId="0" applyFont="1" applyFill="1" applyBorder="1" applyAlignment="1" applyProtection="1">
      <alignment vertical="center"/>
    </xf>
    <xf numFmtId="0" fontId="0" fillId="2" borderId="72" xfId="0" applyFont="1" applyFill="1" applyBorder="1" applyAlignment="1" applyProtection="1">
      <alignment vertical="center"/>
    </xf>
    <xf numFmtId="4" fontId="0" fillId="2" borderId="13" xfId="0" applyNumberFormat="1" applyFont="1" applyFill="1" applyBorder="1" applyAlignment="1" applyProtection="1">
      <alignment horizontal="right" vertical="center"/>
      <protection locked="0"/>
    </xf>
    <xf numFmtId="4" fontId="0" fillId="2" borderId="71" xfId="0" applyNumberFormat="1" applyFont="1" applyFill="1" applyBorder="1" applyAlignment="1" applyProtection="1">
      <alignment horizontal="left" vertical="center"/>
      <protection locked="0"/>
    </xf>
    <xf numFmtId="4" fontId="0" fillId="2" borderId="85" xfId="0" applyNumberFormat="1" applyFont="1" applyFill="1" applyBorder="1" applyAlignment="1" applyProtection="1">
      <alignment horizontal="left" vertical="center"/>
      <protection locked="0"/>
    </xf>
    <xf numFmtId="4" fontId="0" fillId="2" borderId="72" xfId="0" applyNumberFormat="1" applyFont="1" applyFill="1" applyBorder="1" applyAlignment="1" applyProtection="1">
      <alignment horizontal="left" vertical="center"/>
      <protection locked="0"/>
    </xf>
    <xf numFmtId="0" fontId="0" fillId="2" borderId="73" xfId="0" applyFont="1" applyFill="1" applyBorder="1" applyAlignment="1" applyProtection="1">
      <alignment vertical="center"/>
    </xf>
    <xf numFmtId="0" fontId="0" fillId="2" borderId="74" xfId="0" applyFont="1" applyFill="1" applyBorder="1" applyAlignment="1" applyProtection="1">
      <alignment vertical="center"/>
    </xf>
    <xf numFmtId="4" fontId="2" fillId="2" borderId="67" xfId="0" applyNumberFormat="1" applyFont="1" applyFill="1" applyBorder="1" applyAlignment="1" applyProtection="1">
      <alignment horizontal="left" vertical="center"/>
    </xf>
    <xf numFmtId="4" fontId="2" fillId="2" borderId="68" xfId="0" applyNumberFormat="1" applyFont="1" applyFill="1" applyBorder="1" applyAlignment="1" applyProtection="1">
      <alignment horizontal="left" vertical="center"/>
    </xf>
    <xf numFmtId="4" fontId="2" fillId="2" borderId="69" xfId="0" applyNumberFormat="1" applyFont="1" applyFill="1" applyBorder="1" applyAlignment="1" applyProtection="1">
      <alignment horizontal="left" vertical="center"/>
    </xf>
    <xf numFmtId="0" fontId="0" fillId="2" borderId="86" xfId="0" applyFont="1" applyFill="1" applyBorder="1" applyAlignment="1" applyProtection="1">
      <alignment vertical="center"/>
    </xf>
    <xf numFmtId="0" fontId="0" fillId="2" borderId="87" xfId="0" applyFont="1" applyFill="1" applyBorder="1" applyAlignment="1" applyProtection="1">
      <alignment vertical="center"/>
    </xf>
    <xf numFmtId="4" fontId="0" fillId="2" borderId="88" xfId="0" applyNumberFormat="1" applyFont="1" applyFill="1" applyBorder="1" applyAlignment="1" applyProtection="1">
      <alignment vertical="center"/>
      <protection locked="0"/>
    </xf>
    <xf numFmtId="4" fontId="0" fillId="2" borderId="86" xfId="0" applyNumberFormat="1" applyFont="1" applyFill="1" applyBorder="1" applyAlignment="1" applyProtection="1">
      <alignment horizontal="left" vertical="center"/>
      <protection locked="0"/>
    </xf>
    <xf numFmtId="4" fontId="0" fillId="2" borderId="89" xfId="0" applyNumberFormat="1" applyFont="1" applyFill="1" applyBorder="1" applyAlignment="1" applyProtection="1">
      <alignment horizontal="left" vertical="center"/>
      <protection locked="0"/>
    </xf>
    <xf numFmtId="4" fontId="0" fillId="2" borderId="87" xfId="0" applyNumberFormat="1" applyFont="1" applyFill="1" applyBorder="1" applyAlignment="1" applyProtection="1">
      <alignment horizontal="left" vertical="center"/>
      <protection locked="0"/>
    </xf>
    <xf numFmtId="0" fontId="0" fillId="2" borderId="28" xfId="0" applyFont="1" applyFill="1" applyBorder="1" applyAlignment="1" applyProtection="1">
      <alignment vertical="center"/>
    </xf>
    <xf numFmtId="0" fontId="0" fillId="2" borderId="29" xfId="0" applyFont="1" applyFill="1" applyBorder="1" applyAlignment="1" applyProtection="1">
      <alignment vertical="center"/>
    </xf>
    <xf numFmtId="0" fontId="0" fillId="2" borderId="90" xfId="0" applyFont="1" applyFill="1" applyBorder="1" applyAlignment="1" applyProtection="1">
      <alignment vertical="center"/>
    </xf>
    <xf numFmtId="0" fontId="0" fillId="2" borderId="91" xfId="0" applyFont="1" applyFill="1" applyBorder="1" applyAlignment="1" applyProtection="1">
      <alignment vertical="center"/>
    </xf>
    <xf numFmtId="4" fontId="0" fillId="2" borderId="92" xfId="0" applyNumberFormat="1" applyFont="1" applyFill="1" applyBorder="1" applyAlignment="1" applyProtection="1">
      <alignment vertical="center"/>
      <protection locked="0"/>
    </xf>
    <xf numFmtId="4" fontId="0" fillId="2" borderId="90" xfId="0" applyNumberFormat="1" applyFont="1" applyFill="1" applyBorder="1" applyAlignment="1" applyProtection="1">
      <alignment horizontal="left" vertical="center"/>
      <protection locked="0"/>
    </xf>
    <xf numFmtId="4" fontId="0" fillId="2" borderId="93" xfId="0" applyNumberFormat="1" applyFont="1" applyFill="1" applyBorder="1" applyAlignment="1" applyProtection="1">
      <alignment horizontal="left" vertical="center"/>
      <protection locked="0"/>
    </xf>
    <xf numFmtId="4" fontId="0" fillId="2" borderId="91" xfId="0" applyNumberFormat="1" applyFont="1" applyFill="1" applyBorder="1" applyAlignment="1" applyProtection="1">
      <alignment horizontal="left" vertical="center"/>
      <protection locked="0"/>
    </xf>
    <xf numFmtId="4" fontId="0" fillId="2" borderId="88" xfId="0" applyNumberFormat="1" applyFont="1" applyFill="1" applyBorder="1" applyAlignment="1" applyProtection="1">
      <alignment horizontal="right" vertical="center"/>
      <protection locked="0"/>
    </xf>
    <xf numFmtId="4" fontId="2" fillId="6" borderId="11" xfId="0" applyNumberFormat="1" applyFont="1" applyFill="1" applyBorder="1" applyAlignment="1" applyProtection="1">
      <alignment horizontal="center" vertical="center"/>
    </xf>
    <xf numFmtId="1" fontId="2" fillId="6" borderId="32" xfId="0" applyNumberFormat="1" applyFont="1" applyFill="1" applyBorder="1" applyAlignment="1" applyProtection="1">
      <alignment horizontal="center" vertical="center"/>
    </xf>
    <xf numFmtId="0" fontId="2" fillId="2" borderId="78" xfId="0" applyFont="1" applyFill="1" applyBorder="1" applyAlignment="1" applyProtection="1">
      <alignment vertical="center"/>
    </xf>
    <xf numFmtId="4" fontId="2" fillId="2" borderId="76" xfId="0" applyNumberFormat="1" applyFont="1" applyFill="1" applyBorder="1" applyAlignment="1" applyProtection="1">
      <alignment vertical="center"/>
    </xf>
    <xf numFmtId="1" fontId="0" fillId="2" borderId="88" xfId="0" applyNumberFormat="1" applyFont="1" applyFill="1" applyBorder="1" applyAlignment="1" applyProtection="1">
      <alignment horizontal="center" vertical="center"/>
      <protection locked="0"/>
    </xf>
    <xf numFmtId="0" fontId="0" fillId="2" borderId="83" xfId="0" applyFont="1" applyFill="1" applyBorder="1" applyAlignment="1" applyProtection="1">
      <alignment vertical="center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4" fontId="0" fillId="2" borderId="0" xfId="0" applyNumberFormat="1" applyFont="1" applyFill="1" applyBorder="1" applyAlignment="1" applyProtection="1">
      <alignment vertical="center"/>
      <protection locked="0"/>
    </xf>
    <xf numFmtId="4" fontId="0" fillId="2" borderId="0" xfId="0" applyNumberFormat="1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</xf>
    <xf numFmtId="4" fontId="18" fillId="2" borderId="0" xfId="0" applyNumberFormat="1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5" fillId="2" borderId="44" xfId="0" applyFont="1" applyFill="1" applyBorder="1"/>
    <xf numFmtId="0" fontId="5" fillId="2" borderId="45" xfId="0" applyFont="1" applyFill="1" applyBorder="1"/>
    <xf numFmtId="0" fontId="5" fillId="2" borderId="27" xfId="0" applyFont="1" applyFill="1" applyBorder="1"/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/>
    <xf numFmtId="4" fontId="4" fillId="2" borderId="94" xfId="0" applyNumberFormat="1" applyFont="1" applyFill="1" applyBorder="1"/>
    <xf numFmtId="4" fontId="4" fillId="2" borderId="95" xfId="0" applyNumberFormat="1" applyFont="1" applyFill="1" applyBorder="1"/>
    <xf numFmtId="4" fontId="4" fillId="2" borderId="96" xfId="0" applyNumberFormat="1" applyFont="1" applyFill="1" applyBorder="1"/>
    <xf numFmtId="4" fontId="2" fillId="2" borderId="94" xfId="0" applyNumberFormat="1" applyFont="1" applyFill="1" applyBorder="1"/>
    <xf numFmtId="4" fontId="2" fillId="2" borderId="95" xfId="0" applyNumberFormat="1" applyFont="1" applyFill="1" applyBorder="1"/>
    <xf numFmtId="4" fontId="2" fillId="2" borderId="96" xfId="0" applyNumberFormat="1" applyFont="1" applyFill="1" applyBorder="1"/>
    <xf numFmtId="4" fontId="0" fillId="2" borderId="97" xfId="0" applyNumberFormat="1" applyFont="1" applyFill="1" applyBorder="1" applyProtection="1">
      <protection locked="0"/>
    </xf>
    <xf numFmtId="4" fontId="0" fillId="2" borderId="98" xfId="0" applyNumberFormat="1" applyFont="1" applyFill="1" applyBorder="1" applyProtection="1">
      <protection locked="0"/>
    </xf>
    <xf numFmtId="4" fontId="0" fillId="2" borderId="99" xfId="0" applyNumberFormat="1" applyFont="1" applyFill="1" applyBorder="1" applyProtection="1">
      <protection locked="0"/>
    </xf>
    <xf numFmtId="4" fontId="0" fillId="2" borderId="100" xfId="0" applyNumberFormat="1" applyFont="1" applyFill="1" applyBorder="1" applyProtection="1">
      <protection locked="0"/>
    </xf>
    <xf numFmtId="4" fontId="0" fillId="2" borderId="101" xfId="0" applyNumberFormat="1" applyFont="1" applyFill="1" applyBorder="1" applyProtection="1">
      <protection locked="0"/>
    </xf>
    <xf numFmtId="4" fontId="0" fillId="2" borderId="102" xfId="0" applyNumberFormat="1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left"/>
      <protection locked="0"/>
    </xf>
    <xf numFmtId="4" fontId="5" fillId="0" borderId="4" xfId="0" applyNumberFormat="1" applyFont="1" applyFill="1" applyBorder="1" applyAlignment="1" applyProtection="1">
      <alignment horizontal="left"/>
      <protection locked="0"/>
    </xf>
    <xf numFmtId="4" fontId="2" fillId="2" borderId="94" xfId="0" applyNumberFormat="1" applyFont="1" applyFill="1" applyBorder="1" applyProtection="1">
      <protection locked="0"/>
    </xf>
    <xf numFmtId="4" fontId="2" fillId="2" borderId="95" xfId="0" applyNumberFormat="1" applyFont="1" applyFill="1" applyBorder="1" applyProtection="1">
      <protection locked="0"/>
    </xf>
    <xf numFmtId="4" fontId="2" fillId="2" borderId="96" xfId="0" applyNumberFormat="1" applyFont="1" applyFill="1" applyBorder="1" applyProtection="1">
      <protection locked="0"/>
    </xf>
    <xf numFmtId="4" fontId="5" fillId="0" borderId="4" xfId="0" applyNumberFormat="1" applyFont="1" applyFill="1" applyBorder="1" applyAlignment="1" applyProtection="1">
      <alignment horizontal="left"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4" fontId="0" fillId="2" borderId="100" xfId="0" applyNumberFormat="1" applyFont="1" applyFill="1" applyBorder="1"/>
    <xf numFmtId="4" fontId="0" fillId="2" borderId="101" xfId="0" applyNumberFormat="1" applyFont="1" applyFill="1" applyBorder="1"/>
    <xf numFmtId="4" fontId="0" fillId="2" borderId="102" xfId="0" applyNumberFormat="1" applyFont="1" applyFill="1" applyBorder="1"/>
    <xf numFmtId="0" fontId="25" fillId="2" borderId="43" xfId="0" applyFont="1" applyFill="1" applyBorder="1" applyAlignment="1">
      <alignment horizontal="center"/>
    </xf>
    <xf numFmtId="0" fontId="25" fillId="2" borderId="0" xfId="0" applyFont="1" applyFill="1" applyBorder="1"/>
    <xf numFmtId="4" fontId="25" fillId="2" borderId="44" xfId="0" applyNumberFormat="1" applyFont="1" applyFill="1" applyBorder="1" applyProtection="1">
      <protection locked="0"/>
    </xf>
    <xf numFmtId="4" fontId="25" fillId="2" borderId="45" xfId="0" applyNumberFormat="1" applyFont="1" applyFill="1" applyBorder="1" applyProtection="1">
      <protection locked="0"/>
    </xf>
    <xf numFmtId="4" fontId="25" fillId="2" borderId="27" xfId="0" applyNumberFormat="1" applyFont="1" applyFill="1" applyBorder="1" applyProtection="1">
      <protection locked="0"/>
    </xf>
    <xf numFmtId="0" fontId="0" fillId="2" borderId="103" xfId="0" applyFont="1" applyFill="1" applyBorder="1" applyAlignment="1">
      <alignment horizontal="center"/>
    </xf>
    <xf numFmtId="0" fontId="0" fillId="2" borderId="104" xfId="0" applyFont="1" applyFill="1" applyBorder="1"/>
    <xf numFmtId="4" fontId="0" fillId="2" borderId="105" xfId="0" applyNumberFormat="1" applyFont="1" applyFill="1" applyBorder="1" applyProtection="1">
      <protection locked="0"/>
    </xf>
    <xf numFmtId="4" fontId="0" fillId="2" borderId="106" xfId="0" applyNumberFormat="1" applyFont="1" applyFill="1" applyBorder="1" applyProtection="1">
      <protection locked="0"/>
    </xf>
    <xf numFmtId="4" fontId="0" fillId="2" borderId="107" xfId="0" applyNumberFormat="1" applyFont="1" applyFill="1" applyBorder="1" applyProtection="1">
      <protection locked="0"/>
    </xf>
    <xf numFmtId="0" fontId="0" fillId="2" borderId="108" xfId="0" applyFont="1" applyFill="1" applyBorder="1"/>
    <xf numFmtId="4" fontId="5" fillId="2" borderId="44" xfId="0" applyNumberFormat="1" applyFont="1" applyFill="1" applyBorder="1"/>
    <xf numFmtId="4" fontId="5" fillId="2" borderId="45" xfId="0" applyNumberFormat="1" applyFont="1" applyFill="1" applyBorder="1"/>
    <xf numFmtId="4" fontId="5" fillId="2" borderId="109" xfId="0" applyNumberFormat="1" applyFont="1" applyFill="1" applyBorder="1"/>
    <xf numFmtId="0" fontId="26" fillId="2" borderId="0" xfId="0" applyFont="1" applyFill="1"/>
    <xf numFmtId="0" fontId="26" fillId="2" borderId="4" xfId="0" applyFont="1" applyFill="1" applyBorder="1"/>
    <xf numFmtId="0" fontId="19" fillId="2" borderId="110" xfId="0" applyFont="1" applyFill="1" applyBorder="1" applyAlignment="1">
      <alignment horizontal="left"/>
    </xf>
    <xf numFmtId="4" fontId="19" fillId="2" borderId="34" xfId="0" applyNumberFormat="1" applyFont="1" applyFill="1" applyBorder="1"/>
    <xf numFmtId="4" fontId="19" fillId="2" borderId="111" xfId="0" applyNumberFormat="1" applyFont="1" applyFill="1" applyBorder="1"/>
    <xf numFmtId="4" fontId="19" fillId="2" borderId="36" xfId="0" applyNumberFormat="1" applyFont="1" applyFill="1" applyBorder="1"/>
    <xf numFmtId="0" fontId="26" fillId="2" borderId="5" xfId="0" applyFont="1" applyFill="1" applyBorder="1"/>
    <xf numFmtId="0" fontId="5" fillId="6" borderId="112" xfId="0" applyFont="1" applyFill="1" applyBorder="1"/>
    <xf numFmtId="0" fontId="5" fillId="6" borderId="113" xfId="0" applyFont="1" applyFill="1" applyBorder="1"/>
    <xf numFmtId="0" fontId="2" fillId="6" borderId="114" xfId="0" applyFont="1" applyFill="1" applyBorder="1" applyAlignment="1">
      <alignment horizontal="center"/>
    </xf>
    <xf numFmtId="0" fontId="2" fillId="6" borderId="115" xfId="0" applyFont="1" applyFill="1" applyBorder="1" applyAlignment="1">
      <alignment horizontal="center"/>
    </xf>
    <xf numFmtId="0" fontId="8" fillId="6" borderId="108" xfId="0" applyFont="1" applyFill="1" applyBorder="1"/>
    <xf numFmtId="0" fontId="19" fillId="6" borderId="12" xfId="0" applyFont="1" applyFill="1" applyBorder="1" applyAlignment="1">
      <alignment horizontal="center"/>
    </xf>
    <xf numFmtId="0" fontId="19" fillId="6" borderId="116" xfId="0" applyFont="1" applyFill="1" applyBorder="1" applyAlignment="1">
      <alignment horizontal="center"/>
    </xf>
    <xf numFmtId="0" fontId="4" fillId="2" borderId="108" xfId="0" applyFont="1" applyFill="1" applyBorder="1" applyAlignment="1">
      <alignment horizontal="center"/>
    </xf>
    <xf numFmtId="0" fontId="5" fillId="2" borderId="116" xfId="0" applyFont="1" applyFill="1" applyBorder="1"/>
    <xf numFmtId="0" fontId="4" fillId="2" borderId="117" xfId="0" applyFont="1" applyFill="1" applyBorder="1" applyAlignment="1">
      <alignment horizontal="center"/>
    </xf>
    <xf numFmtId="4" fontId="4" fillId="2" borderId="48" xfId="0" applyNumberFormat="1" applyFont="1" applyFill="1" applyBorder="1"/>
    <xf numFmtId="4" fontId="4" fillId="2" borderId="118" xfId="0" applyNumberFormat="1" applyFont="1" applyFill="1" applyBorder="1"/>
    <xf numFmtId="0" fontId="2" fillId="2" borderId="117" xfId="0" applyFont="1" applyFill="1" applyBorder="1" applyAlignment="1">
      <alignment horizontal="center"/>
    </xf>
    <xf numFmtId="4" fontId="2" fillId="2" borderId="118" xfId="0" applyNumberFormat="1" applyFont="1" applyFill="1" applyBorder="1"/>
    <xf numFmtId="0" fontId="0" fillId="2" borderId="119" xfId="0" applyFont="1" applyFill="1" applyBorder="1" applyAlignment="1">
      <alignment horizontal="center"/>
    </xf>
    <xf numFmtId="4" fontId="0" fillId="2" borderId="120" xfId="0" applyNumberFormat="1" applyFont="1" applyFill="1" applyBorder="1" applyProtection="1">
      <protection locked="0"/>
    </xf>
    <xf numFmtId="0" fontId="0" fillId="2" borderId="121" xfId="0" applyFont="1" applyFill="1" applyBorder="1" applyAlignment="1">
      <alignment horizontal="center"/>
    </xf>
    <xf numFmtId="4" fontId="0" fillId="2" borderId="122" xfId="0" applyNumberFormat="1" applyFont="1" applyFill="1" applyBorder="1" applyProtection="1">
      <protection locked="0"/>
    </xf>
    <xf numFmtId="4" fontId="2" fillId="2" borderId="118" xfId="0" applyNumberFormat="1" applyFont="1" applyFill="1" applyBorder="1" applyProtection="1">
      <protection locked="0"/>
    </xf>
    <xf numFmtId="4" fontId="15" fillId="0" borderId="0" xfId="0" applyNumberFormat="1" applyFont="1" applyFill="1" applyBorder="1" applyAlignment="1" applyProtection="1">
      <alignment horizontal="left"/>
      <protection locked="0"/>
    </xf>
    <xf numFmtId="4" fontId="15" fillId="0" borderId="4" xfId="0" applyNumberFormat="1" applyFont="1" applyFill="1" applyBorder="1" applyAlignment="1" applyProtection="1">
      <alignment horizontal="left"/>
      <protection locked="0"/>
    </xf>
    <xf numFmtId="0" fontId="0" fillId="2" borderId="108" xfId="0" applyFont="1" applyFill="1" applyBorder="1" applyAlignment="1">
      <alignment horizontal="center"/>
    </xf>
    <xf numFmtId="4" fontId="5" fillId="2" borderId="12" xfId="0" applyNumberFormat="1" applyFont="1" applyFill="1" applyBorder="1"/>
    <xf numFmtId="4" fontId="5" fillId="2" borderId="116" xfId="0" applyNumberFormat="1" applyFont="1" applyFill="1" applyBorder="1"/>
    <xf numFmtId="0" fontId="2" fillId="2" borderId="108" xfId="0" applyFont="1" applyFill="1" applyBorder="1" applyAlignment="1">
      <alignment horizontal="center"/>
    </xf>
    <xf numFmtId="4" fontId="0" fillId="2" borderId="54" xfId="0" applyNumberFormat="1" applyFont="1" applyFill="1" applyBorder="1"/>
    <xf numFmtId="0" fontId="25" fillId="2" borderId="108" xfId="0" applyFont="1" applyFill="1" applyBorder="1" applyAlignment="1">
      <alignment horizontal="center"/>
    </xf>
    <xf numFmtId="4" fontId="25" fillId="2" borderId="12" xfId="0" applyNumberFormat="1" applyFont="1" applyFill="1" applyBorder="1" applyProtection="1">
      <protection locked="0"/>
    </xf>
    <xf numFmtId="4" fontId="19" fillId="2" borderId="123" xfId="0" applyNumberFormat="1" applyFont="1" applyFill="1" applyBorder="1"/>
    <xf numFmtId="0" fontId="27" fillId="2" borderId="0" xfId="0" applyFont="1" applyFill="1" applyBorder="1" applyAlignment="1">
      <alignment horizontal="right"/>
    </xf>
    <xf numFmtId="4" fontId="0" fillId="2" borderId="0" xfId="0" applyNumberFormat="1" applyFont="1" applyFill="1"/>
    <xf numFmtId="4" fontId="5" fillId="2" borderId="2" xfId="0" applyNumberFormat="1" applyFont="1" applyFill="1" applyBorder="1"/>
    <xf numFmtId="4" fontId="5" fillId="2" borderId="0" xfId="0" applyNumberFormat="1" applyFont="1" applyFill="1" applyBorder="1"/>
    <xf numFmtId="4" fontId="15" fillId="2" borderId="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0" fontId="5" fillId="2" borderId="39" xfId="0" applyFont="1" applyFill="1" applyBorder="1"/>
    <xf numFmtId="0" fontId="5" fillId="2" borderId="40" xfId="0" applyFont="1" applyFill="1" applyBorder="1"/>
    <xf numFmtId="4" fontId="2" fillId="2" borderId="11" xfId="0" applyNumberFormat="1" applyFont="1" applyFill="1" applyBorder="1" applyAlignment="1">
      <alignment horizontal="center"/>
    </xf>
    <xf numFmtId="0" fontId="5" fillId="2" borderId="70" xfId="0" applyFont="1" applyFill="1" applyBorder="1"/>
    <xf numFmtId="0" fontId="5" fillId="2" borderId="7" xfId="0" applyFont="1" applyFill="1" applyBorder="1"/>
    <xf numFmtId="0" fontId="19" fillId="2" borderId="3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center"/>
    </xf>
    <xf numFmtId="4" fontId="2" fillId="2" borderId="48" xfId="0" applyNumberFormat="1" applyFont="1" applyFill="1" applyBorder="1" applyProtection="1"/>
    <xf numFmtId="0" fontId="0" fillId="2" borderId="43" xfId="0" applyFont="1" applyFill="1" applyBorder="1"/>
    <xf numFmtId="0" fontId="4" fillId="2" borderId="55" xfId="0" applyFont="1" applyFill="1" applyBorder="1" applyAlignment="1">
      <alignment horizontal="left"/>
    </xf>
    <xf numFmtId="0" fontId="25" fillId="2" borderId="43" xfId="0" applyFont="1" applyFill="1" applyBorder="1"/>
    <xf numFmtId="0" fontId="4" fillId="2" borderId="124" xfId="0" applyFont="1" applyFill="1" applyBorder="1" applyAlignment="1">
      <alignment horizontal="left"/>
    </xf>
    <xf numFmtId="0" fontId="19" fillId="2" borderId="125" xfId="0" applyFont="1" applyFill="1" applyBorder="1" applyAlignment="1">
      <alignment horizontal="left"/>
    </xf>
    <xf numFmtId="4" fontId="4" fillId="2" borderId="126" xfId="0" applyNumberFormat="1" applyFont="1" applyFill="1" applyBorder="1" applyProtection="1">
      <protection locked="0"/>
    </xf>
    <xf numFmtId="4" fontId="4" fillId="2" borderId="126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4" fontId="4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" fontId="5" fillId="2" borderId="9" xfId="0" applyNumberFormat="1" applyFont="1" applyFill="1" applyBorder="1"/>
    <xf numFmtId="4" fontId="6" fillId="2" borderId="0" xfId="0" applyNumberFormat="1" applyFont="1" applyFill="1" applyAlignment="1">
      <alignment horizontal="right"/>
    </xf>
    <xf numFmtId="4" fontId="0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" fontId="5" fillId="2" borderId="0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9" fillId="2" borderId="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/>
    </xf>
    <xf numFmtId="0" fontId="13" fillId="6" borderId="127" xfId="0" applyFont="1" applyFill="1" applyBorder="1" applyAlignment="1">
      <alignment horizontal="center" vertical="center"/>
    </xf>
    <xf numFmtId="0" fontId="15" fillId="6" borderId="127" xfId="0" applyFont="1" applyFill="1" applyBorder="1" applyAlignment="1">
      <alignment horizontal="center" vertical="center"/>
    </xf>
    <xf numFmtId="4" fontId="13" fillId="6" borderId="112" xfId="0" applyNumberFormat="1" applyFont="1" applyFill="1" applyBorder="1" applyAlignment="1">
      <alignment horizontal="left" vertical="center"/>
    </xf>
    <xf numFmtId="0" fontId="0" fillId="6" borderId="113" xfId="0" applyFont="1" applyFill="1" applyBorder="1" applyAlignment="1">
      <alignment horizontal="left" vertical="center"/>
    </xf>
    <xf numFmtId="4" fontId="13" fillId="6" borderId="113" xfId="0" applyNumberFormat="1" applyFont="1" applyFill="1" applyBorder="1" applyAlignment="1">
      <alignment horizontal="right" vertical="center"/>
    </xf>
    <xf numFmtId="0" fontId="13" fillId="6" borderId="113" xfId="0" applyFont="1" applyFill="1" applyBorder="1" applyAlignment="1">
      <alignment horizontal="left" vertical="center"/>
    </xf>
    <xf numFmtId="0" fontId="2" fillId="6" borderId="128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3" fillId="6" borderId="44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4" fillId="6" borderId="117" xfId="0" applyFont="1" applyFill="1" applyBorder="1" applyAlignment="1">
      <alignment horizontal="left"/>
    </xf>
    <xf numFmtId="0" fontId="14" fillId="6" borderId="47" xfId="0" applyFont="1" applyFill="1" applyBorder="1" applyAlignment="1">
      <alignment horizontal="left"/>
    </xf>
    <xf numFmtId="0" fontId="14" fillId="6" borderId="129" xfId="0" applyFont="1" applyFill="1" applyBorder="1" applyAlignment="1">
      <alignment horizontal="left"/>
    </xf>
    <xf numFmtId="0" fontId="13" fillId="6" borderId="94" xfId="0" applyFont="1" applyFill="1" applyBorder="1" applyAlignment="1">
      <alignment horizontal="center" vertical="center"/>
    </xf>
    <xf numFmtId="0" fontId="0" fillId="2" borderId="97" xfId="0" applyFont="1" applyFill="1" applyBorder="1" applyAlignment="1" applyProtection="1">
      <alignment horizontal="center" vertical="center"/>
      <protection locked="0"/>
    </xf>
    <xf numFmtId="0" fontId="0" fillId="2" borderId="97" xfId="0" applyFont="1" applyFill="1" applyBorder="1" applyAlignment="1" applyProtection="1">
      <alignment vertical="center"/>
      <protection locked="0"/>
    </xf>
    <xf numFmtId="3" fontId="0" fillId="2" borderId="97" xfId="0" applyNumberFormat="1" applyFont="1" applyFill="1" applyBorder="1" applyAlignment="1" applyProtection="1">
      <alignment horizontal="center" vertical="center"/>
      <protection locked="0"/>
    </xf>
    <xf numFmtId="4" fontId="0" fillId="2" borderId="97" xfId="0" applyNumberFormat="1" applyFont="1" applyFill="1" applyBorder="1" applyAlignment="1" applyProtection="1">
      <alignment vertical="center"/>
      <protection locked="0"/>
    </xf>
    <xf numFmtId="0" fontId="0" fillId="2" borderId="100" xfId="0" applyFont="1" applyFill="1" applyBorder="1" applyAlignment="1" applyProtection="1">
      <alignment horizontal="center" vertical="center"/>
      <protection locked="0"/>
    </xf>
    <xf numFmtId="0" fontId="0" fillId="2" borderId="100" xfId="0" applyFont="1" applyFill="1" applyBorder="1" applyAlignment="1" applyProtection="1">
      <alignment vertical="center"/>
      <protection locked="0"/>
    </xf>
    <xf numFmtId="3" fontId="0" fillId="2" borderId="100" xfId="0" applyNumberFormat="1" applyFont="1" applyFill="1" applyBorder="1" applyAlignment="1" applyProtection="1">
      <alignment horizontal="center" vertical="center"/>
      <protection locked="0"/>
    </xf>
    <xf numFmtId="4" fontId="0" fillId="2" borderId="100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left"/>
    </xf>
    <xf numFmtId="3" fontId="2" fillId="2" borderId="130" xfId="0" applyNumberFormat="1" applyFont="1" applyFill="1" applyBorder="1" applyAlignment="1">
      <alignment horizontal="center" vertical="center"/>
    </xf>
    <xf numFmtId="4" fontId="2" fillId="2" borderId="130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3" fontId="0" fillId="2" borderId="0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left"/>
    </xf>
    <xf numFmtId="4" fontId="5" fillId="2" borderId="9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2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6" borderId="70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31" fillId="6" borderId="12" xfId="1" applyFont="1" applyFill="1" applyBorder="1" applyAlignment="1">
      <alignment horizontal="center" wrapText="1"/>
    </xf>
    <xf numFmtId="0" fontId="32" fillId="6" borderId="131" xfId="1" applyFont="1" applyFill="1" applyBorder="1" applyAlignment="1">
      <alignment horizontal="center" wrapText="1"/>
    </xf>
    <xf numFmtId="0" fontId="32" fillId="6" borderId="132" xfId="1" applyFont="1" applyFill="1" applyBorder="1" applyAlignment="1">
      <alignment horizontal="center" wrapText="1"/>
    </xf>
    <xf numFmtId="0" fontId="32" fillId="6" borderId="133" xfId="1" applyFont="1" applyFill="1" applyBorder="1" applyAlignment="1">
      <alignment horizontal="center" wrapText="1"/>
    </xf>
    <xf numFmtId="0" fontId="0" fillId="2" borderId="71" xfId="0" applyFont="1" applyFill="1" applyBorder="1" applyAlignment="1">
      <alignment horizontal="left" vertical="center"/>
    </xf>
    <xf numFmtId="0" fontId="0" fillId="2" borderId="85" xfId="0" applyFont="1" applyFill="1" applyBorder="1" applyAlignment="1">
      <alignment horizontal="left"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134" xfId="0" applyNumberFormat="1" applyFont="1" applyFill="1" applyBorder="1" applyAlignment="1" applyProtection="1">
      <alignment vertical="center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83" xfId="0" applyFont="1" applyFill="1" applyBorder="1" applyAlignment="1">
      <alignment horizontal="left" vertical="center"/>
    </xf>
    <xf numFmtId="4" fontId="2" fillId="2" borderId="14" xfId="0" applyNumberFormat="1" applyFont="1" applyFill="1" applyBorder="1" applyAlignment="1" applyProtection="1">
      <alignment vertical="center"/>
      <protection locked="0"/>
    </xf>
    <xf numFmtId="4" fontId="0" fillId="2" borderId="25" xfId="0" applyNumberFormat="1" applyFont="1" applyFill="1" applyBorder="1" applyAlignment="1" applyProtection="1">
      <alignment vertical="center"/>
      <protection locked="0"/>
    </xf>
    <xf numFmtId="4" fontId="0" fillId="2" borderId="135" xfId="0" applyNumberFormat="1" applyFont="1" applyFill="1" applyBorder="1" applyAlignment="1" applyProtection="1">
      <alignment vertical="center"/>
      <protection locked="0"/>
    </xf>
    <xf numFmtId="4" fontId="0" fillId="2" borderId="26" xfId="0" applyNumberFormat="1" applyFont="1" applyFill="1" applyBorder="1" applyAlignment="1" applyProtection="1">
      <alignment vertical="center"/>
      <protection locked="0"/>
    </xf>
    <xf numFmtId="4" fontId="2" fillId="2" borderId="14" xfId="0" applyNumberFormat="1" applyFont="1" applyFill="1" applyBorder="1" applyAlignment="1">
      <alignment vertical="center"/>
    </xf>
    <xf numFmtId="0" fontId="0" fillId="2" borderId="73" xfId="0" applyFont="1" applyFill="1" applyBorder="1" applyAlignment="1">
      <alignment horizontal="left" vertical="center"/>
    </xf>
    <xf numFmtId="0" fontId="0" fillId="2" borderId="84" xfId="0" applyFont="1" applyFill="1" applyBorder="1" applyAlignment="1">
      <alignment horizontal="left" vertical="center"/>
    </xf>
    <xf numFmtId="4" fontId="0" fillId="2" borderId="30" xfId="0" applyNumberFormat="1" applyFont="1" applyFill="1" applyBorder="1" applyAlignment="1" applyProtection="1">
      <alignment vertical="center"/>
      <protection locked="0"/>
    </xf>
    <xf numFmtId="4" fontId="0" fillId="2" borderId="136" xfId="0" applyNumberFormat="1" applyFont="1" applyFill="1" applyBorder="1" applyAlignment="1" applyProtection="1">
      <alignment vertical="center"/>
      <protection locked="0"/>
    </xf>
    <xf numFmtId="4" fontId="0" fillId="2" borderId="31" xfId="0" applyNumberFormat="1" applyFont="1" applyFill="1" applyBorder="1" applyAlignment="1" applyProtection="1">
      <alignment vertical="center"/>
      <protection locked="0"/>
    </xf>
    <xf numFmtId="4" fontId="2" fillId="2" borderId="15" xfId="0" applyNumberFormat="1" applyFont="1" applyFill="1" applyBorder="1" applyAlignment="1">
      <alignment vertical="center"/>
    </xf>
    <xf numFmtId="0" fontId="2" fillId="2" borderId="75" xfId="0" applyFont="1" applyFill="1" applyBorder="1" applyAlignment="1">
      <alignment horizontal="left" vertical="center"/>
    </xf>
    <xf numFmtId="0" fontId="2" fillId="2" borderId="78" xfId="0" applyFont="1" applyFill="1" applyBorder="1" applyAlignment="1">
      <alignment horizontal="left" vertical="center"/>
    </xf>
    <xf numFmtId="4" fontId="2" fillId="2" borderId="77" xfId="0" applyNumberFormat="1" applyFont="1" applyFill="1" applyBorder="1" applyAlignment="1">
      <alignment vertical="center"/>
    </xf>
    <xf numFmtId="4" fontId="2" fillId="2" borderId="76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" fontId="9" fillId="2" borderId="0" xfId="0" applyNumberFormat="1" applyFont="1" applyFill="1" applyBorder="1" applyAlignment="1">
      <alignment horizontal="left" vertical="center"/>
    </xf>
    <xf numFmtId="0" fontId="0" fillId="2" borderId="75" xfId="0" applyFont="1" applyFill="1" applyBorder="1" applyAlignment="1">
      <alignment horizontal="left" vertical="center"/>
    </xf>
    <xf numFmtId="0" fontId="0" fillId="2" borderId="78" xfId="0" applyFont="1" applyFill="1" applyBorder="1" applyAlignment="1">
      <alignment horizontal="left" vertical="center"/>
    </xf>
    <xf numFmtId="4" fontId="0" fillId="2" borderId="77" xfId="0" applyNumberFormat="1" applyFont="1" applyFill="1" applyBorder="1" applyAlignment="1" applyProtection="1">
      <alignment horizontal="right" vertical="center"/>
      <protection locked="0"/>
    </xf>
    <xf numFmtId="4" fontId="0" fillId="2" borderId="137" xfId="0" applyNumberFormat="1" applyFont="1" applyFill="1" applyBorder="1" applyAlignment="1" applyProtection="1">
      <alignment horizontal="right" vertical="center"/>
      <protection locked="0"/>
    </xf>
    <xf numFmtId="4" fontId="0" fillId="2" borderId="138" xfId="0" applyNumberFormat="1" applyFont="1" applyFill="1" applyBorder="1" applyAlignment="1" applyProtection="1">
      <alignment horizontal="right" vertical="center"/>
      <protection locked="0"/>
    </xf>
    <xf numFmtId="4" fontId="0" fillId="2" borderId="139" xfId="0" applyNumberFormat="1" applyFont="1" applyFill="1" applyBorder="1" applyAlignment="1" applyProtection="1">
      <alignment horizontal="right" vertical="center"/>
      <protection locked="0"/>
    </xf>
    <xf numFmtId="4" fontId="0" fillId="2" borderId="76" xfId="0" applyNumberFormat="1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4" fillId="6" borderId="70" xfId="0" applyFont="1" applyFill="1" applyBorder="1" applyAlignment="1">
      <alignment horizontal="left"/>
    </xf>
    <xf numFmtId="0" fontId="4" fillId="6" borderId="33" xfId="0" applyFont="1" applyFill="1" applyBorder="1" applyAlignment="1">
      <alignment horizontal="left"/>
    </xf>
    <xf numFmtId="0" fontId="31" fillId="6" borderId="32" xfId="1" applyFont="1" applyFill="1" applyBorder="1" applyAlignment="1">
      <alignment horizontal="center" wrapText="1"/>
    </xf>
    <xf numFmtId="0" fontId="0" fillId="0" borderId="0" xfId="0" applyFont="1" applyProtection="1">
      <protection locked="0"/>
    </xf>
    <xf numFmtId="4" fontId="0" fillId="2" borderId="140" xfId="0" applyNumberFormat="1" applyFont="1" applyFill="1" applyBorder="1" applyAlignment="1" applyProtection="1">
      <alignment vertical="center"/>
      <protection locked="0"/>
    </xf>
    <xf numFmtId="4" fontId="0" fillId="2" borderId="141" xfId="0" applyNumberFormat="1" applyFont="1" applyFill="1" applyBorder="1" applyAlignment="1" applyProtection="1">
      <alignment vertical="center"/>
      <protection locked="0"/>
    </xf>
    <xf numFmtId="4" fontId="2" fillId="2" borderId="88" xfId="0" applyNumberFormat="1" applyFont="1" applyFill="1" applyBorder="1" applyAlignment="1">
      <alignment vertical="center"/>
    </xf>
    <xf numFmtId="10" fontId="0" fillId="2" borderId="87" xfId="2" applyNumberFormat="1" applyFont="1" applyFill="1" applyBorder="1" applyAlignment="1" applyProtection="1">
      <alignment vertical="center"/>
      <protection locked="0"/>
    </xf>
    <xf numFmtId="4" fontId="0" fillId="2" borderId="87" xfId="0" applyNumberFormat="1" applyFont="1" applyFill="1" applyBorder="1" applyAlignment="1" applyProtection="1">
      <alignment vertical="center"/>
      <protection locked="0"/>
    </xf>
    <xf numFmtId="0" fontId="0" fillId="2" borderId="87" xfId="0" applyNumberFormat="1" applyFont="1" applyFill="1" applyBorder="1" applyAlignment="1" applyProtection="1">
      <alignment horizontal="left" vertical="center"/>
      <protection locked="0"/>
    </xf>
    <xf numFmtId="10" fontId="0" fillId="2" borderId="29" xfId="2" applyNumberFormat="1" applyFont="1" applyFill="1" applyBorder="1" applyAlignment="1" applyProtection="1">
      <alignment vertical="center"/>
      <protection locked="0"/>
    </xf>
    <xf numFmtId="4" fontId="0" fillId="2" borderId="29" xfId="0" applyNumberFormat="1" applyFont="1" applyFill="1" applyBorder="1" applyAlignment="1" applyProtection="1">
      <alignment vertical="center"/>
      <protection locked="0"/>
    </xf>
    <xf numFmtId="0" fontId="0" fillId="2" borderId="29" xfId="0" applyNumberFormat="1" applyFont="1" applyFill="1" applyBorder="1" applyAlignment="1" applyProtection="1">
      <alignment horizontal="left" vertical="center"/>
      <protection locked="0"/>
    </xf>
    <xf numFmtId="0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92" xfId="0" applyNumberFormat="1" applyFont="1" applyFill="1" applyBorder="1" applyAlignment="1" applyProtection="1">
      <alignment horizontal="center" vertical="center"/>
      <protection locked="0"/>
    </xf>
    <xf numFmtId="4" fontId="0" fillId="2" borderId="142" xfId="0" applyNumberFormat="1" applyFont="1" applyFill="1" applyBorder="1" applyAlignment="1" applyProtection="1">
      <alignment vertical="center"/>
      <protection locked="0"/>
    </xf>
    <xf numFmtId="4" fontId="0" fillId="2" borderId="143" xfId="0" applyNumberFormat="1" applyFont="1" applyFill="1" applyBorder="1" applyAlignment="1" applyProtection="1">
      <alignment vertical="center"/>
      <protection locked="0"/>
    </xf>
    <xf numFmtId="10" fontId="0" fillId="2" borderId="91" xfId="2" applyNumberFormat="1" applyFont="1" applyFill="1" applyBorder="1" applyAlignment="1" applyProtection="1">
      <alignment vertical="center"/>
      <protection locked="0"/>
    </xf>
    <xf numFmtId="4" fontId="0" fillId="2" borderId="91" xfId="0" applyNumberFormat="1" applyFont="1" applyFill="1" applyBorder="1" applyAlignment="1" applyProtection="1">
      <alignment vertical="center"/>
      <protection locked="0"/>
    </xf>
    <xf numFmtId="0" fontId="0" fillId="2" borderId="91" xfId="0" applyNumberFormat="1" applyFont="1" applyFill="1" applyBorder="1" applyAlignment="1" applyProtection="1">
      <alignment horizontal="left" vertical="center"/>
      <protection locked="0"/>
    </xf>
    <xf numFmtId="0" fontId="0" fillId="2" borderId="73" xfId="0" applyFont="1" applyFill="1" applyBorder="1" applyAlignment="1" applyProtection="1">
      <alignment horizontal="left" vertical="center"/>
      <protection locked="0"/>
    </xf>
    <xf numFmtId="0" fontId="0" fillId="2" borderId="74" xfId="0" applyFont="1" applyFill="1" applyBorder="1" applyAlignment="1" applyProtection="1">
      <alignment horizontal="left" vertical="center"/>
      <protection locked="0"/>
    </xf>
    <xf numFmtId="0" fontId="7" fillId="2" borderId="15" xfId="0" applyNumberFormat="1" applyFont="1" applyFill="1" applyBorder="1" applyAlignment="1" applyProtection="1">
      <alignment horizontal="center" vertical="center"/>
      <protection locked="0"/>
    </xf>
    <xf numFmtId="10" fontId="0" fillId="2" borderId="74" xfId="2" applyNumberFormat="1" applyFont="1" applyFill="1" applyBorder="1" applyAlignment="1" applyProtection="1">
      <alignment vertical="center"/>
      <protection locked="0"/>
    </xf>
    <xf numFmtId="4" fontId="0" fillId="2" borderId="74" xfId="0" applyNumberFormat="1" applyFont="1" applyFill="1" applyBorder="1" applyAlignment="1" applyProtection="1">
      <alignment vertical="center"/>
      <protection locked="0"/>
    </xf>
    <xf numFmtId="0" fontId="0" fillId="2" borderId="74" xfId="0" applyNumberFormat="1" applyFont="1" applyFill="1" applyBorder="1" applyAlignment="1" applyProtection="1">
      <alignment horizontal="left" vertical="center"/>
      <protection locked="0"/>
    </xf>
    <xf numFmtId="4" fontId="2" fillId="2" borderId="76" xfId="0" applyNumberFormat="1" applyFont="1" applyFill="1" applyBorder="1" applyAlignment="1">
      <alignment vertical="center"/>
    </xf>
    <xf numFmtId="4" fontId="0" fillId="2" borderId="87" xfId="2" applyNumberFormat="1" applyFont="1" applyFill="1" applyBorder="1" applyAlignment="1" applyProtection="1">
      <alignment vertical="center"/>
      <protection locked="0"/>
    </xf>
    <xf numFmtId="4" fontId="0" fillId="2" borderId="29" xfId="2" applyNumberFormat="1" applyFont="1" applyFill="1" applyBorder="1" applyAlignment="1" applyProtection="1">
      <alignment vertical="center"/>
      <protection locked="0"/>
    </xf>
    <xf numFmtId="4" fontId="0" fillId="2" borderId="91" xfId="2" applyNumberFormat="1" applyFont="1" applyFill="1" applyBorder="1" applyAlignment="1" applyProtection="1">
      <alignment vertical="center"/>
      <protection locked="0"/>
    </xf>
    <xf numFmtId="4" fontId="0" fillId="2" borderId="74" xfId="2" applyNumberFormat="1" applyFont="1" applyFill="1" applyBorder="1" applyAlignment="1" applyProtection="1">
      <alignment vertical="center"/>
      <protection locked="0"/>
    </xf>
    <xf numFmtId="10" fontId="2" fillId="2" borderId="76" xfId="2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1" fillId="6" borderId="11" xfId="1" applyFont="1" applyFill="1" applyBorder="1" applyAlignment="1">
      <alignment horizontal="center" vertical="center" wrapText="1"/>
    </xf>
    <xf numFmtId="0" fontId="31" fillId="6" borderId="6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31" fillId="6" borderId="32" xfId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horizontal="center" wrapText="1"/>
    </xf>
    <xf numFmtId="4" fontId="2" fillId="2" borderId="131" xfId="0" applyNumberFormat="1" applyFont="1" applyFill="1" applyBorder="1" applyAlignment="1" applyProtection="1">
      <alignment vertical="center"/>
      <protection locked="0"/>
    </xf>
    <xf numFmtId="4" fontId="2" fillId="2" borderId="6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center"/>
      <protection locked="0"/>
    </xf>
    <xf numFmtId="4" fontId="0" fillId="2" borderId="72" xfId="0" applyNumberFormat="1" applyFont="1" applyFill="1" applyBorder="1" applyAlignment="1" applyProtection="1">
      <alignment vertical="center"/>
      <protection locked="0"/>
    </xf>
    <xf numFmtId="4" fontId="2" fillId="2" borderId="72" xfId="0" applyNumberFormat="1" applyFont="1" applyFill="1" applyBorder="1" applyAlignment="1" applyProtection="1">
      <alignment horizontal="center" vertical="center"/>
      <protection locked="0"/>
    </xf>
    <xf numFmtId="4" fontId="0" fillId="2" borderId="72" xfId="0" applyNumberFormat="1" applyFont="1" applyFill="1" applyBorder="1" applyAlignment="1" applyProtection="1">
      <alignment horizontal="center" vertical="center"/>
      <protection locked="0"/>
    </xf>
    <xf numFmtId="4" fontId="2" fillId="2" borderId="87" xfId="0" applyNumberFormat="1" applyFont="1" applyFill="1" applyBorder="1" applyAlignment="1" applyProtection="1">
      <alignment horizontal="center" vertical="center"/>
      <protection locked="0"/>
    </xf>
    <xf numFmtId="4" fontId="0" fillId="2" borderId="87" xfId="0" applyNumberFormat="1" applyFont="1" applyFill="1" applyBorder="1" applyAlignment="1" applyProtection="1">
      <alignment horizontal="center" vertical="center"/>
      <protection locked="0"/>
    </xf>
    <xf numFmtId="4" fontId="2" fillId="2" borderId="29" xfId="0" applyNumberFormat="1" applyFont="1" applyFill="1" applyBorder="1" applyAlignment="1" applyProtection="1">
      <alignment horizontal="center" vertical="center"/>
      <protection locked="0"/>
    </xf>
    <xf numFmtId="4" fontId="0" fillId="2" borderId="29" xfId="0" applyNumberFormat="1" applyFont="1" applyFill="1" applyBorder="1" applyAlignment="1" applyProtection="1">
      <alignment horizontal="center" vertical="center"/>
      <protection locked="0"/>
    </xf>
    <xf numFmtId="4" fontId="2" fillId="2" borderId="91" xfId="0" applyNumberFormat="1" applyFont="1" applyFill="1" applyBorder="1" applyAlignment="1" applyProtection="1">
      <alignment horizontal="center" vertical="center"/>
      <protection locked="0"/>
    </xf>
    <xf numFmtId="4" fontId="0" fillId="2" borderId="91" xfId="0" applyNumberFormat="1" applyFont="1" applyFill="1" applyBorder="1" applyAlignment="1" applyProtection="1">
      <alignment horizontal="center" vertical="center"/>
      <protection locked="0"/>
    </xf>
    <xf numFmtId="4" fontId="2" fillId="2" borderId="74" xfId="0" applyNumberFormat="1" applyFont="1" applyFill="1" applyBorder="1" applyAlignment="1" applyProtection="1">
      <alignment horizontal="center" vertical="center"/>
      <protection locked="0"/>
    </xf>
    <xf numFmtId="4" fontId="0" fillId="2" borderId="74" xfId="0" applyNumberFormat="1" applyFont="1" applyFill="1" applyBorder="1" applyAlignment="1" applyProtection="1">
      <alignment horizontal="center" vertical="center"/>
      <protection locked="0"/>
    </xf>
    <xf numFmtId="4" fontId="2" fillId="2" borderId="76" xfId="0" applyNumberFormat="1" applyFont="1" applyFill="1" applyBorder="1" applyAlignment="1">
      <alignment horizontal="center" vertical="center"/>
    </xf>
    <xf numFmtId="4" fontId="2" fillId="2" borderId="77" xfId="0" applyNumberFormat="1" applyFont="1" applyFill="1" applyBorder="1" applyAlignment="1">
      <alignment horizontal="center" vertical="center"/>
    </xf>
    <xf numFmtId="4" fontId="0" fillId="2" borderId="71" xfId="0" applyNumberFormat="1" applyFont="1" applyFill="1" applyBorder="1" applyAlignment="1" applyProtection="1">
      <alignment vertical="center"/>
      <protection locked="0"/>
    </xf>
    <xf numFmtId="4" fontId="0" fillId="2" borderId="28" xfId="0" applyNumberFormat="1" applyFont="1" applyFill="1" applyBorder="1" applyAlignment="1" applyProtection="1">
      <alignment vertical="center"/>
      <protection locked="0"/>
    </xf>
    <xf numFmtId="4" fontId="9" fillId="2" borderId="43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>
      <alignment horizontal="left" vertical="center"/>
    </xf>
    <xf numFmtId="0" fontId="18" fillId="2" borderId="89" xfId="0" applyFont="1" applyFill="1" applyBorder="1" applyAlignment="1" applyProtection="1">
      <alignment horizontal="left" vertical="center"/>
      <protection locked="0"/>
    </xf>
    <xf numFmtId="4" fontId="18" fillId="2" borderId="89" xfId="0" applyNumberFormat="1" applyFont="1" applyFill="1" applyBorder="1" applyAlignment="1" applyProtection="1">
      <alignment horizontal="left" vertical="center"/>
      <protection locked="0"/>
    </xf>
    <xf numFmtId="4" fontId="4" fillId="2" borderId="89" xfId="0" applyNumberFormat="1" applyFont="1" applyFill="1" applyBorder="1" applyAlignment="1" applyProtection="1">
      <alignment horizontal="left" vertical="center"/>
      <protection locked="0"/>
    </xf>
    <xf numFmtId="0" fontId="18" fillId="2" borderId="83" xfId="0" applyFont="1" applyFill="1" applyBorder="1" applyAlignment="1" applyProtection="1">
      <alignment horizontal="left" vertical="center"/>
      <protection locked="0"/>
    </xf>
    <xf numFmtId="4" fontId="18" fillId="2" borderId="83" xfId="0" applyNumberFormat="1" applyFont="1" applyFill="1" applyBorder="1" applyAlignment="1" applyProtection="1">
      <alignment horizontal="left" vertical="center"/>
      <protection locked="0"/>
    </xf>
    <xf numFmtId="4" fontId="4" fillId="2" borderId="83" xfId="0" applyNumberFormat="1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Border="1" applyAlignment="1" applyProtection="1">
      <alignment horizontal="left" vertical="center"/>
      <protection locked="0"/>
    </xf>
    <xf numFmtId="4" fontId="35" fillId="2" borderId="0" xfId="0" applyNumberFormat="1" applyFont="1" applyFill="1" applyBorder="1" applyAlignment="1" applyProtection="1">
      <alignment horizontal="left" vertical="center"/>
      <protection locked="0"/>
    </xf>
    <xf numFmtId="4" fontId="34" fillId="2" borderId="0" xfId="0" applyNumberFormat="1" applyFont="1" applyFill="1" applyBorder="1" applyAlignment="1" applyProtection="1">
      <alignment horizontal="left" vertical="center"/>
      <protection locked="0"/>
    </xf>
    <xf numFmtId="0" fontId="35" fillId="2" borderId="5" xfId="0" applyFont="1" applyFill="1" applyBorder="1" applyAlignment="1">
      <alignment horizontal="left"/>
    </xf>
    <xf numFmtId="0" fontId="35" fillId="2" borderId="0" xfId="0" applyFont="1" applyFill="1" applyAlignment="1">
      <alignment horizontal="left"/>
    </xf>
    <xf numFmtId="0" fontId="35" fillId="0" borderId="4" xfId="0" applyFont="1" applyFill="1" applyBorder="1" applyAlignment="1" applyProtection="1">
      <alignment horizontal="left"/>
      <protection locked="0"/>
    </xf>
    <xf numFmtId="3" fontId="34" fillId="2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left"/>
    </xf>
    <xf numFmtId="0" fontId="35" fillId="0" borderId="0" xfId="0" applyFont="1" applyFill="1" applyBorder="1" applyAlignment="1" applyProtection="1">
      <alignment horizontal="left" vertical="center"/>
      <protection locked="0"/>
    </xf>
    <xf numFmtId="4" fontId="35" fillId="0" borderId="0" xfId="0" applyNumberFormat="1" applyFont="1" applyFill="1" applyBorder="1" applyAlignment="1" applyProtection="1">
      <alignment horizontal="left" vertical="center"/>
      <protection locked="0"/>
    </xf>
    <xf numFmtId="4" fontId="34" fillId="0" borderId="0" xfId="0" applyNumberFormat="1" applyFont="1" applyFill="1" applyBorder="1" applyAlignment="1" applyProtection="1">
      <alignment horizontal="left" vertical="center"/>
      <protection locked="0"/>
    </xf>
    <xf numFmtId="0" fontId="35" fillId="0" borderId="5" xfId="0" applyFont="1" applyFill="1" applyBorder="1" applyAlignment="1">
      <alignment horizontal="left"/>
    </xf>
    <xf numFmtId="0" fontId="35" fillId="0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0" fillId="2" borderId="88" xfId="0" applyFont="1" applyFill="1" applyBorder="1" applyAlignment="1" applyProtection="1">
      <alignment horizontal="left" vertical="center"/>
      <protection locked="0"/>
    </xf>
    <xf numFmtId="0" fontId="0" fillId="2" borderId="89" xfId="0" applyFont="1" applyFill="1" applyBorder="1" applyAlignment="1" applyProtection="1">
      <alignment horizontal="left" vertical="center"/>
      <protection locked="0"/>
    </xf>
    <xf numFmtId="0" fontId="0" fillId="2" borderId="88" xfId="0" applyFont="1" applyFill="1" applyBorder="1" applyAlignment="1" applyProtection="1">
      <alignment horizontal="center" vertical="center"/>
      <protection locked="0"/>
    </xf>
    <xf numFmtId="4" fontId="0" fillId="2" borderId="87" xfId="0" applyNumberFormat="1" applyFont="1" applyFill="1" applyBorder="1" applyAlignment="1" applyProtection="1">
      <alignment horizontal="right" vertical="center"/>
      <protection locked="0"/>
    </xf>
    <xf numFmtId="4" fontId="2" fillId="6" borderId="13" xfId="0" applyNumberFormat="1" applyFont="1" applyFill="1" applyBorder="1" applyAlignment="1" applyProtection="1">
      <alignment horizontal="right" vertical="center"/>
      <protection locked="0"/>
    </xf>
    <xf numFmtId="4" fontId="2" fillId="6" borderId="88" xfId="0" applyNumberFormat="1" applyFont="1" applyFill="1" applyBorder="1" applyAlignment="1" applyProtection="1">
      <alignment horizontal="right" vertical="center"/>
      <protection locked="0"/>
    </xf>
    <xf numFmtId="0" fontId="0" fillId="2" borderId="83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4" fontId="0" fillId="2" borderId="29" xfId="0" applyNumberFormat="1" applyFont="1" applyFill="1" applyBorder="1" applyAlignment="1" applyProtection="1">
      <alignment horizontal="right" vertical="center"/>
      <protection locked="0"/>
    </xf>
    <xf numFmtId="4" fontId="2" fillId="6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84" xfId="0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4" fontId="0" fillId="2" borderId="74" xfId="0" applyNumberFormat="1" applyFont="1" applyFill="1" applyBorder="1" applyAlignment="1" applyProtection="1">
      <alignment horizontal="right" vertical="center"/>
      <protection locked="0"/>
    </xf>
    <xf numFmtId="4" fontId="2" fillId="6" borderId="15" xfId="0" applyNumberFormat="1" applyFont="1" applyFill="1" applyBorder="1" applyAlignment="1" applyProtection="1">
      <alignment horizontal="right" vertical="center"/>
      <protection locked="0"/>
    </xf>
    <xf numFmtId="4" fontId="2" fillId="2" borderId="137" xfId="0" applyNumberFormat="1" applyFont="1" applyFill="1" applyBorder="1" applyAlignment="1">
      <alignment vertical="center"/>
    </xf>
    <xf numFmtId="4" fontId="2" fillId="2" borderId="138" xfId="0" applyNumberFormat="1" applyFont="1" applyFill="1" applyBorder="1" applyAlignment="1">
      <alignment vertical="center"/>
    </xf>
    <xf numFmtId="4" fontId="2" fillId="2" borderId="139" xfId="0" applyNumberFormat="1" applyFont="1" applyFill="1" applyBorder="1" applyAlignment="1">
      <alignment vertical="center"/>
    </xf>
    <xf numFmtId="4" fontId="2" fillId="6" borderId="138" xfId="0" applyNumberFormat="1" applyFont="1" applyFill="1" applyBorder="1" applyAlignment="1">
      <alignment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74" xfId="0" applyFont="1" applyFill="1" applyBorder="1" applyAlignment="1">
      <alignment horizontal="center" vertical="center"/>
    </xf>
    <xf numFmtId="0" fontId="37" fillId="2" borderId="88" xfId="0" applyFont="1" applyFill="1" applyBorder="1" applyAlignment="1" applyProtection="1">
      <alignment horizontal="center" vertical="center"/>
      <protection locked="0"/>
    </xf>
    <xf numFmtId="4" fontId="7" fillId="2" borderId="140" xfId="0" applyNumberFormat="1" applyFont="1" applyFill="1" applyBorder="1" applyAlignment="1" applyProtection="1">
      <alignment horizontal="right" vertical="center"/>
      <protection locked="0"/>
    </xf>
    <xf numFmtId="4" fontId="7" fillId="2" borderId="13" xfId="0" applyNumberFormat="1" applyFont="1" applyFill="1" applyBorder="1" applyAlignment="1" applyProtection="1">
      <alignment horizontal="right" vertical="center"/>
      <protection locked="0"/>
    </xf>
    <xf numFmtId="4" fontId="7" fillId="2" borderId="25" xfId="0" applyNumberFormat="1" applyFont="1" applyFill="1" applyBorder="1" applyAlignment="1" applyProtection="1">
      <alignment horizontal="right" vertical="center"/>
      <protection locked="0"/>
    </xf>
    <xf numFmtId="4" fontId="7" fillId="2" borderId="14" xfId="0" applyNumberFormat="1" applyFont="1" applyFill="1" applyBorder="1" applyAlignment="1" applyProtection="1">
      <alignment horizontal="right" vertical="center"/>
      <protection locked="0"/>
    </xf>
    <xf numFmtId="4" fontId="7" fillId="2" borderId="30" xfId="0" applyNumberFormat="1" applyFont="1" applyFill="1" applyBorder="1" applyAlignment="1" applyProtection="1">
      <alignment horizontal="right" vertical="center"/>
      <protection locked="0"/>
    </xf>
    <xf numFmtId="4" fontId="7" fillId="2" borderId="15" xfId="0" applyNumberFormat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/>
    </xf>
    <xf numFmtId="0" fontId="2" fillId="6" borderId="40" xfId="0" applyFont="1" applyFill="1" applyBorder="1" applyAlignment="1">
      <alignment horizontal="left"/>
    </xf>
    <xf numFmtId="0" fontId="31" fillId="6" borderId="24" xfId="1" applyFont="1" applyFill="1" applyBorder="1" applyAlignment="1">
      <alignment horizontal="center" wrapText="1"/>
    </xf>
    <xf numFmtId="0" fontId="31" fillId="6" borderId="11" xfId="1" applyFont="1" applyFill="1" applyBorder="1" applyAlignment="1">
      <alignment horizontal="center" wrapText="1"/>
    </xf>
    <xf numFmtId="0" fontId="2" fillId="6" borderId="43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31" fillId="6" borderId="27" xfId="1" applyFont="1" applyFill="1" applyBorder="1" applyAlignment="1">
      <alignment horizontal="center" wrapText="1"/>
    </xf>
    <xf numFmtId="4" fontId="2" fillId="2" borderId="78" xfId="0" applyNumberFormat="1" applyFont="1" applyFill="1" applyBorder="1" applyAlignment="1">
      <alignment vertical="center"/>
    </xf>
    <xf numFmtId="4" fontId="2" fillId="2" borderId="77" xfId="0" applyNumberFormat="1" applyFont="1" applyFill="1" applyBorder="1" applyAlignment="1" applyProtection="1">
      <alignment vertical="center"/>
      <protection locked="0"/>
    </xf>
    <xf numFmtId="4" fontId="2" fillId="2" borderId="144" xfId="0" applyNumberFormat="1" applyFont="1" applyFill="1" applyBorder="1" applyAlignment="1" applyProtection="1">
      <alignment vertical="center"/>
      <protection locked="0"/>
    </xf>
    <xf numFmtId="4" fontId="2" fillId="2" borderId="138" xfId="0" applyNumberFormat="1" applyFont="1" applyFill="1" applyBorder="1" applyAlignment="1" applyProtection="1">
      <alignment vertical="center"/>
      <protection locked="0"/>
    </xf>
    <xf numFmtId="4" fontId="2" fillId="2" borderId="139" xfId="0" applyNumberFormat="1" applyFont="1" applyFill="1" applyBorder="1" applyAlignment="1" applyProtection="1">
      <alignment vertical="center"/>
      <protection locked="0"/>
    </xf>
    <xf numFmtId="4" fontId="14" fillId="2" borderId="0" xfId="0" applyNumberFormat="1" applyFont="1" applyFill="1" applyBorder="1" applyAlignment="1">
      <alignment horizontal="left"/>
    </xf>
    <xf numFmtId="4" fontId="14" fillId="2" borderId="145" xfId="0" applyNumberFormat="1" applyFont="1" applyFill="1" applyBorder="1" applyAlignment="1">
      <alignment horizontal="left"/>
    </xf>
    <xf numFmtId="4" fontId="14" fillId="2" borderId="146" xfId="0" applyNumberFormat="1" applyFont="1" applyFill="1" applyBorder="1" applyAlignment="1">
      <alignment horizontal="left"/>
    </xf>
    <xf numFmtId="4" fontId="14" fillId="2" borderId="147" xfId="0" applyNumberFormat="1" applyFont="1" applyFill="1" applyBorder="1" applyAlignment="1">
      <alignment horizontal="left"/>
    </xf>
    <xf numFmtId="4" fontId="2" fillId="2" borderId="144" xfId="0" applyNumberFormat="1" applyFont="1" applyFill="1" applyBorder="1" applyAlignment="1">
      <alignment vertical="center"/>
    </xf>
    <xf numFmtId="0" fontId="0" fillId="2" borderId="86" xfId="0" applyFont="1" applyFill="1" applyBorder="1" applyAlignment="1">
      <alignment horizontal="left" vertical="center"/>
    </xf>
    <xf numFmtId="0" fontId="0" fillId="2" borderId="89" xfId="0" applyFont="1" applyFill="1" applyBorder="1" applyAlignment="1">
      <alignment horizontal="left" vertical="center"/>
    </xf>
    <xf numFmtId="4" fontId="2" fillId="2" borderId="87" xfId="0" applyNumberFormat="1" applyFont="1" applyFill="1" applyBorder="1" applyAlignment="1">
      <alignment vertical="center"/>
    </xf>
    <xf numFmtId="4" fontId="0" fillId="2" borderId="148" xfId="0" applyNumberFormat="1" applyFont="1" applyFill="1" applyBorder="1" applyAlignment="1" applyProtection="1">
      <alignment vertical="center"/>
      <protection locked="0"/>
    </xf>
    <xf numFmtId="4" fontId="0" fillId="2" borderId="149" xfId="0" applyNumberFormat="1" applyFont="1" applyFill="1" applyBorder="1" applyAlignment="1" applyProtection="1">
      <alignment horizontal="right" vertical="center"/>
      <protection locked="0"/>
    </xf>
    <xf numFmtId="4" fontId="2" fillId="2" borderId="29" xfId="0" applyNumberFormat="1" applyFont="1" applyFill="1" applyBorder="1" applyAlignment="1">
      <alignment vertical="center"/>
    </xf>
    <xf numFmtId="4" fontId="0" fillId="2" borderId="150" xfId="0" applyNumberFormat="1" applyFont="1" applyFill="1" applyBorder="1" applyAlignment="1" applyProtection="1">
      <alignment vertical="center"/>
      <protection locked="0"/>
    </xf>
    <xf numFmtId="4" fontId="0" fillId="2" borderId="26" xfId="0" applyNumberFormat="1" applyFont="1" applyFill="1" applyBorder="1" applyAlignment="1" applyProtection="1">
      <alignment horizontal="right" vertical="center"/>
      <protection locked="0"/>
    </xf>
    <xf numFmtId="4" fontId="2" fillId="2" borderId="74" xfId="0" applyNumberFormat="1" applyFont="1" applyFill="1" applyBorder="1" applyAlignment="1">
      <alignment vertical="center"/>
    </xf>
    <xf numFmtId="4" fontId="0" fillId="2" borderId="151" xfId="0" applyNumberFormat="1" applyFont="1" applyFill="1" applyBorder="1" applyAlignment="1" applyProtection="1">
      <alignment vertical="center"/>
      <protection locked="0"/>
    </xf>
    <xf numFmtId="4" fontId="0" fillId="2" borderId="31" xfId="0" applyNumberFormat="1" applyFont="1" applyFill="1" applyBorder="1" applyAlignment="1" applyProtection="1">
      <alignment horizontal="right" vertical="center"/>
      <protection locked="0"/>
    </xf>
    <xf numFmtId="4" fontId="0" fillId="2" borderId="151" xfId="0" applyNumberFormat="1" applyFont="1" applyFill="1" applyBorder="1" applyAlignment="1" applyProtection="1">
      <alignment horizontal="right" vertical="center"/>
      <protection locked="0"/>
    </xf>
    <xf numFmtId="4" fontId="0" fillId="2" borderId="136" xfId="0" applyNumberFormat="1" applyFont="1" applyFill="1" applyBorder="1" applyAlignment="1" applyProtection="1">
      <alignment horizontal="right" vertical="center"/>
      <protection locked="0"/>
    </xf>
    <xf numFmtId="4" fontId="0" fillId="2" borderId="148" xfId="0" applyNumberFormat="1" applyFont="1" applyFill="1" applyBorder="1" applyAlignment="1" applyProtection="1">
      <alignment horizontal="right" vertical="center"/>
      <protection locked="0"/>
    </xf>
    <xf numFmtId="4" fontId="0" fillId="2" borderId="141" xfId="0" applyNumberFormat="1" applyFont="1" applyFill="1" applyBorder="1" applyAlignment="1" applyProtection="1">
      <alignment horizontal="right" vertical="center"/>
      <protection locked="0"/>
    </xf>
    <xf numFmtId="0" fontId="36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31" fillId="6" borderId="152" xfId="1" applyFont="1" applyFill="1" applyBorder="1" applyAlignment="1">
      <alignment horizontal="center" wrapText="1"/>
    </xf>
    <xf numFmtId="0" fontId="31" fillId="6" borderId="153" xfId="1" applyFont="1" applyFill="1" applyBorder="1" applyAlignment="1">
      <alignment horizontal="center" wrapText="1"/>
    </xf>
    <xf numFmtId="0" fontId="31" fillId="6" borderId="154" xfId="1" applyFont="1" applyFill="1" applyBorder="1" applyAlignment="1">
      <alignment horizontal="center" wrapText="1"/>
    </xf>
    <xf numFmtId="4" fontId="0" fillId="2" borderId="23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2" fillId="4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/>
    </xf>
    <xf numFmtId="0" fontId="38" fillId="2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4" fontId="4" fillId="2" borderId="69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vertical="center"/>
    </xf>
    <xf numFmtId="0" fontId="2" fillId="2" borderId="7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31" fillId="6" borderId="155" xfId="1" applyFont="1" applyFill="1" applyBorder="1" applyAlignment="1">
      <alignment horizontal="center" vertical="center" wrapText="1"/>
    </xf>
    <xf numFmtId="0" fontId="31" fillId="6" borderId="154" xfId="1" applyFont="1" applyFill="1" applyBorder="1" applyAlignment="1">
      <alignment horizontal="center" vertical="center" wrapText="1"/>
    </xf>
    <xf numFmtId="0" fontId="0" fillId="2" borderId="87" xfId="0" applyFont="1" applyFill="1" applyBorder="1" applyAlignment="1">
      <alignment horizontal="left" vertical="center"/>
    </xf>
    <xf numFmtId="4" fontId="0" fillId="2" borderId="89" xfId="0" applyNumberFormat="1" applyFont="1" applyFill="1" applyBorder="1" applyAlignment="1" applyProtection="1">
      <alignment horizontal="right" vertical="center"/>
      <protection locked="0"/>
    </xf>
    <xf numFmtId="4" fontId="2" fillId="2" borderId="149" xfId="0" applyNumberFormat="1" applyFont="1" applyFill="1" applyBorder="1" applyAlignment="1">
      <alignment horizontal="right" vertical="center"/>
    </xf>
    <xf numFmtId="0" fontId="0" fillId="2" borderId="74" xfId="0" applyFont="1" applyFill="1" applyBorder="1" applyAlignment="1">
      <alignment horizontal="left" vertical="center"/>
    </xf>
    <xf numFmtId="4" fontId="0" fillId="2" borderId="84" xfId="0" applyNumberFormat="1" applyFont="1" applyFill="1" applyBorder="1" applyAlignment="1" applyProtection="1">
      <alignment horizontal="right" vertical="center"/>
      <protection locked="0"/>
    </xf>
    <xf numFmtId="4" fontId="2" fillId="2" borderId="77" xfId="0" applyNumberFormat="1" applyFont="1" applyFill="1" applyBorder="1" applyAlignment="1"/>
    <xf numFmtId="0" fontId="0" fillId="2" borderId="67" xfId="0" applyFont="1" applyFill="1" applyBorder="1" applyAlignment="1">
      <alignment horizontal="left"/>
    </xf>
    <xf numFmtId="0" fontId="0" fillId="2" borderId="68" xfId="0" applyFont="1" applyFill="1" applyBorder="1" applyAlignment="1">
      <alignment horizontal="left" vertical="center"/>
    </xf>
    <xf numFmtId="4" fontId="0" fillId="2" borderId="6" xfId="0" applyNumberFormat="1" applyFont="1" applyFill="1" applyBorder="1" applyAlignment="1" applyProtection="1">
      <alignment vertical="center"/>
      <protection locked="0"/>
    </xf>
    <xf numFmtId="4" fontId="2" fillId="2" borderId="0" xfId="0" applyNumberFormat="1" applyFont="1" applyFill="1" applyBorder="1" applyAlignment="1">
      <alignment horizontal="left" vertical="center"/>
    </xf>
    <xf numFmtId="4" fontId="2" fillId="2" borderId="76" xfId="0" applyNumberFormat="1" applyFont="1" applyFill="1" applyBorder="1" applyAlignment="1"/>
    <xf numFmtId="0" fontId="0" fillId="2" borderId="71" xfId="0" applyFont="1" applyFill="1" applyBorder="1" applyAlignment="1" applyProtection="1">
      <protection locked="0"/>
    </xf>
    <xf numFmtId="0" fontId="0" fillId="2" borderId="85" xfId="0" applyFont="1" applyFill="1" applyBorder="1" applyAlignment="1" applyProtection="1">
      <protection locked="0"/>
    </xf>
    <xf numFmtId="0" fontId="0" fillId="2" borderId="72" xfId="0" applyFont="1" applyFill="1" applyBorder="1" applyAlignment="1" applyProtection="1">
      <protection locked="0"/>
    </xf>
    <xf numFmtId="0" fontId="0" fillId="2" borderId="28" xfId="0" applyFont="1" applyFill="1" applyBorder="1" applyAlignment="1" applyProtection="1">
      <protection locked="0"/>
    </xf>
    <xf numFmtId="0" fontId="0" fillId="2" borderId="83" xfId="0" applyFont="1" applyFill="1" applyBorder="1" applyAlignment="1" applyProtection="1">
      <protection locked="0"/>
    </xf>
    <xf numFmtId="0" fontId="0" fillId="2" borderId="29" xfId="0" applyFont="1" applyFill="1" applyBorder="1" applyAlignment="1" applyProtection="1">
      <protection locked="0"/>
    </xf>
    <xf numFmtId="0" fontId="0" fillId="2" borderId="73" xfId="0" applyFont="1" applyFill="1" applyBorder="1" applyAlignment="1" applyProtection="1">
      <protection locked="0"/>
    </xf>
    <xf numFmtId="0" fontId="0" fillId="2" borderId="84" xfId="0" applyFont="1" applyFill="1" applyBorder="1" applyAlignment="1" applyProtection="1">
      <protection locked="0"/>
    </xf>
    <xf numFmtId="0" fontId="0" fillId="2" borderId="74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protection locked="0"/>
    </xf>
    <xf numFmtId="0" fontId="15" fillId="2" borderId="0" xfId="0" applyFont="1" applyFill="1" applyBorder="1" applyAlignment="1" applyProtection="1">
      <protection locked="0"/>
    </xf>
    <xf numFmtId="0" fontId="5" fillId="0" borderId="0" xfId="0" applyFont="1"/>
    <xf numFmtId="0" fontId="0" fillId="2" borderId="0" xfId="0" applyFont="1" applyFill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31" fillId="6" borderId="133" xfId="1" applyFont="1" applyFill="1" applyBorder="1" applyAlignment="1">
      <alignment horizontal="center" vertical="center" wrapText="1"/>
    </xf>
    <xf numFmtId="0" fontId="14" fillId="2" borderId="71" xfId="0" applyFont="1" applyFill="1" applyBorder="1" applyAlignment="1">
      <alignment vertical="center"/>
    </xf>
    <xf numFmtId="0" fontId="14" fillId="2" borderId="72" xfId="0" applyFont="1" applyFill="1" applyBorder="1" applyAlignment="1">
      <alignment vertical="center"/>
    </xf>
    <xf numFmtId="4" fontId="14" fillId="2" borderId="88" xfId="0" applyNumberFormat="1" applyFont="1" applyFill="1" applyBorder="1" applyAlignment="1" applyProtection="1">
      <alignment vertical="center"/>
      <protection locked="0"/>
    </xf>
    <xf numFmtId="4" fontId="13" fillId="2" borderId="0" xfId="0" applyNumberFormat="1" applyFont="1" applyFill="1" applyBorder="1" applyAlignment="1">
      <alignment horizontal="left" vertical="center"/>
    </xf>
    <xf numFmtId="0" fontId="14" fillId="2" borderId="88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vertical="center"/>
    </xf>
    <xf numFmtId="0" fontId="14" fillId="2" borderId="29" xfId="0" applyFont="1" applyFill="1" applyBorder="1" applyAlignment="1">
      <alignment vertical="center"/>
    </xf>
    <xf numFmtId="0" fontId="14" fillId="2" borderId="90" xfId="0" applyFont="1" applyFill="1" applyBorder="1" applyAlignment="1">
      <alignment vertical="center"/>
    </xf>
    <xf numFmtId="0" fontId="14" fillId="2" borderId="91" xfId="0" applyFont="1" applyFill="1" applyBorder="1" applyAlignment="1">
      <alignment vertical="center"/>
    </xf>
    <xf numFmtId="4" fontId="14" fillId="2" borderId="12" xfId="0" applyNumberFormat="1" applyFont="1" applyFill="1" applyBorder="1" applyAlignment="1" applyProtection="1">
      <alignment vertical="center"/>
      <protection locked="0"/>
    </xf>
    <xf numFmtId="0" fontId="2" fillId="2" borderId="75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horizontal="left" vertical="center"/>
    </xf>
    <xf numFmtId="165" fontId="0" fillId="2" borderId="149" xfId="0" applyNumberFormat="1" applyFont="1" applyFill="1" applyBorder="1" applyAlignment="1" applyProtection="1">
      <alignment horizontal="right" vertical="center"/>
      <protection locked="0"/>
    </xf>
    <xf numFmtId="165" fontId="0" fillId="2" borderId="26" xfId="0" applyNumberFormat="1" applyFont="1" applyFill="1" applyBorder="1" applyAlignment="1" applyProtection="1">
      <alignment horizontal="right" vertical="center"/>
      <protection locked="0"/>
    </xf>
    <xf numFmtId="165" fontId="0" fillId="2" borderId="31" xfId="0" applyNumberFormat="1" applyFont="1" applyFill="1" applyBorder="1" applyAlignment="1" applyProtection="1">
      <alignment horizontal="right" vertical="center"/>
      <protection locked="0"/>
    </xf>
    <xf numFmtId="0" fontId="2" fillId="6" borderId="43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2" fillId="6" borderId="70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4" fontId="0" fillId="2" borderId="88" xfId="0" applyNumberFormat="1" applyFont="1" applyFill="1" applyBorder="1" applyAlignment="1" applyProtection="1">
      <alignment vertical="center"/>
    </xf>
    <xf numFmtId="0" fontId="7" fillId="2" borderId="86" xfId="0" applyFont="1" applyFill="1" applyBorder="1" applyAlignment="1">
      <alignment horizontal="left" vertical="center"/>
    </xf>
    <xf numFmtId="4" fontId="0" fillId="2" borderId="15" xfId="0" applyNumberFormat="1" applyFont="1" applyFill="1" applyBorder="1" applyAlignment="1" applyProtection="1">
      <alignment vertical="center"/>
    </xf>
    <xf numFmtId="0" fontId="5" fillId="2" borderId="78" xfId="0" applyFont="1" applyFill="1" applyBorder="1" applyAlignment="1">
      <alignment horizontal="left"/>
    </xf>
    <xf numFmtId="0" fontId="2" fillId="6" borderId="6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6" xfId="0" applyNumberFormat="1" applyFont="1" applyFill="1" applyBorder="1" applyAlignment="1"/>
    <xf numFmtId="10" fontId="2" fillId="2" borderId="69" xfId="2" applyNumberFormat="1" applyFont="1" applyFill="1" applyBorder="1" applyAlignment="1" applyProtection="1">
      <alignment horizontal="right"/>
    </xf>
    <xf numFmtId="0" fontId="2" fillId="2" borderId="5" xfId="0" applyFont="1" applyFill="1" applyBorder="1" applyAlignment="1">
      <alignment horizontal="left"/>
    </xf>
    <xf numFmtId="0" fontId="0" fillId="2" borderId="86" xfId="0" applyFont="1" applyFill="1" applyBorder="1" applyAlignment="1">
      <alignment horizontal="center" vertical="center"/>
    </xf>
    <xf numFmtId="10" fontId="0" fillId="2" borderId="87" xfId="0" applyNumberFormat="1" applyFont="1" applyFill="1" applyBorder="1" applyAlignment="1">
      <alignment horizontal="right" vertical="center"/>
    </xf>
    <xf numFmtId="10" fontId="0" fillId="2" borderId="29" xfId="0" applyNumberFormat="1" applyFont="1" applyFill="1" applyBorder="1" applyAlignment="1">
      <alignment horizontal="right" vertical="center"/>
    </xf>
    <xf numFmtId="0" fontId="0" fillId="2" borderId="73" xfId="0" applyFont="1" applyFill="1" applyBorder="1" applyAlignment="1">
      <alignment horizontal="center" vertical="center"/>
    </xf>
    <xf numFmtId="10" fontId="0" fillId="2" borderId="74" xfId="0" applyNumberFormat="1" applyFont="1" applyFill="1" applyBorder="1" applyAlignment="1">
      <alignment horizontal="right" vertical="center"/>
    </xf>
    <xf numFmtId="10" fontId="31" fillId="2" borderId="0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 applyProtection="1">
      <protection locked="0"/>
    </xf>
    <xf numFmtId="10" fontId="2" fillId="2" borderId="69" xfId="0" applyNumberFormat="1" applyFont="1" applyFill="1" applyBorder="1" applyAlignment="1">
      <alignment horizontal="right"/>
    </xf>
    <xf numFmtId="4" fontId="0" fillId="2" borderId="0" xfId="0" applyNumberFormat="1" applyFont="1" applyFill="1" applyBorder="1" applyAlignment="1">
      <alignment horizontal="right" vertical="center"/>
    </xf>
    <xf numFmtId="4" fontId="2" fillId="2" borderId="76" xfId="0" applyNumberFormat="1" applyFont="1" applyFill="1" applyBorder="1"/>
    <xf numFmtId="10" fontId="2" fillId="2" borderId="76" xfId="0" applyNumberFormat="1" applyFont="1" applyFill="1" applyBorder="1" applyAlignment="1">
      <alignment horizontal="right"/>
    </xf>
    <xf numFmtId="0" fontId="0" fillId="2" borderId="71" xfId="0" applyFont="1" applyFill="1" applyBorder="1" applyAlignment="1">
      <alignment horizontal="center" vertical="center"/>
    </xf>
    <xf numFmtId="0" fontId="0" fillId="2" borderId="72" xfId="0" applyFont="1" applyFill="1" applyBorder="1" applyAlignment="1">
      <alignment horizontal="left" vertical="center"/>
    </xf>
    <xf numFmtId="4" fontId="0" fillId="2" borderId="13" xfId="0" applyNumberFormat="1" applyFont="1" applyFill="1" applyBorder="1" applyAlignment="1">
      <alignment vertical="center"/>
    </xf>
    <xf numFmtId="4" fontId="0" fillId="2" borderId="88" xfId="0" applyNumberFormat="1" applyFont="1" applyFill="1" applyBorder="1" applyAlignment="1">
      <alignment vertical="center"/>
    </xf>
    <xf numFmtId="4" fontId="0" fillId="2" borderId="15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4" fontId="4" fillId="2" borderId="76" xfId="0" applyNumberFormat="1" applyFont="1" applyFill="1" applyBorder="1"/>
    <xf numFmtId="0" fontId="4" fillId="6" borderId="156" xfId="0" applyFont="1" applyFill="1" applyBorder="1" applyAlignment="1">
      <alignment vertical="center"/>
    </xf>
    <xf numFmtId="0" fontId="9" fillId="6" borderId="157" xfId="0" applyFont="1" applyFill="1" applyBorder="1" applyAlignment="1">
      <alignment horizontal="center" vertical="center"/>
    </xf>
    <xf numFmtId="4" fontId="4" fillId="6" borderId="158" xfId="0" applyNumberFormat="1" applyFont="1" applyFill="1" applyBorder="1" applyAlignment="1">
      <alignment vertical="center"/>
    </xf>
    <xf numFmtId="0" fontId="27" fillId="2" borderId="0" xfId="0" applyFont="1" applyFill="1" applyAlignment="1">
      <alignment horizontal="left"/>
    </xf>
    <xf numFmtId="0" fontId="0" fillId="2" borderId="159" xfId="0" applyFont="1" applyFill="1" applyBorder="1" applyAlignment="1">
      <alignment horizontal="center" vertical="center"/>
    </xf>
    <xf numFmtId="0" fontId="2" fillId="2" borderId="160" xfId="0" applyFont="1" applyFill="1" applyBorder="1" applyAlignment="1">
      <alignment horizontal="left" vertical="center"/>
    </xf>
    <xf numFmtId="4" fontId="2" fillId="2" borderId="161" xfId="0" applyNumberFormat="1" applyFont="1" applyFill="1" applyBorder="1" applyAlignment="1">
      <alignment vertical="center"/>
    </xf>
    <xf numFmtId="4" fontId="37" fillId="2" borderId="88" xfId="0" applyNumberFormat="1" applyFont="1" applyFill="1" applyBorder="1" applyAlignment="1">
      <alignment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left" vertical="center"/>
    </xf>
    <xf numFmtId="4" fontId="37" fillId="2" borderId="12" xfId="0" applyNumberFormat="1" applyFont="1" applyFill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left" vertical="center"/>
    </xf>
    <xf numFmtId="4" fontId="31" fillId="2" borderId="6" xfId="0" applyNumberFormat="1" applyFont="1" applyFill="1" applyBorder="1" applyAlignment="1">
      <alignment vertical="center"/>
    </xf>
    <xf numFmtId="0" fontId="39" fillId="2" borderId="0" xfId="0" applyFont="1" applyFill="1" applyAlignment="1">
      <alignment horizontal="left"/>
    </xf>
    <xf numFmtId="49" fontId="2" fillId="2" borderId="29" xfId="0" applyNumberFormat="1" applyFont="1" applyFill="1" applyBorder="1" applyAlignment="1" applyProtection="1">
      <alignment horizontal="center" vertical="center"/>
      <protection locked="0"/>
    </xf>
    <xf numFmtId="49" fontId="0" fillId="2" borderId="29" xfId="0" applyNumberFormat="1" applyFont="1" applyFill="1" applyBorder="1" applyAlignment="1" applyProtection="1">
      <alignment horizontal="center" vertical="center"/>
      <protection locked="0"/>
    </xf>
    <xf numFmtId="49" fontId="2" fillId="2" borderId="91" xfId="0" applyNumberFormat="1" applyFont="1" applyFill="1" applyBorder="1" applyAlignment="1" applyProtection="1">
      <alignment horizontal="center" vertical="center"/>
      <protection locked="0"/>
    </xf>
    <xf numFmtId="49" fontId="0" fillId="2" borderId="91" xfId="0" applyNumberFormat="1" applyFont="1" applyFill="1" applyBorder="1" applyAlignment="1" applyProtection="1">
      <alignment horizontal="center" vertical="center"/>
      <protection locked="0"/>
    </xf>
    <xf numFmtId="49" fontId="41" fillId="2" borderId="87" xfId="0" applyNumberFormat="1" applyFont="1" applyFill="1" applyBorder="1" applyAlignment="1" applyProtection="1">
      <alignment horizontal="center" vertical="center"/>
      <protection locked="0"/>
    </xf>
    <xf numFmtId="49" fontId="41" fillId="2" borderId="29" xfId="0" applyNumberFormat="1" applyFont="1" applyFill="1" applyBorder="1" applyAlignment="1" applyProtection="1">
      <alignment horizontal="center" vertical="center"/>
      <protection locked="0"/>
    </xf>
    <xf numFmtId="4" fontId="0" fillId="2" borderId="0" xfId="0" applyNumberFormat="1" applyFont="1" applyFill="1" applyAlignment="1">
      <alignment vertical="center"/>
    </xf>
    <xf numFmtId="4" fontId="0" fillId="0" borderId="0" xfId="0" applyNumberFormat="1"/>
    <xf numFmtId="4" fontId="5" fillId="0" borderId="0" xfId="0" applyNumberFormat="1" applyFont="1" applyAlignment="1" applyProtection="1">
      <alignment horizontal="left"/>
      <protection locked="0"/>
    </xf>
    <xf numFmtId="4" fontId="0" fillId="0" borderId="6" xfId="0" applyNumberFormat="1" applyFont="1" applyFill="1" applyBorder="1" applyAlignment="1" applyProtection="1">
      <alignment vertical="center"/>
      <protection locked="0"/>
    </xf>
    <xf numFmtId="4" fontId="0" fillId="0" borderId="54" xfId="0" applyNumberFormat="1" applyFont="1" applyFill="1" applyBorder="1" applyProtection="1">
      <protection locked="0"/>
    </xf>
    <xf numFmtId="4" fontId="0" fillId="0" borderId="51" xfId="0" applyNumberFormat="1" applyFont="1" applyFill="1" applyBorder="1" applyProtection="1">
      <protection locked="0"/>
    </xf>
    <xf numFmtId="4" fontId="0" fillId="0" borderId="99" xfId="0" applyNumberFormat="1" applyFont="1" applyFill="1" applyBorder="1" applyProtection="1">
      <protection locked="0"/>
    </xf>
    <xf numFmtId="4" fontId="2" fillId="0" borderId="118" xfId="0" applyNumberFormat="1" applyFont="1" applyFill="1" applyBorder="1" applyProtection="1">
      <protection locked="0"/>
    </xf>
    <xf numFmtId="4" fontId="2" fillId="0" borderId="118" xfId="0" applyNumberFormat="1" applyFont="1" applyFill="1" applyBorder="1"/>
    <xf numFmtId="4" fontId="5" fillId="0" borderId="116" xfId="0" applyNumberFormat="1" applyFont="1" applyFill="1" applyBorder="1"/>
    <xf numFmtId="4" fontId="4" fillId="0" borderId="118" xfId="0" applyNumberFormat="1" applyFont="1" applyFill="1" applyBorder="1"/>
    <xf numFmtId="4" fontId="0" fillId="0" borderId="120" xfId="0" applyNumberFormat="1" applyFont="1" applyFill="1" applyBorder="1" applyProtection="1">
      <protection locked="0"/>
    </xf>
    <xf numFmtId="4" fontId="0" fillId="0" borderId="122" xfId="0" applyNumberFormat="1" applyFont="1" applyFill="1" applyBorder="1" applyProtection="1">
      <protection locked="0"/>
    </xf>
    <xf numFmtId="4" fontId="0" fillId="0" borderId="122" xfId="0" applyNumberFormat="1" applyFont="1" applyFill="1" applyBorder="1"/>
    <xf numFmtId="4" fontId="25" fillId="0" borderId="116" xfId="0" applyNumberFormat="1" applyFont="1" applyFill="1" applyBorder="1" applyProtection="1">
      <protection locked="0"/>
    </xf>
    <xf numFmtId="4" fontId="2" fillId="0" borderId="48" xfId="0" applyNumberFormat="1" applyFont="1" applyFill="1" applyBorder="1"/>
    <xf numFmtId="4" fontId="4" fillId="0" borderId="66" xfId="0" applyNumberFormat="1" applyFont="1" applyFill="1" applyBorder="1"/>
    <xf numFmtId="4" fontId="5" fillId="0" borderId="12" xfId="0" applyNumberFormat="1" applyFont="1" applyFill="1" applyBorder="1"/>
    <xf numFmtId="4" fontId="0" fillId="0" borderId="100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4" fontId="0" fillId="0" borderId="88" xfId="0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Fill="1" applyBorder="1" applyAlignment="1" applyProtection="1">
      <alignment vertical="center"/>
      <protection locked="0"/>
    </xf>
    <xf numFmtId="4" fontId="0" fillId="0" borderId="87" xfId="0" applyNumberFormat="1" applyFont="1" applyFill="1" applyBorder="1" applyAlignment="1" applyProtection="1">
      <alignment vertical="center"/>
      <protection locked="0"/>
    </xf>
    <xf numFmtId="4" fontId="0" fillId="0" borderId="29" xfId="0" applyNumberFormat="1" applyFont="1" applyFill="1" applyBorder="1" applyAlignment="1" applyProtection="1">
      <alignment vertical="center"/>
      <protection locked="0"/>
    </xf>
    <xf numFmtId="4" fontId="0" fillId="0" borderId="72" xfId="0" applyNumberFormat="1" applyFont="1" applyFill="1" applyBorder="1" applyAlignment="1" applyProtection="1">
      <alignment vertical="center"/>
      <protection locked="0"/>
    </xf>
    <xf numFmtId="1" fontId="3" fillId="6" borderId="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vertical="center"/>
    </xf>
    <xf numFmtId="0" fontId="5" fillId="2" borderId="16" xfId="0" applyFont="1" applyFill="1" applyBorder="1" applyAlignment="1" applyProtection="1">
      <alignment horizontal="left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</xf>
    <xf numFmtId="1" fontId="3" fillId="6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right"/>
    </xf>
    <xf numFmtId="0" fontId="2" fillId="6" borderId="6" xfId="0" applyNumberFormat="1" applyFont="1" applyFill="1" applyBorder="1" applyAlignment="1" applyProtection="1">
      <alignment horizontal="center" wrapText="1"/>
    </xf>
    <xf numFmtId="0" fontId="0" fillId="2" borderId="13" xfId="0" applyFont="1" applyFill="1" applyBorder="1" applyAlignment="1" applyProtection="1">
      <alignment horizontal="left"/>
      <protection locked="0"/>
    </xf>
    <xf numFmtId="0" fontId="0" fillId="2" borderId="14" xfId="0" applyFont="1" applyFill="1" applyBorder="1" applyAlignment="1" applyProtection="1">
      <alignment horizontal="left"/>
      <protection locked="0"/>
    </xf>
    <xf numFmtId="0" fontId="0" fillId="2" borderId="162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/>
    </xf>
    <xf numFmtId="0" fontId="24" fillId="6" borderId="6" xfId="0" applyFont="1" applyFill="1" applyBorder="1" applyAlignment="1" applyProtection="1">
      <alignment vertical="center" wrapText="1"/>
    </xf>
    <xf numFmtId="4" fontId="15" fillId="6" borderId="6" xfId="0" applyNumberFormat="1" applyFont="1" applyFill="1" applyBorder="1" applyAlignment="1" applyProtection="1">
      <alignment horizontal="center" vertical="center"/>
    </xf>
    <xf numFmtId="0" fontId="0" fillId="2" borderId="13" xfId="0" applyFont="1" applyFill="1" applyBorder="1" applyAlignment="1" applyProtection="1">
      <alignment horizontal="left" vertical="center"/>
    </xf>
    <xf numFmtId="0" fontId="0" fillId="2" borderId="14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center" vertical="center"/>
    </xf>
    <xf numFmtId="4" fontId="13" fillId="6" borderId="127" xfId="0" applyNumberFormat="1" applyFont="1" applyFill="1" applyBorder="1" applyAlignment="1">
      <alignment horizontal="center" vertical="center"/>
    </xf>
    <xf numFmtId="0" fontId="2" fillId="2" borderId="130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0" fillId="6" borderId="6" xfId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/>
    </xf>
    <xf numFmtId="0" fontId="0" fillId="2" borderId="81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/>
    </xf>
    <xf numFmtId="0" fontId="0" fillId="2" borderId="15" xfId="0" applyFont="1" applyFill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>
      <alignment horizontal="center" vertical="center"/>
    </xf>
    <xf numFmtId="0" fontId="31" fillId="6" borderId="6" xfId="1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31" fillId="6" borderId="11" xfId="1" applyFont="1" applyFill="1" applyBorder="1" applyAlignment="1">
      <alignment horizontal="center" wrapText="1"/>
    </xf>
    <xf numFmtId="0" fontId="2" fillId="6" borderId="32" xfId="0" applyFont="1" applyFill="1" applyBorder="1" applyAlignment="1">
      <alignment horizontal="center"/>
    </xf>
    <xf numFmtId="0" fontId="31" fillId="6" borderId="6" xfId="1" applyFont="1" applyFill="1" applyBorder="1" applyAlignment="1">
      <alignment horizontal="center" wrapText="1"/>
    </xf>
    <xf numFmtId="0" fontId="2" fillId="6" borderId="70" xfId="0" applyFont="1" applyFill="1" applyBorder="1" applyAlignment="1">
      <alignment horizontal="center"/>
    </xf>
    <xf numFmtId="0" fontId="2" fillId="2" borderId="77" xfId="0" applyFont="1" applyFill="1" applyBorder="1" applyAlignment="1">
      <alignment horizontal="left"/>
    </xf>
    <xf numFmtId="0" fontId="2" fillId="2" borderId="7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4" fontId="2" fillId="2" borderId="77" xfId="0" applyNumberFormat="1" applyFont="1" applyFill="1" applyBorder="1" applyAlignment="1">
      <alignment horizontal="left"/>
    </xf>
    <xf numFmtId="4" fontId="0" fillId="2" borderId="88" xfId="0" applyNumberFormat="1" applyFont="1" applyFill="1" applyBorder="1" applyAlignment="1" applyProtection="1">
      <alignment horizontal="left" vertical="center"/>
      <protection locked="0"/>
    </xf>
    <xf numFmtId="4" fontId="0" fillId="2" borderId="14" xfId="0" applyNumberFormat="1" applyFont="1" applyFill="1" applyBorder="1" applyAlignment="1" applyProtection="1">
      <alignment horizontal="left" vertical="center"/>
      <protection locked="0"/>
    </xf>
    <xf numFmtId="4" fontId="0" fillId="2" borderId="15" xfId="0" applyNumberFormat="1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left"/>
    </xf>
    <xf numFmtId="0" fontId="4" fillId="2" borderId="77" xfId="0" applyFont="1" applyFill="1" applyBorder="1" applyAlignment="1">
      <alignment horizontal="left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11C1FF"/>
      <rgbColor rgb="00CCFFFF"/>
      <rgbColor rgb="00CCFFCC"/>
      <rgbColor rgb="00FFFF99"/>
      <rgbColor rgb="00ABE3FF"/>
      <rgbColor rgb="00FF99CC"/>
      <rgbColor rgb="00CC99FF"/>
      <rgbColor rgb="00FFCC66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0</xdr:row>
      <xdr:rowOff>127000</xdr:rowOff>
    </xdr:from>
    <xdr:to>
      <xdr:col>3</xdr:col>
      <xdr:colOff>20339</xdr:colOff>
      <xdr:row>3</xdr:row>
      <xdr:rowOff>63500</xdr:rowOff>
    </xdr:to>
    <xdr:pic>
      <xdr:nvPicPr>
        <xdr:cNvPr id="102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27000"/>
          <a:ext cx="1092200" cy="774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233680</xdr:colOff>
      <xdr:row>0</xdr:row>
      <xdr:rowOff>190500</xdr:rowOff>
    </xdr:from>
    <xdr:to>
      <xdr:col>3</xdr:col>
      <xdr:colOff>106680</xdr:colOff>
      <xdr:row>3</xdr:row>
      <xdr:rowOff>101600</xdr:rowOff>
    </xdr:to>
    <xdr:pic>
      <xdr:nvPicPr>
        <xdr:cNvPr id="1024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90500"/>
          <a:ext cx="1066800" cy="749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144782</xdr:colOff>
      <xdr:row>3</xdr:row>
      <xdr:rowOff>114300</xdr:rowOff>
    </xdr:to>
    <xdr:pic>
      <xdr:nvPicPr>
        <xdr:cNvPr id="1126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231140</xdr:colOff>
      <xdr:row>0</xdr:row>
      <xdr:rowOff>101600</xdr:rowOff>
    </xdr:from>
    <xdr:to>
      <xdr:col>3</xdr:col>
      <xdr:colOff>144816</xdr:colOff>
      <xdr:row>3</xdr:row>
      <xdr:rowOff>114300</xdr:rowOff>
    </xdr:to>
    <xdr:pic>
      <xdr:nvPicPr>
        <xdr:cNvPr id="1229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144762</xdr:colOff>
      <xdr:row>3</xdr:row>
      <xdr:rowOff>114300</xdr:rowOff>
    </xdr:to>
    <xdr:pic>
      <xdr:nvPicPr>
        <xdr:cNvPr id="1331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231140</xdr:colOff>
      <xdr:row>0</xdr:row>
      <xdr:rowOff>101600</xdr:rowOff>
    </xdr:from>
    <xdr:to>
      <xdr:col>3</xdr:col>
      <xdr:colOff>144760</xdr:colOff>
      <xdr:row>3</xdr:row>
      <xdr:rowOff>114300</xdr:rowOff>
    </xdr:to>
    <xdr:pic>
      <xdr:nvPicPr>
        <xdr:cNvPr id="1434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157471</xdr:colOff>
      <xdr:row>3</xdr:row>
      <xdr:rowOff>114300</xdr:rowOff>
    </xdr:to>
    <xdr:pic>
      <xdr:nvPicPr>
        <xdr:cNvPr id="1536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811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144789</xdr:colOff>
      <xdr:row>3</xdr:row>
      <xdr:rowOff>114300</xdr:rowOff>
    </xdr:to>
    <xdr:pic>
      <xdr:nvPicPr>
        <xdr:cNvPr id="1638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144789</xdr:colOff>
      <xdr:row>3</xdr:row>
      <xdr:rowOff>114300</xdr:rowOff>
    </xdr:to>
    <xdr:pic>
      <xdr:nvPicPr>
        <xdr:cNvPr id="1741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0</xdr:row>
      <xdr:rowOff>127000</xdr:rowOff>
    </xdr:from>
    <xdr:to>
      <xdr:col>3</xdr:col>
      <xdr:colOff>1011206</xdr:colOff>
      <xdr:row>3</xdr:row>
      <xdr:rowOff>215900</xdr:rowOff>
    </xdr:to>
    <xdr:pic>
      <xdr:nvPicPr>
        <xdr:cNvPr id="1843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0900" y="127000"/>
          <a:ext cx="1308100" cy="927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231140</xdr:colOff>
      <xdr:row>0</xdr:row>
      <xdr:rowOff>101600</xdr:rowOff>
    </xdr:from>
    <xdr:to>
      <xdr:col>3</xdr:col>
      <xdr:colOff>144760</xdr:colOff>
      <xdr:row>3</xdr:row>
      <xdr:rowOff>114300</xdr:rowOff>
    </xdr:to>
    <xdr:pic>
      <xdr:nvPicPr>
        <xdr:cNvPr id="1946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177800</xdr:rowOff>
    </xdr:from>
    <xdr:to>
      <xdr:col>3</xdr:col>
      <xdr:colOff>25419</xdr:colOff>
      <xdr:row>3</xdr:row>
      <xdr:rowOff>88900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7800"/>
          <a:ext cx="1066800" cy="749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231140</xdr:colOff>
      <xdr:row>0</xdr:row>
      <xdr:rowOff>101600</xdr:rowOff>
    </xdr:from>
    <xdr:to>
      <xdr:col>3</xdr:col>
      <xdr:colOff>144816</xdr:colOff>
      <xdr:row>3</xdr:row>
      <xdr:rowOff>114300</xdr:rowOff>
    </xdr:to>
    <xdr:pic>
      <xdr:nvPicPr>
        <xdr:cNvPr id="2048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231140</xdr:colOff>
      <xdr:row>0</xdr:row>
      <xdr:rowOff>101600</xdr:rowOff>
    </xdr:from>
    <xdr:to>
      <xdr:col>3</xdr:col>
      <xdr:colOff>195644</xdr:colOff>
      <xdr:row>3</xdr:row>
      <xdr:rowOff>114300</xdr:rowOff>
    </xdr:to>
    <xdr:pic>
      <xdr:nvPicPr>
        <xdr:cNvPr id="21509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938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187960</xdr:colOff>
      <xdr:row>3</xdr:row>
      <xdr:rowOff>114300</xdr:rowOff>
    </xdr:to>
    <xdr:pic>
      <xdr:nvPicPr>
        <xdr:cNvPr id="2253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938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187960</xdr:colOff>
      <xdr:row>3</xdr:row>
      <xdr:rowOff>114300</xdr:rowOff>
    </xdr:to>
    <xdr:pic>
      <xdr:nvPicPr>
        <xdr:cNvPr id="2355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938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187960</xdr:colOff>
      <xdr:row>3</xdr:row>
      <xdr:rowOff>114300</xdr:rowOff>
    </xdr:to>
    <xdr:pic>
      <xdr:nvPicPr>
        <xdr:cNvPr id="2458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938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0</xdr:row>
      <xdr:rowOff>101600</xdr:rowOff>
    </xdr:from>
    <xdr:to>
      <xdr:col>3</xdr:col>
      <xdr:colOff>187960</xdr:colOff>
      <xdr:row>3</xdr:row>
      <xdr:rowOff>114300</xdr:rowOff>
    </xdr:to>
    <xdr:pic>
      <xdr:nvPicPr>
        <xdr:cNvPr id="2560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938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177800</xdr:rowOff>
    </xdr:from>
    <xdr:to>
      <xdr:col>3</xdr:col>
      <xdr:colOff>17780</xdr:colOff>
      <xdr:row>3</xdr:row>
      <xdr:rowOff>88900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7800"/>
          <a:ext cx="1066800" cy="749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0</xdr:row>
      <xdr:rowOff>152400</xdr:rowOff>
    </xdr:from>
    <xdr:to>
      <xdr:col>2</xdr:col>
      <xdr:colOff>1125368</xdr:colOff>
      <xdr:row>3</xdr:row>
      <xdr:rowOff>50800</xdr:rowOff>
    </xdr:to>
    <xdr:pic>
      <xdr:nvPicPr>
        <xdr:cNvPr id="4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152400"/>
          <a:ext cx="10414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0</xdr:row>
      <xdr:rowOff>152400</xdr:rowOff>
    </xdr:from>
    <xdr:to>
      <xdr:col>2</xdr:col>
      <xdr:colOff>1132579</xdr:colOff>
      <xdr:row>3</xdr:row>
      <xdr:rowOff>58436</xdr:rowOff>
    </xdr:to>
    <xdr:pic>
      <xdr:nvPicPr>
        <xdr:cNvPr id="5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152400"/>
          <a:ext cx="10414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0</xdr:row>
      <xdr:rowOff>152400</xdr:rowOff>
    </xdr:from>
    <xdr:to>
      <xdr:col>2</xdr:col>
      <xdr:colOff>1125368</xdr:colOff>
      <xdr:row>3</xdr:row>
      <xdr:rowOff>50800</xdr:rowOff>
    </xdr:to>
    <xdr:pic>
      <xdr:nvPicPr>
        <xdr:cNvPr id="6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580" y="152400"/>
          <a:ext cx="980588" cy="774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231140</xdr:colOff>
      <xdr:row>0</xdr:row>
      <xdr:rowOff>101600</xdr:rowOff>
    </xdr:from>
    <xdr:to>
      <xdr:col>3</xdr:col>
      <xdr:colOff>144816</xdr:colOff>
      <xdr:row>3</xdr:row>
      <xdr:rowOff>114300</xdr:rowOff>
    </xdr:to>
    <xdr:pic>
      <xdr:nvPicPr>
        <xdr:cNvPr id="717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1600"/>
          <a:ext cx="1168400" cy="85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0</xdr:row>
      <xdr:rowOff>152400</xdr:rowOff>
    </xdr:from>
    <xdr:to>
      <xdr:col>2</xdr:col>
      <xdr:colOff>1125368</xdr:colOff>
      <xdr:row>3</xdr:row>
      <xdr:rowOff>58448</xdr:rowOff>
    </xdr:to>
    <xdr:pic>
      <xdr:nvPicPr>
        <xdr:cNvPr id="8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152400"/>
          <a:ext cx="10414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0</xdr:row>
      <xdr:rowOff>152400</xdr:rowOff>
    </xdr:from>
    <xdr:to>
      <xdr:col>2</xdr:col>
      <xdr:colOff>1125368</xdr:colOff>
      <xdr:row>3</xdr:row>
      <xdr:rowOff>58448</xdr:rowOff>
    </xdr:to>
    <xdr:pic>
      <xdr:nvPicPr>
        <xdr:cNvPr id="9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152400"/>
          <a:ext cx="10414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1"/>
  <sheetViews>
    <sheetView zoomScale="80" zoomScaleNormal="80" workbookViewId="0">
      <selection activeCell="P30" sqref="P30"/>
    </sheetView>
  </sheetViews>
  <sheetFormatPr baseColWidth="10" defaultColWidth="11.44140625" defaultRowHeight="15" x14ac:dyDescent="0.2"/>
  <cols>
    <col min="1" max="1" width="3.21875" style="1" customWidth="1"/>
    <col min="2" max="2" width="3.5546875" style="2" customWidth="1"/>
    <col min="3" max="3" width="13" style="1" customWidth="1"/>
    <col min="4" max="13" width="11.44140625" style="1"/>
    <col min="14" max="14" width="3.21875" style="2" customWidth="1"/>
    <col min="15" max="17" width="11.44140625" style="2"/>
    <col min="18" max="16384" width="11.44140625" style="1"/>
  </cols>
  <sheetData>
    <row r="1" spans="1:256" s="2" customFormat="1" ht="22.9" customHeight="1" x14ac:dyDescent="0.2">
      <c r="D1" s="3"/>
    </row>
    <row r="2" spans="1:256" s="2" customFormat="1" ht="22.9" customHeight="1" x14ac:dyDescent="0.2">
      <c r="D2" s="4" t="s">
        <v>0</v>
      </c>
    </row>
    <row r="3" spans="1:256" s="2" customFormat="1" ht="22.9" customHeight="1" x14ac:dyDescent="0.2">
      <c r="D3" s="5" t="s">
        <v>1</v>
      </c>
    </row>
    <row r="4" spans="1:256" s="2" customFormat="1" ht="22.9" customHeight="1" x14ac:dyDescent="0.2">
      <c r="D4"/>
    </row>
    <row r="5" spans="1:256" ht="9" customHeight="1" x14ac:dyDescent="0.2">
      <c r="A5" s="2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 s="2"/>
      <c r="B6" s="9"/>
      <c r="C6" s="10" t="s">
        <v>2</v>
      </c>
      <c r="D6" s="3"/>
      <c r="E6" s="3"/>
      <c r="F6" s="3"/>
      <c r="G6" s="3"/>
      <c r="H6" s="3"/>
      <c r="I6" s="3"/>
      <c r="J6" s="3"/>
      <c r="K6" s="3"/>
      <c r="L6" s="3"/>
      <c r="M6" s="981">
        <f>ejercicio</f>
        <v>2018</v>
      </c>
      <c r="N6" s="1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 s="2"/>
      <c r="B7" s="9"/>
      <c r="C7" s="10" t="s">
        <v>3</v>
      </c>
      <c r="D7" s="3"/>
      <c r="E7" s="3"/>
      <c r="F7" s="3"/>
      <c r="G7" s="3"/>
      <c r="H7" s="3"/>
      <c r="I7" s="3"/>
      <c r="J7" s="3"/>
      <c r="K7" s="12"/>
      <c r="L7" s="3"/>
      <c r="M7" s="981"/>
      <c r="N7" s="1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 s="2"/>
      <c r="B8" s="9"/>
      <c r="C8"/>
      <c r="D8"/>
      <c r="E8"/>
      <c r="F8"/>
      <c r="G8"/>
      <c r="H8"/>
      <c r="I8"/>
      <c r="J8"/>
      <c r="K8"/>
      <c r="L8"/>
      <c r="M8"/>
      <c r="N8" s="11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A9" s="2"/>
      <c r="B9" s="9"/>
      <c r="C9"/>
      <c r="D9"/>
      <c r="E9"/>
      <c r="F9"/>
      <c r="G9"/>
      <c r="H9"/>
      <c r="I9"/>
      <c r="J9"/>
      <c r="K9"/>
      <c r="L9"/>
      <c r="M9"/>
      <c r="N9" s="11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7.15" customHeight="1" x14ac:dyDescent="0.2">
      <c r="A10" s="2"/>
      <c r="B10" s="9"/>
      <c r="C10"/>
      <c r="D10"/>
      <c r="E10"/>
      <c r="F10"/>
      <c r="G10"/>
      <c r="H10"/>
      <c r="I10"/>
      <c r="J10"/>
      <c r="K10"/>
      <c r="L10"/>
      <c r="M10"/>
      <c r="N10" s="11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0" customHeight="1" x14ac:dyDescent="0.2">
      <c r="A11"/>
      <c r="B11" s="9"/>
      <c r="C11" s="13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1"/>
      <c r="O11" s="1"/>
      <c r="P11"/>
      <c r="Q1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2" customFormat="1" ht="30" customHeight="1" x14ac:dyDescent="0.2">
      <c r="B12" s="9"/>
      <c r="N12" s="11"/>
    </row>
    <row r="13" spans="1:256" s="14" customFormat="1" ht="30" customHeight="1" x14ac:dyDescent="0.2">
      <c r="B13" s="9"/>
      <c r="C13" s="15" t="s">
        <v>5</v>
      </c>
      <c r="D13" s="982" t="s">
        <v>6</v>
      </c>
      <c r="E13" s="982"/>
      <c r="F13" s="982"/>
      <c r="G13" s="982"/>
      <c r="H13" s="982"/>
      <c r="I13" s="982"/>
      <c r="J13" s="982"/>
      <c r="K13" s="982"/>
      <c r="L13" s="982"/>
      <c r="M13" s="982"/>
      <c r="N13" s="11"/>
    </row>
    <row r="14" spans="1:256" ht="30" customHeight="1" x14ac:dyDescent="0.2">
      <c r="A14" s="14"/>
      <c r="B14" s="9"/>
      <c r="C14" s="16"/>
      <c r="D14" s="4"/>
      <c r="E14" s="4"/>
      <c r="F14" s="4"/>
      <c r="G14" s="4"/>
      <c r="H14" s="4"/>
      <c r="I14" s="4"/>
      <c r="J14" s="4"/>
      <c r="K14" s="4"/>
      <c r="L14" s="4"/>
      <c r="M14" s="4"/>
      <c r="N14" s="1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2" customFormat="1" ht="30" customHeight="1" x14ac:dyDescent="0.2">
      <c r="B15" s="9"/>
      <c r="C15" s="15" t="s">
        <v>7</v>
      </c>
      <c r="D15" s="17">
        <v>2018</v>
      </c>
      <c r="E15" s="18"/>
      <c r="F15" s="18"/>
      <c r="G15" s="18"/>
      <c r="H15" s="18"/>
      <c r="I15" s="18"/>
      <c r="J15" s="18"/>
      <c r="K15" s="18"/>
      <c r="L15" s="18"/>
      <c r="M15" s="18"/>
      <c r="N15" s="11"/>
    </row>
    <row r="16" spans="1:256" s="2" customFormat="1" ht="30" customHeight="1" x14ac:dyDescent="0.25">
      <c r="B16" s="9"/>
      <c r="C16" s="19"/>
      <c r="D16" s="983"/>
      <c r="E16" s="983"/>
      <c r="F16" s="983"/>
      <c r="G16" s="983"/>
      <c r="H16" s="983"/>
      <c r="I16" s="983"/>
      <c r="J16" s="983"/>
      <c r="K16" s="983"/>
      <c r="L16" s="983"/>
      <c r="M16" s="983"/>
      <c r="N16" s="11"/>
    </row>
    <row r="17" spans="2:14" s="2" customFormat="1" ht="30" customHeight="1" x14ac:dyDescent="0.25">
      <c r="B17" s="9"/>
      <c r="C17" s="20" t="s">
        <v>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/>
    </row>
    <row r="18" spans="2:14" s="2" customFormat="1" ht="9" customHeight="1" x14ac:dyDescent="0.25">
      <c r="B18" s="9"/>
      <c r="C18" s="1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1"/>
    </row>
    <row r="19" spans="2:14" s="2" customFormat="1" ht="25.15" customHeight="1" x14ac:dyDescent="0.2">
      <c r="B19" s="9"/>
      <c r="C19" s="2" t="s">
        <v>9</v>
      </c>
      <c r="D19" s="2" t="s">
        <v>10</v>
      </c>
      <c r="E19"/>
      <c r="F19"/>
      <c r="G19"/>
      <c r="H19"/>
      <c r="I19"/>
      <c r="J19"/>
      <c r="K19"/>
      <c r="L19"/>
      <c r="M19"/>
      <c r="N19" s="11"/>
    </row>
    <row r="20" spans="2:14" s="2" customFormat="1" ht="25.15" customHeight="1" x14ac:dyDescent="0.2">
      <c r="B20" s="9"/>
      <c r="C20" s="2" t="s">
        <v>11</v>
      </c>
      <c r="D20" s="2" t="s">
        <v>12</v>
      </c>
      <c r="E20"/>
      <c r="F20"/>
      <c r="G20"/>
      <c r="H20"/>
      <c r="I20"/>
      <c r="J20"/>
      <c r="K20"/>
      <c r="L20"/>
      <c r="M20"/>
      <c r="N20" s="11"/>
    </row>
    <row r="21" spans="2:14" s="2" customFormat="1" ht="25.15" customHeight="1" x14ac:dyDescent="0.2">
      <c r="B21" s="9"/>
      <c r="C21" s="2" t="s">
        <v>13</v>
      </c>
      <c r="D21" s="2" t="s">
        <v>14</v>
      </c>
      <c r="E21"/>
      <c r="F21"/>
      <c r="G21"/>
      <c r="H21"/>
      <c r="I21"/>
      <c r="J21"/>
      <c r="K21"/>
      <c r="L21"/>
      <c r="M21"/>
      <c r="N21" s="11"/>
    </row>
    <row r="22" spans="2:14" s="2" customFormat="1" ht="25.15" customHeight="1" x14ac:dyDescent="0.2">
      <c r="B22" s="9"/>
      <c r="C22" s="2" t="s">
        <v>15</v>
      </c>
      <c r="D22" s="2" t="s">
        <v>16</v>
      </c>
      <c r="E22"/>
      <c r="F22"/>
      <c r="G22"/>
      <c r="H22"/>
      <c r="I22"/>
      <c r="J22"/>
      <c r="K22"/>
      <c r="L22"/>
      <c r="M22"/>
      <c r="N22" s="11"/>
    </row>
    <row r="23" spans="2:14" s="2" customFormat="1" ht="25.15" customHeight="1" x14ac:dyDescent="0.2">
      <c r="B23" s="9"/>
      <c r="C23" s="2" t="s">
        <v>17</v>
      </c>
      <c r="D23" s="2" t="s">
        <v>18</v>
      </c>
      <c r="E23"/>
      <c r="F23"/>
      <c r="G23"/>
      <c r="H23"/>
      <c r="I23"/>
      <c r="J23"/>
      <c r="K23"/>
      <c r="L23"/>
      <c r="M23"/>
      <c r="N23" s="11"/>
    </row>
    <row r="24" spans="2:14" s="2" customFormat="1" ht="25.15" customHeight="1" x14ac:dyDescent="0.2">
      <c r="B24" s="9"/>
      <c r="C24" s="2" t="s">
        <v>19</v>
      </c>
      <c r="D24" s="2" t="s">
        <v>20</v>
      </c>
      <c r="E24"/>
      <c r="F24"/>
      <c r="G24"/>
      <c r="H24"/>
      <c r="I24"/>
      <c r="J24"/>
      <c r="K24"/>
      <c r="L24"/>
      <c r="M24"/>
      <c r="N24" s="11"/>
    </row>
    <row r="25" spans="2:14" s="2" customFormat="1" ht="25.15" customHeight="1" x14ac:dyDescent="0.2">
      <c r="B25" s="9"/>
      <c r="C25" s="2" t="s">
        <v>21</v>
      </c>
      <c r="D25" s="2" t="s">
        <v>22</v>
      </c>
      <c r="E25"/>
      <c r="F25"/>
      <c r="G25"/>
      <c r="H25"/>
      <c r="I25"/>
      <c r="J25"/>
      <c r="K25"/>
      <c r="L25"/>
      <c r="M25"/>
      <c r="N25" s="11"/>
    </row>
    <row r="26" spans="2:14" s="2" customFormat="1" ht="25.15" customHeight="1" x14ac:dyDescent="0.2">
      <c r="B26" s="9"/>
      <c r="C26" s="2" t="s">
        <v>23</v>
      </c>
      <c r="D26" s="2" t="s">
        <v>24</v>
      </c>
      <c r="E26"/>
      <c r="F26"/>
      <c r="G26"/>
      <c r="H26"/>
      <c r="I26"/>
      <c r="J26"/>
      <c r="K26"/>
      <c r="L26"/>
      <c r="M26"/>
      <c r="N26" s="11"/>
    </row>
    <row r="27" spans="2:14" s="2" customFormat="1" ht="25.15" customHeight="1" x14ac:dyDescent="0.2">
      <c r="B27" s="9"/>
      <c r="C27" s="2" t="s">
        <v>25</v>
      </c>
      <c r="D27" s="2" t="s">
        <v>26</v>
      </c>
      <c r="E27"/>
      <c r="F27"/>
      <c r="G27"/>
      <c r="H27"/>
      <c r="I27"/>
      <c r="J27"/>
      <c r="K27"/>
      <c r="L27"/>
      <c r="M27"/>
      <c r="N27" s="11"/>
    </row>
    <row r="28" spans="2:14" s="2" customFormat="1" ht="25.15" customHeight="1" x14ac:dyDescent="0.2">
      <c r="B28" s="9"/>
      <c r="C28" s="2" t="s">
        <v>27</v>
      </c>
      <c r="D28" s="2" t="s">
        <v>28</v>
      </c>
      <c r="E28"/>
      <c r="F28"/>
      <c r="G28"/>
      <c r="H28"/>
      <c r="I28"/>
      <c r="J28"/>
      <c r="K28"/>
      <c r="L28"/>
      <c r="M28"/>
      <c r="N28" s="11"/>
    </row>
    <row r="29" spans="2:14" s="2" customFormat="1" ht="25.15" customHeight="1" x14ac:dyDescent="0.2">
      <c r="B29" s="9"/>
      <c r="C29" s="2" t="s">
        <v>29</v>
      </c>
      <c r="D29" s="2" t="s">
        <v>30</v>
      </c>
      <c r="E29"/>
      <c r="F29"/>
      <c r="G29"/>
      <c r="H29"/>
      <c r="I29"/>
      <c r="J29"/>
      <c r="K29"/>
      <c r="L29"/>
      <c r="M29"/>
      <c r="N29" s="11"/>
    </row>
    <row r="30" spans="2:14" s="2" customFormat="1" ht="25.15" customHeight="1" x14ac:dyDescent="0.2">
      <c r="B30" s="9"/>
      <c r="C30" s="2" t="s">
        <v>31</v>
      </c>
      <c r="D30" s="2" t="s">
        <v>32</v>
      </c>
      <c r="E30"/>
      <c r="F30"/>
      <c r="G30"/>
      <c r="H30"/>
      <c r="I30"/>
      <c r="J30"/>
      <c r="K30"/>
      <c r="L30"/>
      <c r="M30"/>
      <c r="N30" s="11"/>
    </row>
    <row r="31" spans="2:14" s="2" customFormat="1" ht="25.15" customHeight="1" x14ac:dyDescent="0.2">
      <c r="B31" s="9"/>
      <c r="C31" s="2" t="s">
        <v>33</v>
      </c>
      <c r="D31" s="2" t="s">
        <v>34</v>
      </c>
      <c r="E31"/>
      <c r="F31"/>
      <c r="G31"/>
      <c r="H31"/>
      <c r="I31"/>
      <c r="J31"/>
      <c r="K31"/>
      <c r="L31"/>
      <c r="M31"/>
      <c r="N31" s="11"/>
    </row>
    <row r="32" spans="2:14" s="2" customFormat="1" ht="25.15" customHeight="1" x14ac:dyDescent="0.2">
      <c r="B32" s="9"/>
      <c r="C32" s="2" t="s">
        <v>35</v>
      </c>
      <c r="D32" s="2" t="s">
        <v>36</v>
      </c>
      <c r="E32"/>
      <c r="F32"/>
      <c r="G32"/>
      <c r="H32"/>
      <c r="I32"/>
      <c r="J32"/>
      <c r="K32"/>
      <c r="L32"/>
      <c r="M32"/>
      <c r="N32" s="11"/>
    </row>
    <row r="33" spans="2:14" s="2" customFormat="1" ht="25.15" customHeight="1" x14ac:dyDescent="0.2">
      <c r="B33" s="9"/>
      <c r="C33" s="2" t="s">
        <v>37</v>
      </c>
      <c r="D33" s="2" t="s">
        <v>38</v>
      </c>
      <c r="E33"/>
      <c r="F33"/>
      <c r="G33"/>
      <c r="H33"/>
      <c r="I33"/>
      <c r="J33"/>
      <c r="K33"/>
      <c r="L33"/>
      <c r="M33"/>
      <c r="N33" s="11"/>
    </row>
    <row r="34" spans="2:14" s="2" customFormat="1" ht="25.15" customHeight="1" x14ac:dyDescent="0.2">
      <c r="B34" s="9"/>
      <c r="C34" s="2" t="s">
        <v>39</v>
      </c>
      <c r="D34" s="2" t="s">
        <v>40</v>
      </c>
      <c r="E34"/>
      <c r="F34"/>
      <c r="G34"/>
      <c r="H34"/>
      <c r="I34"/>
      <c r="J34"/>
      <c r="K34"/>
      <c r="L34"/>
      <c r="M34"/>
      <c r="N34" s="11"/>
    </row>
    <row r="35" spans="2:14" s="2" customFormat="1" ht="25.15" customHeight="1" x14ac:dyDescent="0.2">
      <c r="B35" s="9"/>
      <c r="C35" s="2" t="s">
        <v>41</v>
      </c>
      <c r="D35" s="2" t="s">
        <v>42</v>
      </c>
      <c r="E35"/>
      <c r="F35"/>
      <c r="G35"/>
      <c r="H35"/>
      <c r="I35"/>
      <c r="J35"/>
      <c r="K35"/>
      <c r="L35"/>
      <c r="M35"/>
      <c r="N35" s="11"/>
    </row>
    <row r="36" spans="2:14" s="2" customFormat="1" ht="25.15" customHeight="1" x14ac:dyDescent="0.2">
      <c r="B36" s="9"/>
      <c r="C36" s="2" t="s">
        <v>43</v>
      </c>
      <c r="D36" s="2" t="s">
        <v>44</v>
      </c>
      <c r="E36"/>
      <c r="F36"/>
      <c r="G36"/>
      <c r="H36"/>
      <c r="I36"/>
      <c r="J36"/>
      <c r="K36"/>
      <c r="L36"/>
      <c r="M36"/>
      <c r="N36" s="11"/>
    </row>
    <row r="37" spans="2:14" s="2" customFormat="1" ht="25.15" customHeight="1" x14ac:dyDescent="0.2">
      <c r="B37" s="9"/>
      <c r="C37" s="2" t="s">
        <v>45</v>
      </c>
      <c r="D37" s="2" t="s">
        <v>46</v>
      </c>
      <c r="E37"/>
      <c r="F37"/>
      <c r="G37"/>
      <c r="H37"/>
      <c r="I37"/>
      <c r="J37"/>
      <c r="K37"/>
      <c r="L37"/>
      <c r="M37"/>
      <c r="N37" s="11"/>
    </row>
    <row r="38" spans="2:14" s="2" customFormat="1" ht="25.15" customHeight="1" x14ac:dyDescent="0.2">
      <c r="B38" s="9"/>
      <c r="C38"/>
      <c r="D38"/>
      <c r="E38"/>
      <c r="F38"/>
      <c r="G38"/>
      <c r="H38"/>
      <c r="I38"/>
      <c r="J38"/>
      <c r="K38"/>
      <c r="L38"/>
      <c r="M38"/>
      <c r="N38" s="11"/>
    </row>
    <row r="39" spans="2:14" s="2" customFormat="1" ht="25.15" customHeight="1" x14ac:dyDescent="0.2">
      <c r="B39" s="9"/>
      <c r="C39"/>
      <c r="D39"/>
      <c r="E39"/>
      <c r="F39"/>
      <c r="G39"/>
      <c r="H39"/>
      <c r="I39"/>
      <c r="J39"/>
      <c r="K39"/>
      <c r="L39"/>
      <c r="M39"/>
      <c r="N39" s="11"/>
    </row>
    <row r="40" spans="2:14" s="2" customFormat="1" ht="25.15" customHeight="1" x14ac:dyDescent="0.2">
      <c r="B40" s="9"/>
      <c r="C40" s="2" t="s">
        <v>47</v>
      </c>
      <c r="D40" s="2" t="s">
        <v>48</v>
      </c>
      <c r="E40"/>
      <c r="F40"/>
      <c r="G40"/>
      <c r="H40"/>
      <c r="I40"/>
      <c r="J40"/>
      <c r="K40"/>
      <c r="L40"/>
      <c r="M40"/>
      <c r="N40" s="11"/>
    </row>
    <row r="41" spans="2:14" s="2" customFormat="1" ht="25.15" customHeight="1" x14ac:dyDescent="0.2">
      <c r="B41" s="9"/>
      <c r="C41" s="2" t="s">
        <v>49</v>
      </c>
      <c r="D41" s="2" t="s">
        <v>50</v>
      </c>
      <c r="E41"/>
      <c r="F41"/>
      <c r="G41"/>
      <c r="H41"/>
      <c r="I41"/>
      <c r="J41"/>
      <c r="K41"/>
      <c r="L41"/>
      <c r="M41"/>
      <c r="N41" s="11"/>
    </row>
    <row r="42" spans="2:14" s="2" customFormat="1" ht="25.15" customHeight="1" x14ac:dyDescent="0.2">
      <c r="B42" s="9"/>
      <c r="C42" s="2" t="s">
        <v>51</v>
      </c>
      <c r="D42" s="2" t="s">
        <v>52</v>
      </c>
      <c r="E42"/>
      <c r="F42"/>
      <c r="G42"/>
      <c r="H42"/>
      <c r="I42"/>
      <c r="J42"/>
      <c r="K42"/>
      <c r="L42"/>
      <c r="M42"/>
      <c r="N42" s="11"/>
    </row>
    <row r="43" spans="2:14" s="2" customFormat="1" ht="25.15" customHeight="1" x14ac:dyDescent="0.2">
      <c r="B43" s="9"/>
      <c r="C43"/>
      <c r="D43"/>
      <c r="E43"/>
      <c r="F43"/>
      <c r="G43"/>
      <c r="H43"/>
      <c r="I43"/>
      <c r="J43"/>
      <c r="K43"/>
      <c r="L43"/>
      <c r="M43"/>
      <c r="N43" s="11"/>
    </row>
    <row r="44" spans="2:14" s="2" customFormat="1" ht="25.15" customHeight="1" x14ac:dyDescent="0.25">
      <c r="B44" s="9"/>
      <c r="C44" s="20" t="s">
        <v>53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11"/>
    </row>
    <row r="45" spans="2:14" s="2" customFormat="1" ht="25.15" customHeight="1" x14ac:dyDescent="0.2">
      <c r="B45" s="9"/>
      <c r="C45"/>
      <c r="D45"/>
      <c r="E45"/>
      <c r="F45"/>
      <c r="G45"/>
      <c r="H45"/>
      <c r="I45"/>
      <c r="J45"/>
      <c r="K45"/>
      <c r="L45"/>
      <c r="M45"/>
      <c r="N45" s="11"/>
    </row>
    <row r="46" spans="2:14" s="2" customFormat="1" ht="25.15" customHeight="1" x14ac:dyDescent="0.25">
      <c r="B46" s="9"/>
      <c r="C46" s="19" t="s">
        <v>54</v>
      </c>
      <c r="D46"/>
      <c r="E46"/>
      <c r="F46"/>
      <c r="G46"/>
      <c r="H46"/>
      <c r="I46"/>
      <c r="J46"/>
      <c r="K46"/>
      <c r="L46"/>
      <c r="M46"/>
      <c r="N46" s="11"/>
    </row>
    <row r="47" spans="2:14" s="2" customFormat="1" ht="30" customHeight="1" x14ac:dyDescent="0.2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</row>
    <row r="48" spans="2:14" s="2" customFormat="1" ht="30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256" s="26" customFormat="1" ht="12.75" x14ac:dyDescent="0.2">
      <c r="C49" s="27" t="s">
        <v>55</v>
      </c>
      <c r="G49" s="28"/>
      <c r="M49" s="29" t="s">
        <v>56</v>
      </c>
    </row>
    <row r="50" spans="1:256" x14ac:dyDescent="0.2">
      <c r="A50" s="26"/>
      <c r="B50" s="26"/>
      <c r="C50" s="26" t="s">
        <v>57</v>
      </c>
      <c r="D50"/>
      <c r="E50"/>
      <c r="F50"/>
      <c r="G50" s="28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x14ac:dyDescent="0.2">
      <c r="A51" s="26"/>
      <c r="B51" s="26"/>
      <c r="C51" s="26" t="s">
        <v>58</v>
      </c>
      <c r="D51"/>
      <c r="E51"/>
      <c r="F51"/>
      <c r="G51" s="28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x14ac:dyDescent="0.2">
      <c r="A52" s="26"/>
      <c r="B52" s="26"/>
      <c r="C52" s="26" t="s">
        <v>59</v>
      </c>
      <c r="D52"/>
      <c r="E52"/>
      <c r="F52"/>
      <c r="G52" s="28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x14ac:dyDescent="0.2">
      <c r="A53" s="26"/>
      <c r="B53" s="26"/>
      <c r="C53" s="26" t="s">
        <v>60</v>
      </c>
      <c r="D53"/>
      <c r="E53"/>
      <c r="F53"/>
      <c r="G53" s="28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30" customHeight="1" x14ac:dyDescent="0.2"/>
    <row r="55" spans="1:256" ht="30" customHeight="1" x14ac:dyDescent="0.2"/>
    <row r="56" spans="1:256" ht="30" customHeight="1" x14ac:dyDescent="0.2"/>
    <row r="57" spans="1:256" ht="30" customHeight="1" x14ac:dyDescent="0.2"/>
    <row r="58" spans="1:256" ht="30" customHeight="1" x14ac:dyDescent="0.2"/>
    <row r="59" spans="1:256" ht="30" customHeight="1" x14ac:dyDescent="0.2"/>
    <row r="60" spans="1:256" ht="30" customHeight="1" x14ac:dyDescent="0.2"/>
    <row r="61" spans="1:256" ht="30" customHeight="1" x14ac:dyDescent="0.2"/>
    <row r="62" spans="1:256" ht="30" customHeight="1" x14ac:dyDescent="0.2"/>
    <row r="63" spans="1:256" ht="30" customHeight="1" x14ac:dyDescent="0.2"/>
    <row r="64" spans="1:256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</sheetData>
  <sheetProtection password="E059" sheet="1"/>
  <mergeCells count="3">
    <mergeCell ref="M6:M7"/>
    <mergeCell ref="D13:M13"/>
    <mergeCell ref="D16:M16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6"/>
  <sheetViews>
    <sheetView zoomScale="70" zoomScaleNormal="70" workbookViewId="0">
      <selection activeCell="G36" sqref="G36"/>
    </sheetView>
  </sheetViews>
  <sheetFormatPr baseColWidth="10" defaultColWidth="11.44140625" defaultRowHeight="22.9" customHeight="1" x14ac:dyDescent="0.2"/>
  <cols>
    <col min="1" max="2" width="3.21875" style="2" customWidth="1"/>
    <col min="3" max="3" width="10.21875" style="2" customWidth="1"/>
    <col min="4" max="4" width="5.77734375" style="2" customWidth="1"/>
    <col min="5" max="5" width="74.21875" style="2" customWidth="1"/>
    <col min="6" max="8" width="19.21875" style="528" customWidth="1"/>
    <col min="9" max="9" width="3.21875" style="2" customWidth="1"/>
    <col min="10" max="16384" width="11.44140625" style="2"/>
  </cols>
  <sheetData>
    <row r="1" spans="1:256" ht="22.9" customHeight="1" x14ac:dyDescent="0.2">
      <c r="A1"/>
      <c r="B1"/>
      <c r="C1"/>
      <c r="D1" s="2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5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5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224"/>
      <c r="C5" s="225"/>
      <c r="D5" s="225"/>
      <c r="E5" s="225"/>
      <c r="F5" s="529"/>
      <c r="G5" s="529"/>
      <c r="H5" s="529"/>
      <c r="I5" s="226"/>
      <c r="J5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227"/>
      <c r="C6" s="10" t="s">
        <v>2</v>
      </c>
      <c r="D6" s="27"/>
      <c r="E6" s="27"/>
      <c r="F6" s="530"/>
      <c r="G6" s="530"/>
      <c r="H6" s="981">
        <f>ejercicio</f>
        <v>2018</v>
      </c>
      <c r="I6" s="228"/>
      <c r="J6"/>
      <c r="K6" s="65"/>
      <c r="L6" s="66" t="s">
        <v>93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8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227"/>
      <c r="C7" s="10" t="s">
        <v>3</v>
      </c>
      <c r="D7" s="27"/>
      <c r="E7" s="27"/>
      <c r="F7" s="530"/>
      <c r="G7" s="530"/>
      <c r="H7" s="981"/>
      <c r="I7" s="228"/>
      <c r="J7"/>
      <c r="K7" s="65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8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227"/>
      <c r="C8" s="229"/>
      <c r="D8" s="27"/>
      <c r="E8" s="27"/>
      <c r="F8" s="530"/>
      <c r="G8" s="530"/>
      <c r="H8" s="531"/>
      <c r="I8" s="228"/>
      <c r="J8"/>
      <c r="K8" s="65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9"/>
      <c r="C9" s="34" t="s">
        <v>62</v>
      </c>
      <c r="D9" s="995" t="str">
        <f>Entidad</f>
        <v>BALSAS DE TENERIFE (BALTEN), EPEL</v>
      </c>
      <c r="E9" s="995"/>
      <c r="F9" s="995"/>
      <c r="G9" s="995"/>
      <c r="H9" s="995"/>
      <c r="I9" s="11"/>
      <c r="K9" s="69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1"/>
    </row>
    <row r="10" spans="1:256" ht="7.15" customHeight="1" x14ac:dyDescent="0.2">
      <c r="A10"/>
      <c r="B10" s="227"/>
      <c r="C10" s="27"/>
      <c r="D10" s="27"/>
      <c r="E10" s="27"/>
      <c r="F10" s="530"/>
      <c r="G10" s="530"/>
      <c r="H10" s="530"/>
      <c r="I10" s="228"/>
      <c r="J10"/>
      <c r="K10" s="65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31" customFormat="1" ht="30" customHeight="1" x14ac:dyDescent="0.25">
      <c r="B11" s="36"/>
      <c r="C11" s="13" t="s">
        <v>487</v>
      </c>
      <c r="D11" s="13"/>
      <c r="E11" s="13"/>
      <c r="F11" s="532"/>
      <c r="G11" s="532"/>
      <c r="H11" s="532"/>
      <c r="I11" s="232"/>
      <c r="K11" s="72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</row>
    <row r="12" spans="1:256" ht="30" customHeight="1" x14ac:dyDescent="0.25">
      <c r="A12" s="231"/>
      <c r="B12" s="36"/>
      <c r="C12" s="233"/>
      <c r="D12" s="233"/>
      <c r="E12" s="233"/>
      <c r="F12" s="533"/>
      <c r="G12" s="533"/>
      <c r="H12" s="533"/>
      <c r="I12" s="232"/>
      <c r="J12"/>
      <c r="K12" s="72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227"/>
      <c r="C13" s="534"/>
      <c r="D13" s="535"/>
      <c r="E13" s="535"/>
      <c r="F13" s="536" t="s">
        <v>189</v>
      </c>
      <c r="G13" s="536" t="s">
        <v>190</v>
      </c>
      <c r="H13" s="536" t="s">
        <v>191</v>
      </c>
      <c r="I13" s="228"/>
      <c r="J13"/>
      <c r="K13" s="65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8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3">
      <c r="A14"/>
      <c r="B14" s="227"/>
      <c r="C14" s="537"/>
      <c r="D14" s="538"/>
      <c r="E14" s="538"/>
      <c r="F14" s="539">
        <f>ejercicio-2</f>
        <v>2016</v>
      </c>
      <c r="G14" s="539">
        <f>ejercicio-1</f>
        <v>2017</v>
      </c>
      <c r="H14" s="539">
        <f>ejercicio</f>
        <v>2018</v>
      </c>
      <c r="I14" s="228"/>
      <c r="J14"/>
      <c r="K14" s="65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8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5">
      <c r="A15"/>
      <c r="B15" s="227"/>
      <c r="C15" s="540" t="s">
        <v>488</v>
      </c>
      <c r="D15" s="245"/>
      <c r="E15" s="541"/>
      <c r="F15" s="520"/>
      <c r="G15" s="520"/>
      <c r="H15" s="520"/>
      <c r="I15" s="228"/>
      <c r="J15"/>
      <c r="K15" s="65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5">
      <c r="A16"/>
      <c r="B16" s="227"/>
      <c r="C16" s="542" t="s">
        <v>489</v>
      </c>
      <c r="D16" s="248"/>
      <c r="E16" s="543"/>
      <c r="F16" s="544">
        <f>'FC-3_CPyG'!E76</f>
        <v>-384770.0299999991</v>
      </c>
      <c r="G16" s="544">
        <f>'FC-3_CPyG'!F76</f>
        <v>-698736.76999999967</v>
      </c>
      <c r="H16" s="544">
        <f>'FC-3_CPyG'!G76</f>
        <v>-929187.34999999986</v>
      </c>
      <c r="I16" s="228"/>
      <c r="J16"/>
      <c r="K16" s="65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8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5">
      <c r="A17"/>
      <c r="B17" s="227"/>
      <c r="C17" s="542" t="s">
        <v>490</v>
      </c>
      <c r="D17" s="248"/>
      <c r="E17" s="543"/>
      <c r="F17" s="249">
        <f>SUM(F18:F28)</f>
        <v>90372.97</v>
      </c>
      <c r="G17" s="249">
        <f>SUM(G18:G28)</f>
        <v>-207471.70000000004</v>
      </c>
      <c r="H17" s="249">
        <f>SUM(H18:H28)</f>
        <v>87515.599999999889</v>
      </c>
      <c r="I17" s="228"/>
      <c r="J17"/>
      <c r="K17" s="65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8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227"/>
      <c r="C18" s="545"/>
      <c r="D18" s="254" t="s">
        <v>491</v>
      </c>
      <c r="E18" s="254"/>
      <c r="F18" s="255">
        <v>2576739.4700000002</v>
      </c>
      <c r="G18" s="255">
        <v>2564125.2999999998</v>
      </c>
      <c r="H18" s="255">
        <v>2580021.33</v>
      </c>
      <c r="I18" s="228"/>
      <c r="J18"/>
      <c r="K18" s="65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227"/>
      <c r="C19" s="545"/>
      <c r="D19" s="254" t="s">
        <v>492</v>
      </c>
      <c r="E19" s="254"/>
      <c r="F19" s="255">
        <v>-11474.39</v>
      </c>
      <c r="G19" s="255">
        <v>0</v>
      </c>
      <c r="H19" s="255">
        <v>0</v>
      </c>
      <c r="I19" s="228"/>
      <c r="J19"/>
      <c r="K19" s="65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8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227"/>
      <c r="C20" s="545"/>
      <c r="D20" s="254" t="s">
        <v>493</v>
      </c>
      <c r="E20" s="254"/>
      <c r="F20" s="255"/>
      <c r="G20" s="255"/>
      <c r="H20" s="255"/>
      <c r="I20" s="228"/>
      <c r="J20"/>
      <c r="K20" s="65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8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227"/>
      <c r="C21" s="545"/>
      <c r="D21" s="254" t="s">
        <v>494</v>
      </c>
      <c r="E21" s="254"/>
      <c r="F21" s="255">
        <v>-2542819.33</v>
      </c>
      <c r="G21" s="255">
        <v>-2492714.09</v>
      </c>
      <c r="H21" s="255">
        <v>-2490310.7000000002</v>
      </c>
      <c r="I21" s="228"/>
      <c r="J21"/>
      <c r="K21" s="65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8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/>
      <c r="B22" s="227"/>
      <c r="C22" s="545"/>
      <c r="D22" s="254" t="s">
        <v>495</v>
      </c>
      <c r="E22" s="254"/>
      <c r="F22" s="255">
        <v>12850.6</v>
      </c>
      <c r="G22" s="255">
        <v>0</v>
      </c>
      <c r="H22" s="255">
        <v>0</v>
      </c>
      <c r="I22" s="228"/>
      <c r="J22"/>
      <c r="K22" s="65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8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227"/>
      <c r="C23" s="545"/>
      <c r="D23" s="254" t="s">
        <v>496</v>
      </c>
      <c r="E23" s="254"/>
      <c r="F23" s="255">
        <v>0</v>
      </c>
      <c r="G23" s="255">
        <v>-27687.88</v>
      </c>
      <c r="H23" s="255">
        <v>0</v>
      </c>
      <c r="I23" s="228"/>
      <c r="J23"/>
      <c r="K23" s="65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227"/>
      <c r="C24" s="545"/>
      <c r="D24" s="254" t="s">
        <v>497</v>
      </c>
      <c r="E24" s="254"/>
      <c r="F24" s="255">
        <v>-4251.24</v>
      </c>
      <c r="G24" s="255">
        <v>-2287.86</v>
      </c>
      <c r="H24" s="255">
        <v>-2287.86</v>
      </c>
      <c r="I24" s="228"/>
      <c r="J24"/>
      <c r="K24" s="65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8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227"/>
      <c r="C25" s="545"/>
      <c r="D25" s="254" t="s">
        <v>498</v>
      </c>
      <c r="E25" s="254"/>
      <c r="F25" s="255">
        <v>278.49</v>
      </c>
      <c r="G25" s="255">
        <v>92.83</v>
      </c>
      <c r="H25" s="255">
        <v>92.83</v>
      </c>
      <c r="I25" s="228"/>
      <c r="J25"/>
      <c r="K25" s="65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8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227"/>
      <c r="C26" s="545"/>
      <c r="D26" s="254" t="s">
        <v>499</v>
      </c>
      <c r="E26" s="254"/>
      <c r="F26" s="255"/>
      <c r="G26" s="255"/>
      <c r="H26" s="255"/>
      <c r="I26" s="228"/>
      <c r="J26"/>
      <c r="K26" s="65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8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/>
      <c r="B27" s="227"/>
      <c r="C27" s="545"/>
      <c r="D27" s="254" t="s">
        <v>500</v>
      </c>
      <c r="E27" s="254"/>
      <c r="F27" s="255"/>
      <c r="G27" s="255"/>
      <c r="H27" s="255"/>
      <c r="I27" s="228"/>
      <c r="J27"/>
      <c r="K27" s="65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8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227"/>
      <c r="C28" s="545"/>
      <c r="D28" s="254" t="s">
        <v>501</v>
      </c>
      <c r="E28" s="254"/>
      <c r="F28" s="255">
        <v>59049.37</v>
      </c>
      <c r="G28" s="255">
        <v>-249000</v>
      </c>
      <c r="H28" s="255">
        <v>0</v>
      </c>
      <c r="I28" s="228"/>
      <c r="J28"/>
      <c r="K28" s="65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5">
      <c r="A29"/>
      <c r="B29" s="227"/>
      <c r="C29" s="542" t="s">
        <v>502</v>
      </c>
      <c r="D29" s="248"/>
      <c r="E29" s="543"/>
      <c r="F29" s="249">
        <f>SUM(F30:F35)</f>
        <v>450139.03</v>
      </c>
      <c r="G29" s="249">
        <f>SUM(G30:G35)</f>
        <v>201087.48000000027</v>
      </c>
      <c r="H29" s="249">
        <f>SUM(H30:H35)</f>
        <v>10289.369999999646</v>
      </c>
      <c r="I29" s="228"/>
      <c r="J29"/>
      <c r="K29" s="65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/>
      <c r="B30" s="227"/>
      <c r="C30" s="545"/>
      <c r="D30" s="254" t="s">
        <v>503</v>
      </c>
      <c r="E30" s="254"/>
      <c r="F30" s="255">
        <v>83446.5</v>
      </c>
      <c r="G30" s="255">
        <v>0</v>
      </c>
      <c r="H30" s="255">
        <v>0</v>
      </c>
      <c r="I30" s="228"/>
      <c r="J30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3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/>
      <c r="B31" s="227"/>
      <c r="C31" s="545"/>
      <c r="D31" s="254" t="s">
        <v>504</v>
      </c>
      <c r="E31" s="254"/>
      <c r="F31" s="255">
        <v>70694.81</v>
      </c>
      <c r="G31" s="255">
        <f>-((1450000+11000+7500+27000+572082.38-500000)-(500000+1235903.02+10955.06+5745.8+25094+4936805.21-3911560.05-1000000-203122.63))</f>
        <v>32238.030000000261</v>
      </c>
      <c r="H31" s="255">
        <f>-((1600000+11000+7500+27000+72082.38)-(1450000+11000+7500+27000+572082.38-500000))</f>
        <v>-150000</v>
      </c>
      <c r="I31" s="228"/>
      <c r="J31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3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227"/>
      <c r="C32" s="545"/>
      <c r="D32" s="254" t="s">
        <v>505</v>
      </c>
      <c r="E32" s="254"/>
      <c r="F32" s="255">
        <v>-7999.11</v>
      </c>
      <c r="G32" s="255">
        <v>-240.8</v>
      </c>
      <c r="H32" s="255">
        <v>0</v>
      </c>
      <c r="I32" s="228"/>
      <c r="J32"/>
      <c r="K32" s="65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227"/>
      <c r="C33" s="545"/>
      <c r="D33" s="254" t="s">
        <v>506</v>
      </c>
      <c r="E33" s="254"/>
      <c r="F33" s="255">
        <v>302920.34000000003</v>
      </c>
      <c r="G33" s="255">
        <f>2622900.96-2453810.71</f>
        <v>169090.25</v>
      </c>
      <c r="H33" s="960">
        <f>(3095006.03-311815.7)-2622900.96</f>
        <v>160289.36999999965</v>
      </c>
      <c r="I33" s="228"/>
      <c r="J33"/>
      <c r="K33" s="65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8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227"/>
      <c r="C34" s="545"/>
      <c r="D34" s="254" t="s">
        <v>507</v>
      </c>
      <c r="E34" s="254"/>
      <c r="F34" s="255">
        <v>1076.49</v>
      </c>
      <c r="G34" s="255"/>
      <c r="H34" s="960"/>
      <c r="I34" s="228"/>
      <c r="J34"/>
      <c r="K34" s="65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227"/>
      <c r="C35" s="545"/>
      <c r="D35" s="254" t="s">
        <v>508</v>
      </c>
      <c r="E35" s="254"/>
      <c r="F35" s="255"/>
      <c r="G35" s="255"/>
      <c r="H35" s="960"/>
      <c r="I35" s="228"/>
      <c r="J35"/>
      <c r="K35" s="65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8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5">
      <c r="A36"/>
      <c r="B36" s="227"/>
      <c r="C36" s="542" t="s">
        <v>509</v>
      </c>
      <c r="D36" s="248"/>
      <c r="E36" s="543"/>
      <c r="F36" s="249">
        <f>SUM(F37:F41)</f>
        <v>6958.6399999999994</v>
      </c>
      <c r="G36" s="249">
        <f>SUM(G37:G41)</f>
        <v>2195.0300000000002</v>
      </c>
      <c r="H36" s="971">
        <f>SUM(H37:H41)</f>
        <v>2195.0300000000002</v>
      </c>
      <c r="I36" s="228"/>
      <c r="J36"/>
      <c r="K36" s="94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227"/>
      <c r="C37" s="545"/>
      <c r="D37" s="254" t="s">
        <v>510</v>
      </c>
      <c r="E37" s="254"/>
      <c r="F37" s="255">
        <v>-278.49</v>
      </c>
      <c r="G37" s="255">
        <v>-92.83</v>
      </c>
      <c r="H37" s="960">
        <v>-92.83</v>
      </c>
      <c r="I37" s="228"/>
      <c r="J37"/>
      <c r="K37" s="94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6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/>
      <c r="B38" s="227"/>
      <c r="C38" s="545"/>
      <c r="D38" s="254" t="s">
        <v>511</v>
      </c>
      <c r="E38" s="254"/>
      <c r="F38" s="255"/>
      <c r="G38" s="255"/>
      <c r="H38" s="960"/>
      <c r="I38" s="228"/>
      <c r="J38"/>
      <c r="K38" s="94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6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227"/>
      <c r="C39" s="545"/>
      <c r="D39" s="254" t="s">
        <v>512</v>
      </c>
      <c r="E39" s="254"/>
      <c r="F39" s="255">
        <v>4251.24</v>
      </c>
      <c r="G39" s="255">
        <v>2287.86</v>
      </c>
      <c r="H39" s="960">
        <v>2287.86</v>
      </c>
      <c r="I39" s="228"/>
      <c r="J39"/>
      <c r="K39" s="94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6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/>
      <c r="B40" s="227"/>
      <c r="C40" s="545"/>
      <c r="D40" s="254" t="s">
        <v>513</v>
      </c>
      <c r="E40" s="254"/>
      <c r="F40" s="255"/>
      <c r="G40" s="255"/>
      <c r="H40" s="960"/>
      <c r="I40" s="228"/>
      <c r="J40"/>
      <c r="K40" s="94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6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227"/>
      <c r="C41" s="545"/>
      <c r="D41" s="254" t="s">
        <v>514</v>
      </c>
      <c r="E41" s="254"/>
      <c r="F41" s="255">
        <v>2985.89</v>
      </c>
      <c r="G41" s="255"/>
      <c r="H41" s="960"/>
      <c r="I41" s="228"/>
      <c r="J41"/>
      <c r="K41" s="94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6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3">
      <c r="A42"/>
      <c r="B42" s="227"/>
      <c r="C42" s="546" t="s">
        <v>515</v>
      </c>
      <c r="D42" s="259"/>
      <c r="E42" s="259"/>
      <c r="F42" s="277">
        <f>F16+F17+F29+F36</f>
        <v>162700.61000000092</v>
      </c>
      <c r="G42" s="277">
        <f>G16+G17+G29+G36</f>
        <v>-702925.9599999995</v>
      </c>
      <c r="H42" s="972">
        <f>H16+H17+H29+H36</f>
        <v>-829187.35000000033</v>
      </c>
      <c r="I42" s="228"/>
      <c r="J42"/>
      <c r="K42" s="94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6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 s="227"/>
      <c r="C43" s="545"/>
      <c r="D43" s="3"/>
      <c r="E43" s="3"/>
      <c r="F43" s="520"/>
      <c r="G43" s="520"/>
      <c r="H43" s="973"/>
      <c r="I43" s="228"/>
      <c r="J43"/>
      <c r="K43" s="94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5">
      <c r="A44"/>
      <c r="B44" s="227"/>
      <c r="C44" s="540" t="s">
        <v>516</v>
      </c>
      <c r="D44" s="245"/>
      <c r="E44" s="541"/>
      <c r="F44" s="520"/>
      <c r="G44" s="520"/>
      <c r="H44" s="973"/>
      <c r="I44" s="228"/>
      <c r="J44"/>
      <c r="K44" s="94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5">
      <c r="A45"/>
      <c r="B45" s="227"/>
      <c r="C45" s="542" t="s">
        <v>517</v>
      </c>
      <c r="D45" s="248"/>
      <c r="E45" s="543"/>
      <c r="F45" s="249">
        <f>SUM(F46:F53)</f>
        <v>-1742744.51</v>
      </c>
      <c r="G45" s="249">
        <f>SUM(G46:G53)</f>
        <v>-963284.04</v>
      </c>
      <c r="H45" s="971">
        <f>SUM(H46:H53)</f>
        <v>-453294.57999999996</v>
      </c>
      <c r="I45" s="228"/>
      <c r="J45"/>
      <c r="K45" s="94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6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227"/>
      <c r="C46" s="545"/>
      <c r="D46" s="254" t="s">
        <v>518</v>
      </c>
      <c r="E46" s="254"/>
      <c r="F46" s="255"/>
      <c r="G46" s="255"/>
      <c r="H46" s="960"/>
      <c r="I46" s="228"/>
      <c r="J46"/>
      <c r="K46" s="94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">
      <c r="A47"/>
      <c r="B47" s="227"/>
      <c r="C47" s="545"/>
      <c r="D47" s="254" t="s">
        <v>519</v>
      </c>
      <c r="E47" s="254"/>
      <c r="F47" s="255">
        <v>-41442.370000000003</v>
      </c>
      <c r="G47" s="255">
        <v>-27010.02</v>
      </c>
      <c r="H47" s="960">
        <v>-45000</v>
      </c>
      <c r="I47" s="228"/>
      <c r="J47"/>
      <c r="K47" s="94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6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">
      <c r="A48"/>
      <c r="B48" s="227"/>
      <c r="C48" s="545"/>
      <c r="D48" s="254" t="s">
        <v>520</v>
      </c>
      <c r="E48" s="254"/>
      <c r="F48" s="255">
        <v>-1699778.14</v>
      </c>
      <c r="G48" s="255">
        <v>-936260.02</v>
      </c>
      <c r="H48" s="960">
        <f>-198294.58-60000-150000</f>
        <v>-408294.57999999996</v>
      </c>
      <c r="I48" s="228"/>
      <c r="J48"/>
      <c r="K48" s="94"/>
      <c r="L48" s="473"/>
      <c r="M48" s="473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6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">
      <c r="A49"/>
      <c r="B49" s="227"/>
      <c r="C49" s="545"/>
      <c r="D49" s="254" t="s">
        <v>521</v>
      </c>
      <c r="E49" s="254"/>
      <c r="F49" s="255"/>
      <c r="G49" s="255"/>
      <c r="H49" s="255"/>
      <c r="I49" s="228"/>
      <c r="J49"/>
      <c r="K49" s="94"/>
      <c r="L49" s="473"/>
      <c r="M49" s="473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6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2.9" customHeight="1" x14ac:dyDescent="0.2">
      <c r="A50"/>
      <c r="B50" s="227"/>
      <c r="C50" s="545"/>
      <c r="D50" s="254" t="s">
        <v>522</v>
      </c>
      <c r="E50" s="254"/>
      <c r="F50" s="255">
        <v>-1524</v>
      </c>
      <c r="G50" s="255">
        <v>-14</v>
      </c>
      <c r="H50" s="255">
        <v>0</v>
      </c>
      <c r="I50" s="228"/>
      <c r="J50"/>
      <c r="K50" s="94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6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2.9" customHeight="1" x14ac:dyDescent="0.2">
      <c r="A51"/>
      <c r="B51" s="227"/>
      <c r="C51" s="545"/>
      <c r="D51" s="254" t="s">
        <v>523</v>
      </c>
      <c r="E51" s="254"/>
      <c r="F51" s="255"/>
      <c r="G51" s="255"/>
      <c r="H51" s="255"/>
      <c r="I51" s="228"/>
      <c r="J51"/>
      <c r="K51" s="94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6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257" customFormat="1" ht="22.9" customHeight="1" x14ac:dyDescent="0.25">
      <c r="B52" s="36"/>
      <c r="C52" s="545"/>
      <c r="D52" s="254" t="s">
        <v>524</v>
      </c>
      <c r="E52" s="254"/>
      <c r="F52" s="255"/>
      <c r="G52" s="255"/>
      <c r="H52" s="255"/>
      <c r="I52" s="232"/>
      <c r="K52" s="94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6"/>
    </row>
    <row r="53" spans="1:256" ht="22.9" customHeight="1" x14ac:dyDescent="0.2">
      <c r="B53" s="227"/>
      <c r="C53" s="545"/>
      <c r="D53" s="254" t="s">
        <v>525</v>
      </c>
      <c r="E53" s="254"/>
      <c r="F53" s="255"/>
      <c r="G53" s="255"/>
      <c r="H53" s="255"/>
      <c r="I53" s="228"/>
      <c r="K53" s="94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6"/>
    </row>
    <row r="54" spans="1:256" ht="22.9" customHeight="1" x14ac:dyDescent="0.25">
      <c r="B54" s="227"/>
      <c r="C54" s="542" t="s">
        <v>526</v>
      </c>
      <c r="D54" s="248"/>
      <c r="E54" s="543"/>
      <c r="F54" s="249">
        <f>SUM(F55:F62)</f>
        <v>940</v>
      </c>
      <c r="G54" s="249">
        <f>SUM(G55:G62)</f>
        <v>0</v>
      </c>
      <c r="H54" s="249">
        <f>SUM(H55:H62)</f>
        <v>0</v>
      </c>
      <c r="I54" s="228"/>
      <c r="K54" s="94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6"/>
    </row>
    <row r="55" spans="1:256" ht="22.9" customHeight="1" x14ac:dyDescent="0.2">
      <c r="B55" s="227"/>
      <c r="C55" s="545"/>
      <c r="D55" s="254" t="s">
        <v>518</v>
      </c>
      <c r="E55" s="254"/>
      <c r="F55" s="255"/>
      <c r="G55" s="255"/>
      <c r="H55" s="255"/>
      <c r="I55" s="228"/>
      <c r="K55" s="94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6"/>
    </row>
    <row r="56" spans="1:256" ht="22.9" customHeight="1" x14ac:dyDescent="0.2">
      <c r="B56" s="227"/>
      <c r="C56" s="545"/>
      <c r="D56" s="254" t="s">
        <v>519</v>
      </c>
      <c r="E56" s="254"/>
      <c r="F56" s="255"/>
      <c r="G56" s="255"/>
      <c r="H56" s="255"/>
      <c r="I56" s="228"/>
      <c r="K56" s="94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6"/>
    </row>
    <row r="57" spans="1:256" ht="22.9" customHeight="1" x14ac:dyDescent="0.2">
      <c r="B57" s="227"/>
      <c r="C57" s="545"/>
      <c r="D57" s="254" t="s">
        <v>520</v>
      </c>
      <c r="E57" s="254"/>
      <c r="F57" s="255"/>
      <c r="G57" s="255"/>
      <c r="H57" s="255"/>
      <c r="I57" s="228"/>
      <c r="K57" s="94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6"/>
    </row>
    <row r="58" spans="1:256" ht="22.9" customHeight="1" x14ac:dyDescent="0.2">
      <c r="B58" s="227"/>
      <c r="C58" s="545"/>
      <c r="D58" s="254" t="s">
        <v>521</v>
      </c>
      <c r="E58" s="254"/>
      <c r="F58" s="255"/>
      <c r="G58" s="255"/>
      <c r="H58" s="255"/>
      <c r="I58" s="228"/>
      <c r="K58" s="94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6"/>
    </row>
    <row r="59" spans="1:256" ht="22.9" customHeight="1" x14ac:dyDescent="0.2">
      <c r="B59" s="227"/>
      <c r="C59" s="545"/>
      <c r="D59" s="254" t="s">
        <v>522</v>
      </c>
      <c r="E59" s="254"/>
      <c r="F59" s="255">
        <v>940</v>
      </c>
      <c r="G59" s="255">
        <v>0</v>
      </c>
      <c r="H59" s="255">
        <v>0</v>
      </c>
      <c r="I59" s="228"/>
      <c r="K59" s="94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6"/>
    </row>
    <row r="60" spans="1:256" ht="22.9" customHeight="1" x14ac:dyDescent="0.2">
      <c r="B60" s="227"/>
      <c r="C60" s="545"/>
      <c r="D60" s="254" t="s">
        <v>523</v>
      </c>
      <c r="E60" s="254"/>
      <c r="F60" s="255"/>
      <c r="G60" s="255"/>
      <c r="H60" s="255"/>
      <c r="I60" s="228"/>
      <c r="K60" s="94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6"/>
    </row>
    <row r="61" spans="1:256" ht="22.9" customHeight="1" x14ac:dyDescent="0.2">
      <c r="B61" s="227"/>
      <c r="C61" s="545"/>
      <c r="D61" s="254" t="s">
        <v>524</v>
      </c>
      <c r="E61" s="254"/>
      <c r="F61" s="255"/>
      <c r="G61" s="255"/>
      <c r="H61" s="255"/>
      <c r="I61" s="228"/>
      <c r="K61" s="94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6"/>
    </row>
    <row r="62" spans="1:256" ht="22.9" customHeight="1" x14ac:dyDescent="0.2">
      <c r="B62" s="227"/>
      <c r="C62" s="545"/>
      <c r="D62" s="254" t="s">
        <v>525</v>
      </c>
      <c r="E62" s="254"/>
      <c r="F62" s="255"/>
      <c r="G62" s="255"/>
      <c r="H62" s="255"/>
      <c r="I62" s="228"/>
      <c r="K62" s="94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6"/>
    </row>
    <row r="63" spans="1:256" ht="22.9" customHeight="1" x14ac:dyDescent="0.3">
      <c r="B63" s="227"/>
      <c r="C63" s="546" t="s">
        <v>527</v>
      </c>
      <c r="D63" s="259"/>
      <c r="E63" s="259"/>
      <c r="F63" s="277">
        <f>F45+F54</f>
        <v>-1741804.51</v>
      </c>
      <c r="G63" s="277">
        <f>G45+G54</f>
        <v>-963284.04</v>
      </c>
      <c r="H63" s="277">
        <f>H45+H54</f>
        <v>-453294.57999999996</v>
      </c>
      <c r="I63" s="228"/>
      <c r="K63" s="94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6"/>
    </row>
    <row r="64" spans="1:256" ht="22.9" customHeight="1" x14ac:dyDescent="0.2">
      <c r="B64" s="227"/>
      <c r="C64" s="545"/>
      <c r="D64" s="3"/>
      <c r="E64" s="3"/>
      <c r="F64" s="520"/>
      <c r="G64" s="520"/>
      <c r="H64" s="520"/>
      <c r="I64" s="228"/>
      <c r="K64" s="94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6"/>
    </row>
    <row r="65" spans="2:24" ht="22.9" customHeight="1" x14ac:dyDescent="0.25">
      <c r="B65" s="227"/>
      <c r="C65" s="540" t="s">
        <v>528</v>
      </c>
      <c r="D65" s="245"/>
      <c r="E65" s="541"/>
      <c r="F65" s="520"/>
      <c r="G65" s="520"/>
      <c r="H65" s="520"/>
      <c r="I65" s="228"/>
      <c r="K65" s="94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6"/>
    </row>
    <row r="66" spans="2:24" ht="22.9" customHeight="1" x14ac:dyDescent="0.25">
      <c r="B66" s="227"/>
      <c r="C66" s="542" t="s">
        <v>529</v>
      </c>
      <c r="D66" s="248"/>
      <c r="E66" s="543"/>
      <c r="F66" s="249">
        <f>SUM(F67:F71)</f>
        <v>2201532.29</v>
      </c>
      <c r="G66" s="249">
        <f>SUM(G67:G71)</f>
        <v>2336095.02</v>
      </c>
      <c r="H66" s="249">
        <f>SUM(H67:H71)</f>
        <v>1682481.9299999997</v>
      </c>
      <c r="I66" s="228"/>
      <c r="K66" s="94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6"/>
    </row>
    <row r="67" spans="2:24" ht="22.9" customHeight="1" x14ac:dyDescent="0.2">
      <c r="B67" s="227"/>
      <c r="C67" s="545"/>
      <c r="D67" s="254" t="s">
        <v>530</v>
      </c>
      <c r="E67" s="254"/>
      <c r="F67" s="255"/>
      <c r="G67" s="255"/>
      <c r="H67" s="255"/>
      <c r="I67" s="228"/>
      <c r="K67" s="94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6"/>
    </row>
    <row r="68" spans="2:24" ht="22.9" customHeight="1" x14ac:dyDescent="0.2">
      <c r="B68" s="227"/>
      <c r="C68" s="545"/>
      <c r="D68" s="254" t="s">
        <v>531</v>
      </c>
      <c r="E68" s="254"/>
      <c r="F68" s="255"/>
      <c r="G68" s="255"/>
      <c r="H68" s="255"/>
      <c r="I68" s="228"/>
      <c r="K68" s="94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6"/>
    </row>
    <row r="69" spans="2:24" ht="22.9" customHeight="1" x14ac:dyDescent="0.2">
      <c r="B69" s="227"/>
      <c r="C69" s="545"/>
      <c r="D69" s="254" t="s">
        <v>532</v>
      </c>
      <c r="E69" s="254"/>
      <c r="F69" s="255"/>
      <c r="G69" s="255"/>
      <c r="H69" s="255"/>
      <c r="I69" s="228"/>
      <c r="K69" s="94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6"/>
    </row>
    <row r="70" spans="2:24" ht="22.9" customHeight="1" x14ac:dyDescent="0.2">
      <c r="B70" s="227"/>
      <c r="C70" s="545"/>
      <c r="D70" s="254" t="s">
        <v>533</v>
      </c>
      <c r="E70" s="254"/>
      <c r="F70" s="255"/>
      <c r="G70" s="255"/>
      <c r="H70" s="255"/>
      <c r="I70" s="228"/>
      <c r="K70" s="94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6"/>
    </row>
    <row r="71" spans="2:24" ht="22.9" customHeight="1" x14ac:dyDescent="0.2">
      <c r="B71" s="227"/>
      <c r="C71" s="545"/>
      <c r="D71" s="254" t="s">
        <v>534</v>
      </c>
      <c r="E71" s="254"/>
      <c r="F71" s="255">
        <f>1466333.81+735198.48</f>
        <v>2201532.29</v>
      </c>
      <c r="G71" s="255">
        <f>500000+203122.63+403449+300000+14860.59+665662.8+249000</f>
        <v>2336095.02</v>
      </c>
      <c r="H71" s="960">
        <f>500000+617371.65+15761.13+27533.45+150000+60000+311815.7</f>
        <v>1682481.9299999997</v>
      </c>
      <c r="I71" s="228"/>
      <c r="K71" s="94"/>
      <c r="L71" s="473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6"/>
    </row>
    <row r="72" spans="2:24" ht="22.9" customHeight="1" x14ac:dyDescent="0.25">
      <c r="B72" s="227"/>
      <c r="C72" s="542" t="s">
        <v>535</v>
      </c>
      <c r="D72" s="248"/>
      <c r="E72" s="543"/>
      <c r="F72" s="249">
        <f>+F73+F79</f>
        <v>-266814.37</v>
      </c>
      <c r="G72" s="249">
        <f>+G73+G79</f>
        <v>-650633.17000000004</v>
      </c>
      <c r="H72" s="249">
        <f>+H73+H79</f>
        <v>-450000</v>
      </c>
      <c r="I72" s="228"/>
      <c r="K72" s="94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6"/>
    </row>
    <row r="73" spans="2:24" ht="22.9" customHeight="1" x14ac:dyDescent="0.2">
      <c r="B73" s="227"/>
      <c r="C73" s="545"/>
      <c r="D73" s="254" t="s">
        <v>536</v>
      </c>
      <c r="E73" s="254"/>
      <c r="F73" s="523">
        <f>SUM(F74:F78)</f>
        <v>253704.29</v>
      </c>
      <c r="G73" s="523">
        <f>SUM(G74:G78)</f>
        <v>52489.459999999963</v>
      </c>
      <c r="H73" s="523">
        <f>SUM(H74:H78)</f>
        <v>50000</v>
      </c>
      <c r="I73" s="228"/>
      <c r="K73" s="94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6"/>
    </row>
    <row r="74" spans="2:24" ht="22.9" customHeight="1" x14ac:dyDescent="0.2">
      <c r="B74" s="227"/>
      <c r="C74" s="547"/>
      <c r="D74" s="478"/>
      <c r="E74" s="478" t="s">
        <v>537</v>
      </c>
      <c r="F74" s="525"/>
      <c r="G74" s="525"/>
      <c r="H74" s="525"/>
      <c r="I74" s="228"/>
      <c r="K74" s="94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6"/>
    </row>
    <row r="75" spans="2:24" ht="22.9" customHeight="1" x14ac:dyDescent="0.2">
      <c r="B75" s="227"/>
      <c r="C75" s="547"/>
      <c r="D75" s="478"/>
      <c r="E75" s="478" t="s">
        <v>538</v>
      </c>
      <c r="F75" s="525"/>
      <c r="G75" s="525"/>
      <c r="H75" s="525"/>
      <c r="I75" s="228"/>
      <c r="K75" s="94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6"/>
    </row>
    <row r="76" spans="2:24" ht="22.9" customHeight="1" x14ac:dyDescent="0.2">
      <c r="B76" s="227"/>
      <c r="C76" s="547"/>
      <c r="D76" s="478"/>
      <c r="E76" s="478" t="s">
        <v>539</v>
      </c>
      <c r="F76" s="525"/>
      <c r="G76" s="525"/>
      <c r="H76" s="525"/>
      <c r="I76" s="228"/>
      <c r="K76" s="94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6"/>
    </row>
    <row r="77" spans="2:24" ht="22.9" customHeight="1" x14ac:dyDescent="0.2">
      <c r="B77" s="227"/>
      <c r="C77" s="547"/>
      <c r="D77" s="478"/>
      <c r="E77" s="478" t="s">
        <v>540</v>
      </c>
      <c r="F77" s="525"/>
      <c r="G77" s="525"/>
      <c r="H77" s="525"/>
      <c r="I77" s="228"/>
      <c r="K77" s="94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6"/>
    </row>
    <row r="78" spans="2:24" ht="22.9" customHeight="1" x14ac:dyDescent="0.2">
      <c r="B78" s="227"/>
      <c r="C78" s="547"/>
      <c r="D78" s="478"/>
      <c r="E78" s="478" t="s">
        <v>541</v>
      </c>
      <c r="F78" s="525">
        <v>253704.29</v>
      </c>
      <c r="G78" s="525">
        <f>910000-(1357510.54-500000)</f>
        <v>52489.459999999963</v>
      </c>
      <c r="H78" s="525">
        <f>960000-910000</f>
        <v>50000</v>
      </c>
      <c r="I78" s="228"/>
      <c r="K78" s="94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6"/>
    </row>
    <row r="79" spans="2:24" ht="22.9" customHeight="1" x14ac:dyDescent="0.2">
      <c r="B79" s="227"/>
      <c r="C79" s="545"/>
      <c r="D79" s="267" t="s">
        <v>542</v>
      </c>
      <c r="E79" s="267"/>
      <c r="F79" s="268">
        <f>SUM(F80:F84)</f>
        <v>-520518.66</v>
      </c>
      <c r="G79" s="268">
        <f>SUM(G80:G84)</f>
        <v>-703122.63</v>
      </c>
      <c r="H79" s="268">
        <f>SUM(H80:H84)</f>
        <v>-500000</v>
      </c>
      <c r="I79" s="228"/>
      <c r="K79" s="94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6"/>
    </row>
    <row r="80" spans="2:24" ht="22.9" customHeight="1" x14ac:dyDescent="0.2">
      <c r="B80" s="227"/>
      <c r="C80" s="547"/>
      <c r="D80" s="478"/>
      <c r="E80" s="478" t="s">
        <v>543</v>
      </c>
      <c r="F80" s="525"/>
      <c r="G80" s="525"/>
      <c r="H80" s="525"/>
      <c r="I80" s="228"/>
      <c r="K80" s="94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6"/>
    </row>
    <row r="81" spans="2:24" ht="22.9" customHeight="1" x14ac:dyDescent="0.2">
      <c r="B81" s="227"/>
      <c r="C81" s="547"/>
      <c r="D81" s="478"/>
      <c r="E81" s="478" t="s">
        <v>544</v>
      </c>
      <c r="F81" s="525"/>
      <c r="G81" s="525"/>
      <c r="H81" s="525"/>
      <c r="I81" s="228"/>
      <c r="K81" s="94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6"/>
    </row>
    <row r="82" spans="2:24" ht="22.9" customHeight="1" x14ac:dyDescent="0.2">
      <c r="B82" s="227"/>
      <c r="C82" s="547"/>
      <c r="D82" s="478"/>
      <c r="E82" s="478" t="s">
        <v>545</v>
      </c>
      <c r="F82" s="525"/>
      <c r="G82" s="525"/>
      <c r="H82" s="525"/>
      <c r="I82" s="228"/>
      <c r="K82" s="94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6"/>
    </row>
    <row r="83" spans="2:24" ht="22.9" customHeight="1" x14ac:dyDescent="0.2">
      <c r="B83" s="227"/>
      <c r="C83" s="547"/>
      <c r="D83" s="478"/>
      <c r="E83" s="478" t="s">
        <v>546</v>
      </c>
      <c r="F83" s="525"/>
      <c r="G83" s="525"/>
      <c r="H83" s="525"/>
      <c r="I83" s="228"/>
      <c r="K83" s="94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6"/>
    </row>
    <row r="84" spans="2:24" ht="22.9" customHeight="1" x14ac:dyDescent="0.2">
      <c r="B84" s="227"/>
      <c r="C84" s="547"/>
      <c r="D84" s="478"/>
      <c r="E84" s="478" t="s">
        <v>547</v>
      </c>
      <c r="F84" s="525">
        <v>-520518.66</v>
      </c>
      <c r="G84" s="525">
        <f>-500000-203122.63</f>
        <v>-703122.63</v>
      </c>
      <c r="H84" s="525">
        <v>-500000</v>
      </c>
      <c r="I84" s="228"/>
      <c r="K84" s="94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6"/>
    </row>
    <row r="85" spans="2:24" ht="22.9" customHeight="1" x14ac:dyDescent="0.25">
      <c r="B85" s="227"/>
      <c r="C85" s="542" t="s">
        <v>548</v>
      </c>
      <c r="D85" s="248"/>
      <c r="E85" s="543"/>
      <c r="F85" s="249">
        <f>+SUM(F86:F87)</f>
        <v>0</v>
      </c>
      <c r="G85" s="249">
        <f>+SUM(G86:G87)</f>
        <v>0</v>
      </c>
      <c r="H85" s="249">
        <f>+SUM(H86:H87)</f>
        <v>0</v>
      </c>
      <c r="I85" s="228"/>
      <c r="K85" s="94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6"/>
    </row>
    <row r="86" spans="2:24" ht="22.9" customHeight="1" x14ac:dyDescent="0.2">
      <c r="B86" s="227"/>
      <c r="C86" s="545"/>
      <c r="D86" s="254" t="s">
        <v>549</v>
      </c>
      <c r="E86" s="254"/>
      <c r="F86" s="255"/>
      <c r="G86" s="255"/>
      <c r="H86" s="255"/>
      <c r="I86" s="228"/>
      <c r="K86" s="94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6"/>
    </row>
    <row r="87" spans="2:24" ht="22.9" customHeight="1" x14ac:dyDescent="0.2">
      <c r="B87" s="227"/>
      <c r="C87" s="545"/>
      <c r="D87" s="254" t="s">
        <v>550</v>
      </c>
      <c r="E87" s="254"/>
      <c r="F87" s="255"/>
      <c r="G87" s="255"/>
      <c r="H87" s="255"/>
      <c r="I87" s="228"/>
      <c r="K87" s="94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6"/>
    </row>
    <row r="88" spans="2:24" ht="22.9" customHeight="1" x14ac:dyDescent="0.3">
      <c r="B88" s="227"/>
      <c r="C88" s="546" t="s">
        <v>551</v>
      </c>
      <c r="D88" s="259"/>
      <c r="E88" s="259"/>
      <c r="F88" s="277">
        <f>+F66+F72+F85</f>
        <v>1934717.92</v>
      </c>
      <c r="G88" s="277">
        <f>+G66+G72+G85</f>
        <v>1685461.85</v>
      </c>
      <c r="H88" s="277">
        <f>+H66+H72+H85</f>
        <v>1232481.9299999997</v>
      </c>
      <c r="I88" s="228"/>
      <c r="K88" s="94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6"/>
    </row>
    <row r="89" spans="2:24" ht="22.9" customHeight="1" x14ac:dyDescent="0.2">
      <c r="B89" s="227"/>
      <c r="C89" s="545"/>
      <c r="D89" s="3"/>
      <c r="E89" s="3"/>
      <c r="F89" s="520"/>
      <c r="G89" s="520"/>
      <c r="H89" s="520"/>
      <c r="I89" s="228"/>
      <c r="K89" s="94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6"/>
    </row>
    <row r="90" spans="2:24" ht="22.9" customHeight="1" x14ac:dyDescent="0.3">
      <c r="B90" s="227"/>
      <c r="C90" s="546" t="s">
        <v>552</v>
      </c>
      <c r="D90" s="259"/>
      <c r="E90" s="259"/>
      <c r="F90" s="277">
        <v>0</v>
      </c>
      <c r="G90" s="277">
        <v>0</v>
      </c>
      <c r="H90" s="277">
        <v>0</v>
      </c>
      <c r="I90" s="228"/>
      <c r="K90" s="94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6"/>
    </row>
    <row r="91" spans="2:24" ht="22.9" customHeight="1" x14ac:dyDescent="0.2">
      <c r="B91" s="227"/>
      <c r="C91" s="545"/>
      <c r="D91" s="3"/>
      <c r="E91" s="3"/>
      <c r="F91" s="520"/>
      <c r="G91" s="520"/>
      <c r="H91" s="520"/>
      <c r="I91" s="228"/>
      <c r="K91" s="94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6"/>
    </row>
    <row r="92" spans="2:24" ht="22.9" customHeight="1" x14ac:dyDescent="0.3">
      <c r="B92" s="227"/>
      <c r="C92" s="546" t="s">
        <v>553</v>
      </c>
      <c r="D92" s="259"/>
      <c r="E92" s="259"/>
      <c r="F92" s="277">
        <f>+F42+F63+F88+F90</f>
        <v>355614.02000000095</v>
      </c>
      <c r="G92" s="277">
        <f>+G42+G63+G88+G90</f>
        <v>19251.850000000559</v>
      </c>
      <c r="H92" s="277">
        <f>+H42+H63+H88+H90</f>
        <v>-50000.000000000466</v>
      </c>
      <c r="I92" s="228"/>
      <c r="K92" s="94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6"/>
    </row>
    <row r="93" spans="2:24" ht="22.9" customHeight="1" x14ac:dyDescent="0.2">
      <c r="B93" s="227"/>
      <c r="F93" s="2"/>
      <c r="G93" s="2"/>
      <c r="H93" s="2"/>
      <c r="I93" s="228"/>
      <c r="K93" s="94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6"/>
    </row>
    <row r="94" spans="2:24" ht="22.9" customHeight="1" x14ac:dyDescent="0.3">
      <c r="B94" s="227"/>
      <c r="C94" s="548" t="s">
        <v>554</v>
      </c>
      <c r="D94" s="549"/>
      <c r="E94" s="549"/>
      <c r="F94" s="550">
        <v>475134.13</v>
      </c>
      <c r="G94" s="551">
        <f>+F95</f>
        <v>830748.15</v>
      </c>
      <c r="H94" s="551">
        <f>+G95</f>
        <v>850000</v>
      </c>
      <c r="I94" s="228"/>
      <c r="K94" s="94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6"/>
    </row>
    <row r="95" spans="2:24" ht="22.9" customHeight="1" x14ac:dyDescent="0.3">
      <c r="B95" s="227"/>
      <c r="C95" s="546" t="s">
        <v>555</v>
      </c>
      <c r="D95" s="259"/>
      <c r="E95" s="259"/>
      <c r="F95" s="277">
        <f>'FC-4_ACTIVO'!E90</f>
        <v>830748.15</v>
      </c>
      <c r="G95" s="277">
        <f>+'FC-4_ACTIVO'!F90</f>
        <v>850000</v>
      </c>
      <c r="H95" s="277">
        <f>+'FC-4_ACTIVO'!G90</f>
        <v>800000</v>
      </c>
      <c r="I95" s="228"/>
      <c r="K95" s="94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6"/>
    </row>
    <row r="96" spans="2:24" ht="22.9" customHeight="1" x14ac:dyDescent="0.3">
      <c r="B96" s="227"/>
      <c r="C96" s="552"/>
      <c r="D96" s="553"/>
      <c r="E96" s="553"/>
      <c r="F96" s="554"/>
      <c r="G96" s="554"/>
      <c r="H96" s="554"/>
      <c r="I96" s="228"/>
      <c r="K96" s="94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6"/>
    </row>
    <row r="97" spans="2:24" ht="22.9" customHeight="1" x14ac:dyDescent="0.3">
      <c r="B97" s="227"/>
      <c r="C97" s="555" t="s">
        <v>556</v>
      </c>
      <c r="D97" s="553"/>
      <c r="E97" s="553"/>
      <c r="F97" s="554"/>
      <c r="G97" s="554"/>
      <c r="H97" s="554"/>
      <c r="I97" s="228"/>
      <c r="K97" s="94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6"/>
    </row>
    <row r="98" spans="2:24" ht="22.9" customHeight="1" x14ac:dyDescent="0.3">
      <c r="B98" s="227"/>
      <c r="C98" s="556" t="s">
        <v>557</v>
      </c>
      <c r="D98" s="553"/>
      <c r="E98" s="553"/>
      <c r="F98" s="554"/>
      <c r="G98" s="554"/>
      <c r="H98" s="554"/>
      <c r="I98" s="228"/>
      <c r="K98" s="94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6"/>
    </row>
    <row r="99" spans="2:24" ht="22.9" customHeight="1" x14ac:dyDescent="0.3">
      <c r="B99" s="227"/>
      <c r="C99" s="552"/>
      <c r="D99" s="553"/>
      <c r="E99" s="553"/>
      <c r="F99" s="554"/>
      <c r="G99" s="554"/>
      <c r="H99" s="554"/>
      <c r="I99" s="228"/>
      <c r="K99" s="94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6"/>
    </row>
    <row r="100" spans="2:24" ht="22.9" customHeight="1" x14ac:dyDescent="0.2">
      <c r="B100" s="282"/>
      <c r="C100" s="996"/>
      <c r="D100" s="996"/>
      <c r="E100" s="996"/>
      <c r="F100" s="996"/>
      <c r="G100" s="996"/>
      <c r="H100" s="557"/>
      <c r="I100" s="285"/>
      <c r="K100" s="103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5"/>
    </row>
    <row r="101" spans="2:24" ht="22.9" customHeight="1" x14ac:dyDescent="0.2">
      <c r="C101" s="27"/>
      <c r="D101" s="27"/>
      <c r="E101" s="27"/>
      <c r="F101" s="530"/>
      <c r="G101" s="530"/>
      <c r="H101" s="530"/>
    </row>
    <row r="102" spans="2:24" ht="15" x14ac:dyDescent="0.2">
      <c r="C102" s="27" t="s">
        <v>55</v>
      </c>
      <c r="D102" s="27"/>
      <c r="E102" s="27"/>
      <c r="F102" s="530"/>
      <c r="G102" s="530"/>
      <c r="H102" s="558" t="s">
        <v>21</v>
      </c>
    </row>
    <row r="103" spans="2:24" ht="15" x14ac:dyDescent="0.2">
      <c r="C103" s="26" t="s">
        <v>57</v>
      </c>
      <c r="D103" s="27"/>
      <c r="E103" s="27"/>
      <c r="F103" s="530"/>
      <c r="G103" s="530"/>
      <c r="H103" s="530"/>
    </row>
    <row r="104" spans="2:24" ht="15" x14ac:dyDescent="0.2">
      <c r="C104" s="26" t="s">
        <v>58</v>
      </c>
      <c r="D104" s="27"/>
      <c r="E104" s="27"/>
      <c r="F104" s="530"/>
      <c r="G104" s="530"/>
      <c r="H104" s="530"/>
    </row>
    <row r="105" spans="2:24" ht="15" x14ac:dyDescent="0.2">
      <c r="C105" s="26" t="s">
        <v>59</v>
      </c>
      <c r="D105" s="27"/>
      <c r="E105" s="27"/>
      <c r="F105" s="530"/>
      <c r="G105" s="530"/>
      <c r="H105" s="530"/>
    </row>
    <row r="106" spans="2:24" ht="15" x14ac:dyDescent="0.2">
      <c r="C106" s="26" t="s">
        <v>60</v>
      </c>
      <c r="D106" s="27"/>
      <c r="E106" s="27"/>
      <c r="F106" s="530"/>
      <c r="G106" s="530"/>
      <c r="H106" s="530"/>
    </row>
  </sheetData>
  <sheetProtection password="E059" sheet="1" objects="1" scenarios="1"/>
  <mergeCells count="3">
    <mergeCell ref="H6:H7"/>
    <mergeCell ref="D9:H9"/>
    <mergeCell ref="C100:G100"/>
  </mergeCells>
  <phoneticPr fontId="36" type="noConversion"/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1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topLeftCell="A31" zoomScale="55" zoomScaleNormal="55" workbookViewId="0">
      <selection activeCell="L77" sqref="L77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45.44140625" style="22" customWidth="1"/>
    <col min="5" max="6" width="13.5546875" style="559" customWidth="1"/>
    <col min="7" max="8" width="16.77734375" style="559" customWidth="1"/>
    <col min="9" max="18" width="13.5546875" style="559" customWidth="1"/>
    <col min="19" max="19" width="3.21875" style="22" customWidth="1"/>
    <col min="20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3"/>
      <c r="T5"/>
      <c r="U5" s="62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4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981">
        <f>ejercicio</f>
        <v>2018</v>
      </c>
      <c r="S6" s="567"/>
      <c r="T6"/>
      <c r="U6" s="65"/>
      <c r="V6" s="66" t="s">
        <v>93</v>
      </c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8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981"/>
      <c r="S7" s="567"/>
      <c r="T7"/>
      <c r="U7" s="65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8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8"/>
      <c r="S8" s="567"/>
      <c r="T8"/>
      <c r="U8" s="65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570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1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7"/>
      <c r="T10"/>
      <c r="U10" s="65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8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558</v>
      </c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5"/>
      <c r="U11" s="72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4"/>
    </row>
    <row r="12" spans="1:256" ht="30" customHeight="1" x14ac:dyDescent="0.25">
      <c r="A12" s="571"/>
      <c r="B12" s="572"/>
      <c r="C12" s="576"/>
      <c r="D12" s="576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5"/>
      <c r="T12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4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578" customFormat="1" ht="19.149999999999999" customHeight="1" x14ac:dyDescent="0.2">
      <c r="B13" s="579"/>
      <c r="C13" s="580"/>
      <c r="D13" s="580"/>
      <c r="E13" s="580"/>
      <c r="F13" s="580"/>
      <c r="G13" s="580"/>
      <c r="H13" s="581" t="s">
        <v>559</v>
      </c>
      <c r="I13" s="1002" t="s">
        <v>560</v>
      </c>
      <c r="J13" s="1002"/>
      <c r="K13" s="1002"/>
      <c r="L13" s="1002"/>
      <c r="M13" s="1002"/>
      <c r="N13" s="582"/>
      <c r="O13" s="583"/>
      <c r="P13" s="584" t="s">
        <v>561</v>
      </c>
      <c r="Q13" s="585">
        <f>ejercicio-1</f>
        <v>2017</v>
      </c>
      <c r="R13" s="586" t="s">
        <v>562</v>
      </c>
      <c r="S13" s="587"/>
      <c r="U13" s="65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1:256" s="588" customFormat="1" ht="19.149999999999999" customHeight="1" x14ac:dyDescent="0.2">
      <c r="B14" s="579"/>
      <c r="C14" s="589"/>
      <c r="D14" s="589"/>
      <c r="E14" s="589"/>
      <c r="F14" s="589"/>
      <c r="G14" s="589"/>
      <c r="H14" s="590" t="s">
        <v>563</v>
      </c>
      <c r="I14" s="591"/>
      <c r="J14" s="592"/>
      <c r="K14" s="592"/>
      <c r="L14" s="592"/>
      <c r="M14" s="593"/>
      <c r="N14" s="591"/>
      <c r="O14" s="592"/>
      <c r="P14" s="592"/>
      <c r="Q14" s="592"/>
      <c r="R14" s="593"/>
      <c r="S14" s="587"/>
      <c r="U14" s="65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8"/>
    </row>
    <row r="15" spans="1:256" ht="19.149999999999999" customHeight="1" x14ac:dyDescent="0.2">
      <c r="A15" s="588"/>
      <c r="B15" s="579"/>
      <c r="C15" s="594" t="s">
        <v>564</v>
      </c>
      <c r="D15" s="594" t="s">
        <v>565</v>
      </c>
      <c r="E15" s="594" t="s">
        <v>566</v>
      </c>
      <c r="F15" s="594" t="s">
        <v>567</v>
      </c>
      <c r="G15" s="594" t="s">
        <v>568</v>
      </c>
      <c r="H15" s="594">
        <f>ejercicio-1</f>
        <v>2017</v>
      </c>
      <c r="I15" s="594">
        <f>+ejercicio</f>
        <v>2018</v>
      </c>
      <c r="J15" s="594">
        <f>ejercicio+1</f>
        <v>2019</v>
      </c>
      <c r="K15" s="594">
        <f>ejercicio+2</f>
        <v>2020</v>
      </c>
      <c r="L15" s="594">
        <f>ejercicio+3</f>
        <v>2021</v>
      </c>
      <c r="M15" s="594" t="s">
        <v>569</v>
      </c>
      <c r="N15" s="594">
        <f>+ejercicio</f>
        <v>2018</v>
      </c>
      <c r="O15" s="594">
        <f>ejercicio+1</f>
        <v>2019</v>
      </c>
      <c r="P15" s="594">
        <f>ejercicio+2</f>
        <v>2020</v>
      </c>
      <c r="Q15" s="594">
        <f>ejercicio+3</f>
        <v>2021</v>
      </c>
      <c r="R15" s="594" t="s">
        <v>569</v>
      </c>
      <c r="S15" s="587"/>
      <c r="T15"/>
      <c r="U15" s="65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8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">
      <c r="A16"/>
      <c r="B16" s="579"/>
      <c r="C16" s="595">
        <v>206</v>
      </c>
      <c r="D16" s="596" t="s">
        <v>362</v>
      </c>
      <c r="E16" s="597"/>
      <c r="F16" s="597"/>
      <c r="G16" s="598">
        <v>72010.02</v>
      </c>
      <c r="H16" s="598">
        <v>27010.02</v>
      </c>
      <c r="I16" s="598">
        <v>45000</v>
      </c>
      <c r="J16" s="598"/>
      <c r="K16" s="598"/>
      <c r="L16" s="598"/>
      <c r="M16" s="598"/>
      <c r="N16" s="598"/>
      <c r="O16" s="598"/>
      <c r="P16" s="598"/>
      <c r="Q16" s="598"/>
      <c r="R16" s="598"/>
      <c r="S16" s="567"/>
      <c r="T16"/>
      <c r="U16" s="65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8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/>
      <c r="B17" s="579"/>
      <c r="C17" s="599">
        <v>210</v>
      </c>
      <c r="D17" s="600" t="s">
        <v>373</v>
      </c>
      <c r="E17" s="601"/>
      <c r="F17" s="601"/>
      <c r="G17" s="602">
        <v>709.67</v>
      </c>
      <c r="H17" s="602">
        <v>709.67</v>
      </c>
      <c r="I17" s="602">
        <v>0</v>
      </c>
      <c r="J17" s="602"/>
      <c r="K17" s="602"/>
      <c r="L17" s="602"/>
      <c r="M17" s="602"/>
      <c r="N17" s="602"/>
      <c r="O17" s="602"/>
      <c r="P17" s="602"/>
      <c r="Q17" s="602"/>
      <c r="R17" s="602"/>
      <c r="S17" s="567"/>
      <c r="T17"/>
      <c r="U17" s="65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8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579"/>
      <c r="C18" s="599">
        <v>210</v>
      </c>
      <c r="D18" s="600" t="s">
        <v>570</v>
      </c>
      <c r="E18" s="601"/>
      <c r="F18" s="601"/>
      <c r="G18" s="602">
        <v>27533.45</v>
      </c>
      <c r="H18" s="602">
        <v>0</v>
      </c>
      <c r="I18" s="602">
        <v>27533.45</v>
      </c>
      <c r="J18" s="602"/>
      <c r="K18" s="602"/>
      <c r="L18" s="602"/>
      <c r="M18" s="602"/>
      <c r="N18" s="602">
        <v>27533.45</v>
      </c>
      <c r="O18" s="602"/>
      <c r="P18" s="602"/>
      <c r="Q18" s="602"/>
      <c r="R18" s="602"/>
      <c r="S18" s="567"/>
      <c r="T18"/>
      <c r="U18" s="65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579"/>
      <c r="C19" s="599">
        <v>211</v>
      </c>
      <c r="D19" s="600" t="s">
        <v>374</v>
      </c>
      <c r="E19" s="601"/>
      <c r="F19" s="601"/>
      <c r="G19" s="602">
        <v>19571.2</v>
      </c>
      <c r="H19" s="602">
        <f>4000+5000+971.2+9600</f>
        <v>19571.2</v>
      </c>
      <c r="I19" s="602"/>
      <c r="J19" s="602"/>
      <c r="K19" s="602"/>
      <c r="L19" s="602"/>
      <c r="M19" s="602"/>
      <c r="N19" s="602"/>
      <c r="O19" s="602"/>
      <c r="P19" s="602"/>
      <c r="Q19" s="602"/>
      <c r="R19" s="602"/>
      <c r="S19" s="567"/>
      <c r="T19"/>
      <c r="U19" s="65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8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579"/>
      <c r="C20" s="599">
        <v>211</v>
      </c>
      <c r="D20" s="600" t="s">
        <v>571</v>
      </c>
      <c r="E20" s="601"/>
      <c r="F20" s="601"/>
      <c r="G20" s="602">
        <v>665662.80000000005</v>
      </c>
      <c r="H20" s="602">
        <v>665662.80000000005</v>
      </c>
      <c r="I20" s="602">
        <v>0</v>
      </c>
      <c r="J20" s="602"/>
      <c r="K20" s="602"/>
      <c r="L20" s="602"/>
      <c r="M20" s="602"/>
      <c r="N20" s="602"/>
      <c r="O20" s="602"/>
      <c r="P20" s="602"/>
      <c r="Q20" s="602"/>
      <c r="R20" s="602"/>
      <c r="S20" s="567"/>
      <c r="T20"/>
      <c r="U20" s="65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8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579"/>
      <c r="C21" s="599">
        <v>211</v>
      </c>
      <c r="D21" s="600" t="s">
        <v>572</v>
      </c>
      <c r="E21" s="601"/>
      <c r="F21" s="601"/>
      <c r="G21" s="602">
        <v>15761.13</v>
      </c>
      <c r="H21" s="602">
        <v>0</v>
      </c>
      <c r="I21" s="602">
        <v>15761.13</v>
      </c>
      <c r="J21" s="602"/>
      <c r="K21" s="602"/>
      <c r="L21" s="602"/>
      <c r="M21" s="602"/>
      <c r="N21" s="602"/>
      <c r="O21" s="602"/>
      <c r="P21" s="602"/>
      <c r="Q21" s="602"/>
      <c r="R21" s="602"/>
      <c r="S21" s="567"/>
      <c r="T21"/>
      <c r="U21" s="65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/>
      <c r="B22" s="579"/>
      <c r="C22" s="599">
        <v>212</v>
      </c>
      <c r="D22" s="600" t="s">
        <v>573</v>
      </c>
      <c r="E22" s="601"/>
      <c r="F22" s="601"/>
      <c r="G22" s="602">
        <v>68485.94</v>
      </c>
      <c r="H22" s="602">
        <v>68485.94</v>
      </c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567"/>
      <c r="T22"/>
      <c r="U22" s="65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8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579"/>
      <c r="C23" s="599">
        <v>213</v>
      </c>
      <c r="D23" s="600" t="s">
        <v>574</v>
      </c>
      <c r="E23" s="601"/>
      <c r="F23" s="601"/>
      <c r="G23" s="602">
        <v>30896.37</v>
      </c>
      <c r="H23" s="602">
        <v>30896.37</v>
      </c>
      <c r="I23" s="602"/>
      <c r="J23" s="602"/>
      <c r="K23" s="602"/>
      <c r="L23" s="602"/>
      <c r="M23" s="602"/>
      <c r="N23" s="602"/>
      <c r="O23" s="602"/>
      <c r="P23" s="602"/>
      <c r="Q23" s="602"/>
      <c r="R23" s="602"/>
      <c r="S23" s="567"/>
      <c r="T23"/>
      <c r="U23" s="65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8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579"/>
      <c r="C24" s="599">
        <v>214</v>
      </c>
      <c r="D24" s="600" t="s">
        <v>575</v>
      </c>
      <c r="E24" s="601"/>
      <c r="F24" s="601"/>
      <c r="G24" s="602">
        <v>838</v>
      </c>
      <c r="H24" s="602">
        <v>838</v>
      </c>
      <c r="I24" s="602"/>
      <c r="J24" s="602"/>
      <c r="K24" s="602"/>
      <c r="L24" s="602"/>
      <c r="M24" s="602"/>
      <c r="N24" s="602"/>
      <c r="O24" s="602"/>
      <c r="P24" s="602"/>
      <c r="Q24" s="602"/>
      <c r="R24" s="602"/>
      <c r="S24" s="567"/>
      <c r="T24"/>
      <c r="U24" s="65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8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579"/>
      <c r="C25" s="599">
        <v>215</v>
      </c>
      <c r="D25" s="600" t="s">
        <v>576</v>
      </c>
      <c r="E25" s="601"/>
      <c r="F25" s="601"/>
      <c r="G25" s="602">
        <v>105947.81</v>
      </c>
      <c r="H25" s="602">
        <v>105947.81</v>
      </c>
      <c r="I25" s="602"/>
      <c r="J25" s="602"/>
      <c r="K25" s="602"/>
      <c r="L25" s="602"/>
      <c r="M25" s="602"/>
      <c r="N25" s="602"/>
      <c r="O25" s="602"/>
      <c r="P25" s="602"/>
      <c r="Q25" s="602"/>
      <c r="R25" s="602"/>
      <c r="S25" s="567"/>
      <c r="T25"/>
      <c r="U25" s="65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8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579"/>
      <c r="C26" s="599">
        <v>216</v>
      </c>
      <c r="D26" s="600" t="s">
        <v>577</v>
      </c>
      <c r="E26" s="601"/>
      <c r="F26" s="601"/>
      <c r="G26" s="602">
        <v>176.08</v>
      </c>
      <c r="H26" s="602">
        <v>176.08</v>
      </c>
      <c r="I26" s="602"/>
      <c r="J26" s="602"/>
      <c r="K26" s="602"/>
      <c r="L26" s="602"/>
      <c r="M26" s="602"/>
      <c r="N26" s="602"/>
      <c r="O26" s="602"/>
      <c r="P26" s="602"/>
      <c r="Q26" s="602"/>
      <c r="R26" s="602"/>
      <c r="S26" s="567"/>
      <c r="T26"/>
      <c r="U26" s="65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/>
      <c r="B27" s="579"/>
      <c r="C27" s="599">
        <v>217</v>
      </c>
      <c r="D27" s="600" t="s">
        <v>578</v>
      </c>
      <c r="E27" s="601"/>
      <c r="F27" s="601"/>
      <c r="G27" s="602">
        <v>737.98</v>
      </c>
      <c r="H27" s="602">
        <v>737.98</v>
      </c>
      <c r="I27" s="602"/>
      <c r="J27" s="602"/>
      <c r="K27" s="602"/>
      <c r="L27" s="602"/>
      <c r="M27" s="602"/>
      <c r="N27" s="602"/>
      <c r="O27" s="602"/>
      <c r="P27" s="602"/>
      <c r="Q27" s="602"/>
      <c r="R27" s="602"/>
      <c r="S27" s="567"/>
      <c r="T27"/>
      <c r="U27" s="65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8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579"/>
      <c r="C28" s="599">
        <v>218</v>
      </c>
      <c r="D28" s="600" t="s">
        <v>579</v>
      </c>
      <c r="E28" s="601"/>
      <c r="F28" s="601"/>
      <c r="G28" s="602">
        <v>41121.85</v>
      </c>
      <c r="H28" s="602">
        <v>41121.85</v>
      </c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567"/>
      <c r="T28"/>
      <c r="U28" s="65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579"/>
      <c r="C29" s="599">
        <v>219</v>
      </c>
      <c r="D29" s="600" t="s">
        <v>580</v>
      </c>
      <c r="E29" s="601"/>
      <c r="F29" s="601"/>
      <c r="G29" s="602">
        <v>2112.3200000000002</v>
      </c>
      <c r="H29" s="602">
        <v>2112.3200000000002</v>
      </c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567"/>
      <c r="T29"/>
      <c r="U29" s="65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/>
      <c r="B30" s="579"/>
      <c r="C30" s="599" t="s">
        <v>581</v>
      </c>
      <c r="D30" s="600" t="s">
        <v>582</v>
      </c>
      <c r="E30" s="601"/>
      <c r="F30" s="601"/>
      <c r="G30" s="602">
        <v>155000</v>
      </c>
      <c r="H30" s="602">
        <v>0</v>
      </c>
      <c r="I30" s="602">
        <v>155000</v>
      </c>
      <c r="J30" s="602"/>
      <c r="K30" s="602"/>
      <c r="L30" s="602"/>
      <c r="M30" s="602"/>
      <c r="N30" s="602"/>
      <c r="O30" s="602"/>
      <c r="P30" s="602"/>
      <c r="Q30" s="602"/>
      <c r="R30" s="602"/>
      <c r="S30" s="567"/>
      <c r="T30"/>
      <c r="U30" s="91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/>
      <c r="B31" s="579"/>
      <c r="C31" s="599">
        <v>217</v>
      </c>
      <c r="D31" s="600" t="s">
        <v>583</v>
      </c>
      <c r="E31" s="601"/>
      <c r="F31" s="601"/>
      <c r="G31" s="602">
        <v>60000</v>
      </c>
      <c r="H31" s="602">
        <v>0</v>
      </c>
      <c r="I31" s="602">
        <v>60000</v>
      </c>
      <c r="J31" s="602"/>
      <c r="K31" s="602"/>
      <c r="L31" s="602"/>
      <c r="M31" s="602"/>
      <c r="N31" s="602"/>
      <c r="O31" s="602"/>
      <c r="P31" s="602"/>
      <c r="Q31" s="602"/>
      <c r="R31" s="602"/>
      <c r="S31" s="567"/>
      <c r="T31"/>
      <c r="U31" s="91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3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579"/>
      <c r="C32" s="599">
        <v>211</v>
      </c>
      <c r="D32" s="600" t="s">
        <v>951</v>
      </c>
      <c r="E32" s="601"/>
      <c r="F32" s="601"/>
      <c r="G32" s="974">
        <v>150000</v>
      </c>
      <c r="H32" s="974">
        <v>0</v>
      </c>
      <c r="I32" s="974">
        <v>150000</v>
      </c>
      <c r="J32" s="602"/>
      <c r="K32" s="602"/>
      <c r="L32" s="602"/>
      <c r="M32" s="602"/>
      <c r="N32" s="602"/>
      <c r="O32" s="602"/>
      <c r="P32" s="602"/>
      <c r="Q32" s="602"/>
      <c r="R32" s="602"/>
      <c r="S32" s="567"/>
      <c r="T32"/>
      <c r="U32" s="65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8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579"/>
      <c r="C33" s="599"/>
      <c r="D33" s="600"/>
      <c r="E33" s="601"/>
      <c r="F33" s="601"/>
      <c r="G33" s="602"/>
      <c r="H33" s="602"/>
      <c r="I33" s="602"/>
      <c r="J33" s="602"/>
      <c r="K33" s="602"/>
      <c r="L33" s="602"/>
      <c r="M33" s="602"/>
      <c r="N33" s="602"/>
      <c r="O33" s="602"/>
      <c r="P33" s="602"/>
      <c r="Q33" s="602"/>
      <c r="R33" s="602"/>
      <c r="S33" s="567"/>
      <c r="T33"/>
      <c r="U33" s="65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8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579"/>
      <c r="C34" s="599"/>
      <c r="D34" s="600"/>
      <c r="E34" s="601"/>
      <c r="F34" s="601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567"/>
      <c r="T34"/>
      <c r="U34" s="65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8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579"/>
      <c r="C35" s="599"/>
      <c r="D35" s="600"/>
      <c r="E35" s="601"/>
      <c r="F35" s="601"/>
      <c r="G35" s="602"/>
      <c r="H35" s="602"/>
      <c r="I35" s="602"/>
      <c r="J35" s="602"/>
      <c r="K35" s="602"/>
      <c r="L35" s="602"/>
      <c r="M35" s="602"/>
      <c r="N35" s="602"/>
      <c r="O35" s="602"/>
      <c r="P35" s="602"/>
      <c r="Q35" s="602"/>
      <c r="R35" s="602"/>
      <c r="S35" s="567"/>
      <c r="T35"/>
      <c r="U35" s="65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8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/>
      <c r="B36" s="579"/>
      <c r="C36" s="599"/>
      <c r="D36" s="600"/>
      <c r="E36" s="601"/>
      <c r="F36" s="601"/>
      <c r="G36" s="602"/>
      <c r="H36" s="602"/>
      <c r="I36" s="602"/>
      <c r="J36" s="602"/>
      <c r="K36" s="602"/>
      <c r="L36" s="602"/>
      <c r="M36" s="602"/>
      <c r="N36" s="602"/>
      <c r="O36" s="602"/>
      <c r="P36" s="602"/>
      <c r="Q36" s="602"/>
      <c r="R36" s="602"/>
      <c r="S36" s="567"/>
      <c r="T36"/>
      <c r="U36" s="94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579"/>
      <c r="C37" s="599"/>
      <c r="D37" s="600"/>
      <c r="E37" s="601"/>
      <c r="F37" s="601"/>
      <c r="G37" s="602"/>
      <c r="H37" s="602"/>
      <c r="I37" s="602"/>
      <c r="J37" s="602"/>
      <c r="K37" s="602"/>
      <c r="L37" s="602"/>
      <c r="M37" s="602"/>
      <c r="N37" s="602"/>
      <c r="O37" s="602"/>
      <c r="P37" s="602"/>
      <c r="Q37" s="602"/>
      <c r="R37" s="602"/>
      <c r="S37" s="567"/>
      <c r="T37"/>
      <c r="U37" s="94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6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/>
      <c r="B38" s="579"/>
      <c r="C38" s="599"/>
      <c r="D38" s="600"/>
      <c r="E38" s="601"/>
      <c r="F38" s="601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567"/>
      <c r="T38"/>
      <c r="U38" s="94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6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579"/>
      <c r="C39" s="599"/>
      <c r="D39" s="600"/>
      <c r="E39" s="601"/>
      <c r="F39" s="601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567"/>
      <c r="T39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6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/>
      <c r="B40" s="579"/>
      <c r="C40" s="599"/>
      <c r="D40" s="600"/>
      <c r="E40" s="601"/>
      <c r="F40" s="601"/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  <c r="S40" s="567"/>
      <c r="T40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6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579"/>
      <c r="C41" s="599"/>
      <c r="D41" s="600"/>
      <c r="E41" s="601"/>
      <c r="F41" s="601"/>
      <c r="G41" s="602"/>
      <c r="H41" s="602"/>
      <c r="I41" s="602"/>
      <c r="J41" s="602"/>
      <c r="K41" s="602"/>
      <c r="L41" s="602"/>
      <c r="M41" s="602"/>
      <c r="N41" s="602"/>
      <c r="O41" s="602"/>
      <c r="P41" s="602"/>
      <c r="Q41" s="602"/>
      <c r="R41" s="602"/>
      <c r="S41" s="567"/>
      <c r="T41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6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579"/>
      <c r="C42" s="599"/>
      <c r="D42" s="600"/>
      <c r="E42" s="601"/>
      <c r="F42" s="601"/>
      <c r="G42" s="602"/>
      <c r="H42" s="602"/>
      <c r="I42" s="602"/>
      <c r="J42" s="602"/>
      <c r="K42" s="602"/>
      <c r="L42" s="602"/>
      <c r="M42" s="602"/>
      <c r="N42" s="602"/>
      <c r="O42" s="602"/>
      <c r="P42" s="602"/>
      <c r="Q42" s="602"/>
      <c r="R42" s="602"/>
      <c r="S42" s="567"/>
      <c r="T42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6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 s="579"/>
      <c r="C43" s="599"/>
      <c r="D43" s="600"/>
      <c r="E43" s="601"/>
      <c r="F43" s="601"/>
      <c r="G43" s="602"/>
      <c r="H43" s="602"/>
      <c r="I43" s="602"/>
      <c r="J43" s="602"/>
      <c r="K43" s="602"/>
      <c r="L43" s="602"/>
      <c r="M43" s="602"/>
      <c r="N43" s="602"/>
      <c r="O43" s="602"/>
      <c r="P43" s="602"/>
      <c r="Q43" s="602"/>
      <c r="R43" s="602"/>
      <c r="S43" s="567"/>
      <c r="T43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6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/>
      <c r="B44" s="579"/>
      <c r="C44" s="599"/>
      <c r="D44" s="600"/>
      <c r="E44" s="601"/>
      <c r="F44" s="601"/>
      <c r="G44" s="602"/>
      <c r="H44" s="602"/>
      <c r="I44" s="602"/>
      <c r="J44" s="602"/>
      <c r="K44" s="602"/>
      <c r="L44" s="602"/>
      <c r="M44" s="602"/>
      <c r="N44" s="602"/>
      <c r="O44" s="602"/>
      <c r="P44" s="602"/>
      <c r="Q44" s="602"/>
      <c r="R44" s="602"/>
      <c r="S44" s="567"/>
      <c r="T44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/>
      <c r="B45" s="579"/>
      <c r="C45" s="599"/>
      <c r="D45" s="600"/>
      <c r="E45" s="601"/>
      <c r="F45" s="601"/>
      <c r="G45" s="602"/>
      <c r="H45" s="602"/>
      <c r="I45" s="602"/>
      <c r="J45" s="602"/>
      <c r="K45" s="602"/>
      <c r="L45" s="602"/>
      <c r="M45" s="602"/>
      <c r="N45" s="602"/>
      <c r="O45" s="602"/>
      <c r="P45" s="602"/>
      <c r="Q45" s="602"/>
      <c r="R45" s="602"/>
      <c r="S45" s="567"/>
      <c r="T45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6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603" customFormat="1" ht="22.9" customHeight="1" x14ac:dyDescent="0.2">
      <c r="B46" s="579"/>
      <c r="C46" s="1003" t="s">
        <v>183</v>
      </c>
      <c r="D46" s="1003"/>
      <c r="E46" s="604">
        <f>MIN(E16:E45)</f>
        <v>0</v>
      </c>
      <c r="F46" s="604">
        <f>MAX(F16:F45)</f>
        <v>0</v>
      </c>
      <c r="G46" s="605">
        <f t="shared" ref="G46:R46" si="0">SUM(G16:G45)</f>
        <v>1416564.6199999999</v>
      </c>
      <c r="H46" s="605">
        <f t="shared" si="0"/>
        <v>963270.03999999992</v>
      </c>
      <c r="I46" s="605">
        <f t="shared" si="0"/>
        <v>453294.58</v>
      </c>
      <c r="J46" s="605">
        <f t="shared" si="0"/>
        <v>0</v>
      </c>
      <c r="K46" s="605">
        <f t="shared" si="0"/>
        <v>0</v>
      </c>
      <c r="L46" s="605">
        <f t="shared" si="0"/>
        <v>0</v>
      </c>
      <c r="M46" s="605">
        <f t="shared" si="0"/>
        <v>0</v>
      </c>
      <c r="N46" s="605">
        <f t="shared" si="0"/>
        <v>27533.45</v>
      </c>
      <c r="O46" s="605">
        <f t="shared" si="0"/>
        <v>0</v>
      </c>
      <c r="P46" s="605">
        <f t="shared" si="0"/>
        <v>0</v>
      </c>
      <c r="Q46" s="605">
        <f t="shared" si="0"/>
        <v>0</v>
      </c>
      <c r="R46" s="605">
        <f t="shared" si="0"/>
        <v>0</v>
      </c>
      <c r="S46" s="606"/>
      <c r="U46" s="94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6"/>
    </row>
    <row r="47" spans="1:256" ht="22.9" customHeight="1" x14ac:dyDescent="0.2">
      <c r="A47" s="603"/>
      <c r="B47" s="579"/>
      <c r="C47" s="607"/>
      <c r="D47" s="607"/>
      <c r="E47" s="608"/>
      <c r="F47" s="608"/>
      <c r="G47" s="609"/>
      <c r="H47" s="609"/>
      <c r="I47" s="609"/>
      <c r="J47" s="609"/>
      <c r="K47" s="609"/>
      <c r="L47" s="609"/>
      <c r="M47" s="609"/>
      <c r="N47" s="609"/>
      <c r="O47" s="609"/>
      <c r="P47" s="609"/>
      <c r="Q47" s="609"/>
      <c r="R47" s="609"/>
      <c r="S47" s="606"/>
      <c r="U47" s="94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6"/>
    </row>
    <row r="48" spans="1:256" ht="22.9" customHeight="1" x14ac:dyDescent="0.2">
      <c r="A48" s="603"/>
      <c r="B48" s="579"/>
      <c r="C48" s="610" t="s">
        <v>556</v>
      </c>
      <c r="D48" s="607"/>
      <c r="E48" s="608"/>
      <c r="F48" s="608"/>
      <c r="G48" s="609"/>
      <c r="H48" s="609"/>
      <c r="I48" s="609"/>
      <c r="J48" s="609"/>
      <c r="K48" s="609"/>
      <c r="L48" s="609"/>
      <c r="M48" s="609"/>
      <c r="N48" s="609"/>
      <c r="O48" s="609"/>
      <c r="P48" s="609"/>
      <c r="Q48" s="609"/>
      <c r="R48" s="609"/>
      <c r="S48" s="606"/>
      <c r="U48" s="94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6"/>
    </row>
    <row r="49" spans="1:34" ht="22.9" customHeight="1" x14ac:dyDescent="0.2">
      <c r="A49" s="603"/>
      <c r="B49" s="579"/>
      <c r="C49" s="4" t="s">
        <v>584</v>
      </c>
      <c r="D49" s="607"/>
      <c r="E49" s="608"/>
      <c r="F49" s="611">
        <f>ejercicio-1</f>
        <v>2017</v>
      </c>
      <c r="G49" s="612" t="s">
        <v>585</v>
      </c>
      <c r="H49" s="609"/>
      <c r="I49" s="609"/>
      <c r="J49" s="609"/>
      <c r="K49" s="609"/>
      <c r="L49" s="609"/>
      <c r="M49" s="609"/>
      <c r="N49" s="609"/>
      <c r="O49" s="609"/>
      <c r="P49" s="609"/>
      <c r="Q49" s="609"/>
      <c r="R49" s="609"/>
      <c r="S49" s="606"/>
      <c r="U49" s="94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6"/>
    </row>
    <row r="50" spans="1:34" ht="22.9" customHeight="1" x14ac:dyDescent="0.2">
      <c r="A50" s="603"/>
      <c r="B50" s="579"/>
      <c r="C50" s="4" t="s">
        <v>586</v>
      </c>
      <c r="D50" s="607"/>
      <c r="E50" s="608"/>
      <c r="F50" s="608"/>
      <c r="G50" s="609"/>
      <c r="H50" s="609"/>
      <c r="I50" s="609"/>
      <c r="J50" s="609"/>
      <c r="K50" s="609"/>
      <c r="L50" s="609"/>
      <c r="M50" s="609"/>
      <c r="N50" s="609"/>
      <c r="O50" s="609"/>
      <c r="P50" s="609"/>
      <c r="Q50" s="609"/>
      <c r="R50" s="609"/>
      <c r="S50" s="606"/>
      <c r="U50" s="94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6"/>
    </row>
    <row r="51" spans="1:34" ht="22.9" customHeight="1" x14ac:dyDescent="0.2">
      <c r="A51" s="603"/>
      <c r="B51" s="579"/>
      <c r="C51" s="4" t="s">
        <v>587</v>
      </c>
      <c r="D51" s="607"/>
      <c r="E51" s="608"/>
      <c r="F51" s="608"/>
      <c r="G51" s="611">
        <f>ejercicio-1</f>
        <v>2017</v>
      </c>
      <c r="H51" s="612" t="s">
        <v>588</v>
      </c>
      <c r="I51" s="609"/>
      <c r="J51" s="609"/>
      <c r="K51" s="609"/>
      <c r="L51" s="609"/>
      <c r="M51" s="609"/>
      <c r="N51" s="609"/>
      <c r="O51" s="609"/>
      <c r="P51" s="609"/>
      <c r="Q51" s="609"/>
      <c r="R51" s="609"/>
      <c r="S51" s="606"/>
      <c r="U51" s="94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6"/>
    </row>
    <row r="52" spans="1:34" ht="22.9" customHeight="1" x14ac:dyDescent="0.2">
      <c r="A52" s="603"/>
      <c r="B52" s="579"/>
      <c r="C52" s="4" t="s">
        <v>589</v>
      </c>
      <c r="D52" s="607"/>
      <c r="E52" s="608"/>
      <c r="F52" s="608"/>
      <c r="G52" s="609"/>
      <c r="H52" s="609"/>
      <c r="I52" s="609"/>
      <c r="J52" s="609"/>
      <c r="K52" s="609"/>
      <c r="L52" s="609"/>
      <c r="M52" s="609"/>
      <c r="N52" s="609"/>
      <c r="O52" s="609"/>
      <c r="P52" s="609"/>
      <c r="Q52" s="609"/>
      <c r="R52" s="609"/>
      <c r="S52" s="606"/>
      <c r="U52" s="94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6"/>
    </row>
    <row r="53" spans="1:34" ht="22.9" customHeight="1" x14ac:dyDescent="0.2">
      <c r="A53" s="603"/>
      <c r="B53" s="579"/>
      <c r="C53" s="4" t="s">
        <v>590</v>
      </c>
      <c r="D53" s="607"/>
      <c r="E53" s="608"/>
      <c r="F53" s="608"/>
      <c r="G53" s="611">
        <f>ejercicio-1</f>
        <v>2017</v>
      </c>
      <c r="H53" s="612" t="s">
        <v>591</v>
      </c>
      <c r="I53" s="609"/>
      <c r="J53" s="609"/>
      <c r="K53" s="609"/>
      <c r="L53" s="609"/>
      <c r="M53" s="609"/>
      <c r="N53" s="609"/>
      <c r="O53" s="609"/>
      <c r="P53" s="609"/>
      <c r="Q53" s="609"/>
      <c r="R53" s="609"/>
      <c r="S53" s="606"/>
      <c r="U53" s="94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6"/>
    </row>
    <row r="54" spans="1:34" ht="22.9" customHeight="1" x14ac:dyDescent="0.2">
      <c r="A54" s="603"/>
      <c r="B54" s="579"/>
      <c r="C54" s="607"/>
      <c r="D54" s="607"/>
      <c r="E54" s="608"/>
      <c r="F54" s="608"/>
      <c r="G54" s="609"/>
      <c r="H54" s="609"/>
      <c r="I54" s="609"/>
      <c r="J54" s="609"/>
      <c r="K54" s="609"/>
      <c r="L54" s="609"/>
      <c r="M54" s="609"/>
      <c r="N54" s="609"/>
      <c r="O54" s="609"/>
      <c r="P54" s="609"/>
      <c r="Q54" s="609"/>
      <c r="R54" s="609"/>
      <c r="S54" s="606"/>
      <c r="U54" s="94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6"/>
    </row>
    <row r="55" spans="1:34" ht="22.9" customHeight="1" x14ac:dyDescent="0.2">
      <c r="B55" s="613"/>
      <c r="C55" s="996"/>
      <c r="D55" s="996"/>
      <c r="E55" s="996"/>
      <c r="F55" s="996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614"/>
      <c r="S55" s="615"/>
      <c r="U55" s="103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5"/>
    </row>
    <row r="56" spans="1:34" ht="22.9" customHeight="1" x14ac:dyDescent="0.2">
      <c r="C56" s="556"/>
      <c r="D56" s="556"/>
      <c r="E56" s="566"/>
      <c r="F56" s="566"/>
      <c r="G56" s="566"/>
      <c r="H56" s="566"/>
      <c r="I56" s="566"/>
      <c r="J56" s="566"/>
      <c r="K56" s="566"/>
      <c r="L56" s="566"/>
      <c r="M56" s="566"/>
      <c r="N56" s="566"/>
      <c r="O56" s="566"/>
      <c r="P56" s="566"/>
      <c r="Q56" s="566"/>
      <c r="R56" s="566"/>
    </row>
    <row r="57" spans="1:34" ht="15" x14ac:dyDescent="0.2">
      <c r="C57" s="556" t="s">
        <v>55</v>
      </c>
      <c r="D57" s="556"/>
      <c r="E57" s="566"/>
      <c r="F57" s="566"/>
      <c r="G57" s="566"/>
      <c r="H57" s="566"/>
      <c r="I57" s="566"/>
      <c r="J57" s="566"/>
      <c r="K57" s="566"/>
      <c r="L57" s="566"/>
      <c r="M57" s="566"/>
      <c r="N57" s="566"/>
      <c r="O57" s="566"/>
      <c r="P57" s="566"/>
      <c r="Q57" s="566"/>
      <c r="R57" s="558" t="s">
        <v>23</v>
      </c>
    </row>
    <row r="58" spans="1:34" ht="15" x14ac:dyDescent="0.2">
      <c r="C58" s="616" t="s">
        <v>57</v>
      </c>
      <c r="D58" s="556"/>
      <c r="E58" s="566"/>
      <c r="F58" s="566"/>
      <c r="G58" s="566"/>
      <c r="H58" s="566"/>
      <c r="I58" s="566"/>
      <c r="J58" s="566"/>
      <c r="K58" s="566"/>
      <c r="L58" s="566"/>
      <c r="M58" s="566"/>
      <c r="N58" s="566"/>
      <c r="O58" s="566"/>
      <c r="P58" s="566"/>
      <c r="Q58" s="566"/>
      <c r="R58" s="566"/>
    </row>
    <row r="59" spans="1:34" ht="15" x14ac:dyDescent="0.2">
      <c r="C59" s="616" t="s">
        <v>58</v>
      </c>
      <c r="D59" s="556"/>
      <c r="E59" s="566"/>
      <c r="F59" s="566"/>
      <c r="G59" s="566"/>
      <c r="H59" s="566"/>
      <c r="I59" s="566"/>
      <c r="J59" s="566"/>
      <c r="K59" s="566"/>
      <c r="L59" s="566"/>
      <c r="M59" s="566"/>
      <c r="N59" s="566"/>
      <c r="O59" s="566"/>
      <c r="P59" s="566"/>
      <c r="Q59" s="566"/>
      <c r="R59" s="566"/>
    </row>
    <row r="60" spans="1:34" ht="15" x14ac:dyDescent="0.2">
      <c r="C60" s="616" t="s">
        <v>59</v>
      </c>
      <c r="D60" s="556"/>
      <c r="E60" s="566"/>
      <c r="F60" s="566"/>
      <c r="G60" s="566"/>
      <c r="H60" s="566"/>
      <c r="I60" s="566"/>
      <c r="J60" s="566"/>
      <c r="K60" s="566"/>
      <c r="L60" s="566"/>
      <c r="M60" s="566"/>
      <c r="N60" s="566"/>
      <c r="O60" s="566"/>
      <c r="P60" s="566"/>
      <c r="Q60" s="566"/>
      <c r="R60" s="566"/>
    </row>
    <row r="61" spans="1:34" ht="15" x14ac:dyDescent="0.2">
      <c r="C61" s="616" t="s">
        <v>60</v>
      </c>
      <c r="D61" s="556"/>
      <c r="E61" s="566"/>
      <c r="F61" s="566"/>
      <c r="G61" s="566"/>
      <c r="H61" s="566"/>
      <c r="I61" s="566"/>
      <c r="J61" s="566"/>
      <c r="K61" s="566"/>
      <c r="L61" s="566"/>
      <c r="M61" s="566"/>
      <c r="N61" s="566"/>
      <c r="O61" s="566"/>
      <c r="P61" s="566"/>
      <c r="Q61" s="566"/>
      <c r="R61" s="566"/>
    </row>
  </sheetData>
  <sheetProtection password="E059" sheet="1" objects="1" scenarios="1" insertRows="0"/>
  <mergeCells count="5">
    <mergeCell ref="R6:R7"/>
    <mergeCell ref="D9:R9"/>
    <mergeCell ref="I13:M13"/>
    <mergeCell ref="C46:D46"/>
    <mergeCell ref="C55:F55"/>
  </mergeCells>
  <printOptions horizontalCentered="1" verticalCentered="1"/>
  <pageMargins left="0.35972222222222222" right="0.35972222222222222" top="0.60972222222222228" bottom="0.60972222222222228" header="0.51180555555555551" footer="0.51180555555555551"/>
  <pageSetup paperSize="8" scale="56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"/>
  <sheetViews>
    <sheetView zoomScale="60" zoomScaleNormal="60" workbookViewId="0">
      <selection activeCell="M40" sqref="M40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24.5546875" style="22" customWidth="1"/>
    <col min="5" max="13" width="14.21875" style="559" customWidth="1"/>
    <col min="14" max="14" width="43.21875" style="559" customWidth="1"/>
    <col min="15" max="15" width="3.21875" style="22" customWidth="1"/>
    <col min="16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3"/>
      <c r="P5"/>
      <c r="Q5" s="62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566"/>
      <c r="K6" s="566"/>
      <c r="L6" s="566"/>
      <c r="M6" s="566"/>
      <c r="N6" s="981">
        <f>ejercicio</f>
        <v>2018</v>
      </c>
      <c r="O6" s="567"/>
      <c r="P6"/>
      <c r="Q6" s="65"/>
      <c r="R6" s="66" t="s">
        <v>93</v>
      </c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566"/>
      <c r="K7" s="566"/>
      <c r="L7" s="566"/>
      <c r="M7" s="566"/>
      <c r="N7" s="981"/>
      <c r="O7" s="567"/>
      <c r="P7"/>
      <c r="Q7" s="65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8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6"/>
      <c r="K8" s="566"/>
      <c r="L8" s="566"/>
      <c r="M8" s="566"/>
      <c r="N8" s="568"/>
      <c r="O8" s="567"/>
      <c r="P8"/>
      <c r="Q8" s="65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995"/>
      <c r="K9" s="995"/>
      <c r="L9" s="995"/>
      <c r="M9" s="995"/>
      <c r="N9" s="995"/>
      <c r="O9" s="570"/>
      <c r="Q9" s="69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7"/>
      <c r="P10"/>
      <c r="Q10" s="65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592</v>
      </c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5"/>
      <c r="Q11" s="72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</row>
    <row r="12" spans="1:256" ht="30" customHeight="1" x14ac:dyDescent="0.25">
      <c r="A12" s="571"/>
      <c r="B12" s="572"/>
      <c r="C12" s="576"/>
      <c r="D12" s="576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5"/>
      <c r="P12"/>
      <c r="Q12" s="72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578" customFormat="1" ht="22.9" customHeight="1" x14ac:dyDescent="0.2">
      <c r="B13" s="579"/>
      <c r="C13" s="1004"/>
      <c r="D13" s="1004"/>
      <c r="E13" s="617" t="s">
        <v>593</v>
      </c>
      <c r="F13" s="1005" t="s">
        <v>594</v>
      </c>
      <c r="G13" s="1005"/>
      <c r="H13" s="1005"/>
      <c r="I13" s="1005"/>
      <c r="J13" s="1005"/>
      <c r="K13" s="1005"/>
      <c r="L13" s="1005"/>
      <c r="M13" s="617" t="s">
        <v>595</v>
      </c>
      <c r="N13" s="1006" t="s">
        <v>596</v>
      </c>
      <c r="O13" s="587"/>
      <c r="Q13" s="65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8"/>
    </row>
    <row r="14" spans="1:256" ht="49.15" customHeight="1" x14ac:dyDescent="0.25">
      <c r="A14"/>
      <c r="B14" s="564"/>
      <c r="C14" s="619" t="s">
        <v>597</v>
      </c>
      <c r="D14" s="620">
        <f>ejercicio-1</f>
        <v>2017</v>
      </c>
      <c r="E14" s="621">
        <f>ejercicio-1</f>
        <v>2017</v>
      </c>
      <c r="F14" s="622" t="s">
        <v>598</v>
      </c>
      <c r="G14" s="623" t="s">
        <v>599</v>
      </c>
      <c r="H14" s="623" t="s">
        <v>600</v>
      </c>
      <c r="I14" s="623" t="s">
        <v>601</v>
      </c>
      <c r="J14" s="623" t="s">
        <v>602</v>
      </c>
      <c r="K14" s="623" t="s">
        <v>603</v>
      </c>
      <c r="L14" s="624" t="s">
        <v>604</v>
      </c>
      <c r="M14" s="621">
        <f>ejercicio-1</f>
        <v>2017</v>
      </c>
      <c r="N14" s="1006"/>
      <c r="O14" s="567"/>
      <c r="P14"/>
      <c r="Q14" s="65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588" customFormat="1" ht="22.9" customHeight="1" x14ac:dyDescent="0.2">
      <c r="B15" s="579"/>
      <c r="C15" s="625" t="s">
        <v>605</v>
      </c>
      <c r="D15" s="626"/>
      <c r="E15" s="329">
        <v>72162.17</v>
      </c>
      <c r="F15" s="627">
        <v>27010.02</v>
      </c>
      <c r="G15" s="628"/>
      <c r="H15" s="628"/>
      <c r="I15" s="628">
        <v>-19558.2</v>
      </c>
      <c r="J15" s="628"/>
      <c r="K15" s="628"/>
      <c r="L15" s="629"/>
      <c r="M15" s="630">
        <f>SUM(E15:L15)</f>
        <v>79613.990000000005</v>
      </c>
      <c r="N15" s="414"/>
      <c r="O15" s="587"/>
      <c r="Q15" s="65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8"/>
    </row>
    <row r="16" spans="1:256" ht="22.9" customHeight="1" x14ac:dyDescent="0.2">
      <c r="B16" s="579"/>
      <c r="C16" s="631" t="s">
        <v>606</v>
      </c>
      <c r="D16" s="632"/>
      <c r="E16" s="633">
        <v>1098253.45</v>
      </c>
      <c r="F16" s="634">
        <v>709.67</v>
      </c>
      <c r="G16" s="635"/>
      <c r="H16" s="635"/>
      <c r="I16" s="635">
        <v>0</v>
      </c>
      <c r="J16" s="635"/>
      <c r="K16" s="635"/>
      <c r="L16" s="636"/>
      <c r="M16" s="637">
        <f>SUM(E16:L16)</f>
        <v>1098963.1199999999</v>
      </c>
      <c r="N16" s="404"/>
      <c r="O16" s="567"/>
      <c r="Q16" s="65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8"/>
    </row>
    <row r="17" spans="2:30" ht="22.9" customHeight="1" x14ac:dyDescent="0.2">
      <c r="B17" s="579"/>
      <c r="C17" s="631" t="s">
        <v>607</v>
      </c>
      <c r="D17" s="632"/>
      <c r="E17" s="633">
        <f>42255312.72-1098253.45</f>
        <v>41157059.269999996</v>
      </c>
      <c r="F17" s="634">
        <f>665662.8+19571.2+68485.94+30896.37+838+105947.81+176.08+737.98+41121.85+2112.32</f>
        <v>935550.34999999974</v>
      </c>
      <c r="G17" s="635"/>
      <c r="H17" s="635"/>
      <c r="I17" s="635">
        <f>-(51853.01+2492714.09)</f>
        <v>-2544567.0999999996</v>
      </c>
      <c r="J17" s="635"/>
      <c r="K17" s="635"/>
      <c r="L17" s="636"/>
      <c r="M17" s="637">
        <f>SUM(E17:L17)</f>
        <v>39548042.519999996</v>
      </c>
      <c r="N17" s="404"/>
      <c r="O17" s="567"/>
      <c r="Q17" s="65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/>
    </row>
    <row r="18" spans="2:30" ht="22.9" customHeight="1" x14ac:dyDescent="0.2">
      <c r="B18" s="579"/>
      <c r="C18" s="631" t="s">
        <v>608</v>
      </c>
      <c r="D18" s="632"/>
      <c r="E18" s="633"/>
      <c r="F18" s="634"/>
      <c r="G18" s="635"/>
      <c r="H18" s="635"/>
      <c r="I18" s="635"/>
      <c r="J18" s="635"/>
      <c r="K18" s="635"/>
      <c r="L18" s="636"/>
      <c r="M18" s="637">
        <f>SUM(E18:L18)</f>
        <v>0</v>
      </c>
      <c r="N18" s="404"/>
      <c r="O18" s="567"/>
      <c r="Q18" s="65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/>
    </row>
    <row r="19" spans="2:30" ht="22.9" customHeight="1" x14ac:dyDescent="0.2">
      <c r="B19" s="579"/>
      <c r="C19" s="638" t="s">
        <v>609</v>
      </c>
      <c r="D19" s="639"/>
      <c r="E19" s="335"/>
      <c r="F19" s="640"/>
      <c r="G19" s="641"/>
      <c r="H19" s="641"/>
      <c r="I19" s="641"/>
      <c r="J19" s="641"/>
      <c r="K19" s="641"/>
      <c r="L19" s="642"/>
      <c r="M19" s="643">
        <f>SUM(E19:L19)</f>
        <v>0</v>
      </c>
      <c r="N19" s="408"/>
      <c r="O19" s="567"/>
      <c r="Q19" s="65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8"/>
    </row>
    <row r="20" spans="2:30" ht="22.9" customHeight="1" x14ac:dyDescent="0.2">
      <c r="B20" s="579"/>
      <c r="C20" s="644" t="s">
        <v>610</v>
      </c>
      <c r="D20" s="645"/>
      <c r="E20" s="646">
        <f t="shared" ref="E20:M20" si="0">SUM(E15:E19)</f>
        <v>42327474.889999993</v>
      </c>
      <c r="F20" s="646">
        <f t="shared" si="0"/>
        <v>963270.03999999969</v>
      </c>
      <c r="G20" s="646">
        <f t="shared" si="0"/>
        <v>0</v>
      </c>
      <c r="H20" s="646">
        <f t="shared" si="0"/>
        <v>0</v>
      </c>
      <c r="I20" s="646">
        <f t="shared" si="0"/>
        <v>-2564125.2999999998</v>
      </c>
      <c r="J20" s="646">
        <f t="shared" si="0"/>
        <v>0</v>
      </c>
      <c r="K20" s="646">
        <f t="shared" si="0"/>
        <v>0</v>
      </c>
      <c r="L20" s="646">
        <f t="shared" si="0"/>
        <v>0</v>
      </c>
      <c r="M20" s="646">
        <f t="shared" si="0"/>
        <v>40726619.629999995</v>
      </c>
      <c r="N20" s="647"/>
      <c r="O20" s="567"/>
      <c r="Q20" s="65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/>
    </row>
    <row r="21" spans="2:30" ht="7.9" customHeight="1" x14ac:dyDescent="0.2">
      <c r="B21" s="579"/>
      <c r="C21" s="648"/>
      <c r="D21" s="648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567"/>
      <c r="Q21" s="65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/>
    </row>
    <row r="22" spans="2:30" ht="22.9" customHeight="1" x14ac:dyDescent="0.2">
      <c r="B22" s="579"/>
      <c r="C22" s="650" t="s">
        <v>611</v>
      </c>
      <c r="D22" s="651"/>
      <c r="E22" s="652">
        <v>506863.28</v>
      </c>
      <c r="F22" s="653"/>
      <c r="G22" s="654"/>
      <c r="H22" s="654"/>
      <c r="I22" s="654"/>
      <c r="J22" s="654"/>
      <c r="K22" s="654"/>
      <c r="L22" s="655"/>
      <c r="M22" s="646">
        <f>SUM(E22:L22)</f>
        <v>506863.28</v>
      </c>
      <c r="N22" s="656"/>
      <c r="O22" s="567"/>
      <c r="Q22" s="65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8"/>
    </row>
    <row r="23" spans="2:30" ht="22.9" customHeight="1" x14ac:dyDescent="0.2">
      <c r="B23" s="579"/>
      <c r="C23" s="576"/>
      <c r="D23" s="576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67"/>
      <c r="Q23" s="65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/>
    </row>
    <row r="24" spans="2:30" ht="22.9" customHeight="1" x14ac:dyDescent="0.2">
      <c r="B24" s="579"/>
      <c r="C24" s="1004"/>
      <c r="D24" s="1004"/>
      <c r="E24" s="617" t="s">
        <v>593</v>
      </c>
      <c r="F24" s="1005" t="s">
        <v>594</v>
      </c>
      <c r="G24" s="1005"/>
      <c r="H24" s="1005"/>
      <c r="I24" s="1005"/>
      <c r="J24" s="1005"/>
      <c r="K24" s="1005"/>
      <c r="L24" s="1005"/>
      <c r="M24" s="617" t="s">
        <v>595</v>
      </c>
      <c r="N24" s="1006" t="s">
        <v>596</v>
      </c>
      <c r="O24" s="567"/>
      <c r="Q24" s="65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8"/>
    </row>
    <row r="25" spans="2:30" ht="49.15" customHeight="1" x14ac:dyDescent="0.25">
      <c r="B25" s="579"/>
      <c r="C25" s="619" t="s">
        <v>612</v>
      </c>
      <c r="D25" s="620">
        <f>ejercicio</f>
        <v>2018</v>
      </c>
      <c r="E25" s="621">
        <f>ejercicio</f>
        <v>2018</v>
      </c>
      <c r="F25" s="622" t="s">
        <v>598</v>
      </c>
      <c r="G25" s="623" t="s">
        <v>599</v>
      </c>
      <c r="H25" s="623" t="s">
        <v>600</v>
      </c>
      <c r="I25" s="623" t="s">
        <v>601</v>
      </c>
      <c r="J25" s="623" t="s">
        <v>602</v>
      </c>
      <c r="K25" s="623" t="s">
        <v>603</v>
      </c>
      <c r="L25" s="624" t="s">
        <v>604</v>
      </c>
      <c r="M25" s="621">
        <f>ejercicio</f>
        <v>2018</v>
      </c>
      <c r="N25" s="1006"/>
      <c r="O25" s="567"/>
      <c r="Q25" s="65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/>
    </row>
    <row r="26" spans="2:30" ht="22.9" customHeight="1" x14ac:dyDescent="0.2">
      <c r="B26" s="579"/>
      <c r="C26" s="625" t="s">
        <v>605</v>
      </c>
      <c r="D26" s="626"/>
      <c r="E26" s="630">
        <f>+M15</f>
        <v>79613.990000000005</v>
      </c>
      <c r="F26" s="627">
        <v>45000</v>
      </c>
      <c r="G26" s="628"/>
      <c r="H26" s="628"/>
      <c r="I26" s="628">
        <v>-22127.11</v>
      </c>
      <c r="J26" s="628"/>
      <c r="K26" s="628"/>
      <c r="L26" s="629"/>
      <c r="M26" s="630">
        <f>SUM(E26:L26)</f>
        <v>102486.88</v>
      </c>
      <c r="N26" s="414"/>
      <c r="O26" s="567"/>
      <c r="Q26" s="65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</row>
    <row r="27" spans="2:30" ht="22.9" customHeight="1" x14ac:dyDescent="0.2">
      <c r="B27" s="579"/>
      <c r="C27" s="631" t="s">
        <v>606</v>
      </c>
      <c r="D27" s="632"/>
      <c r="E27" s="637">
        <f>+M16</f>
        <v>1098963.1199999999</v>
      </c>
      <c r="F27" s="634">
        <f>27533.45</f>
        <v>27533.45</v>
      </c>
      <c r="G27" s="635"/>
      <c r="H27" s="635"/>
      <c r="I27" s="635">
        <v>0</v>
      </c>
      <c r="J27" s="635"/>
      <c r="K27" s="635"/>
      <c r="L27" s="636"/>
      <c r="M27" s="637">
        <f>SUM(E27:L27)</f>
        <v>1126496.5699999998</v>
      </c>
      <c r="N27" s="404"/>
      <c r="O27" s="567"/>
      <c r="Q27" s="65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8"/>
    </row>
    <row r="28" spans="2:30" ht="22.9" customHeight="1" x14ac:dyDescent="0.2">
      <c r="B28" s="579"/>
      <c r="C28" s="631" t="s">
        <v>607</v>
      </c>
      <c r="D28" s="632"/>
      <c r="E28" s="637">
        <f>+M17</f>
        <v>39548042.519999996</v>
      </c>
      <c r="F28" s="975">
        <f>15761.13+155000+60000+150000</f>
        <v>380761.13</v>
      </c>
      <c r="G28" s="635"/>
      <c r="H28" s="635"/>
      <c r="I28" s="635">
        <f>-(67583.52+2468144.13)-22166.57</f>
        <v>-2557894.2199999997</v>
      </c>
      <c r="J28" s="635"/>
      <c r="K28" s="635"/>
      <c r="L28" s="636"/>
      <c r="M28" s="637">
        <f>SUM(E28:L28)</f>
        <v>37370909.43</v>
      </c>
      <c r="N28" s="404"/>
      <c r="O28" s="567"/>
      <c r="Q28" s="65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8"/>
    </row>
    <row r="29" spans="2:30" ht="22.9" customHeight="1" x14ac:dyDescent="0.2">
      <c r="B29" s="579"/>
      <c r="C29" s="631" t="s">
        <v>608</v>
      </c>
      <c r="D29" s="632"/>
      <c r="E29" s="637">
        <f>+M18</f>
        <v>0</v>
      </c>
      <c r="F29" s="634"/>
      <c r="G29" s="635"/>
      <c r="H29" s="635"/>
      <c r="I29" s="635"/>
      <c r="J29" s="635"/>
      <c r="K29" s="635"/>
      <c r="L29" s="636"/>
      <c r="M29" s="637">
        <f>SUM(E29:L29)</f>
        <v>0</v>
      </c>
      <c r="N29" s="404"/>
      <c r="O29" s="567"/>
      <c r="Q29" s="65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8"/>
    </row>
    <row r="30" spans="2:30" ht="22.9" customHeight="1" x14ac:dyDescent="0.2">
      <c r="B30" s="579"/>
      <c r="C30" s="638" t="s">
        <v>609</v>
      </c>
      <c r="D30" s="639"/>
      <c r="E30" s="643">
        <f>+M19</f>
        <v>0</v>
      </c>
      <c r="F30" s="640"/>
      <c r="G30" s="641"/>
      <c r="H30" s="641"/>
      <c r="I30" s="641"/>
      <c r="J30" s="641"/>
      <c r="K30" s="641"/>
      <c r="L30" s="642"/>
      <c r="M30" s="643">
        <f>SUM(E30:L30)</f>
        <v>0</v>
      </c>
      <c r="N30" s="408"/>
      <c r="O30" s="567"/>
      <c r="Q30" s="91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3"/>
    </row>
    <row r="31" spans="2:30" ht="22.9" customHeight="1" x14ac:dyDescent="0.2">
      <c r="B31" s="579"/>
      <c r="C31" s="644" t="s">
        <v>610</v>
      </c>
      <c r="D31" s="645"/>
      <c r="E31" s="646">
        <f t="shared" ref="E31:M31" si="1">SUM(E26:E30)</f>
        <v>40726619.629999995</v>
      </c>
      <c r="F31" s="646">
        <f t="shared" si="1"/>
        <v>453294.58</v>
      </c>
      <c r="G31" s="646">
        <f t="shared" si="1"/>
        <v>0</v>
      </c>
      <c r="H31" s="646">
        <f t="shared" si="1"/>
        <v>0</v>
      </c>
      <c r="I31" s="646">
        <f t="shared" si="1"/>
        <v>-2580021.3299999996</v>
      </c>
      <c r="J31" s="646">
        <f t="shared" si="1"/>
        <v>0</v>
      </c>
      <c r="K31" s="646">
        <f t="shared" si="1"/>
        <v>0</v>
      </c>
      <c r="L31" s="646">
        <f t="shared" si="1"/>
        <v>0</v>
      </c>
      <c r="M31" s="646">
        <f t="shared" si="1"/>
        <v>38599892.880000003</v>
      </c>
      <c r="N31" s="647"/>
      <c r="O31" s="567"/>
      <c r="Q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/>
    </row>
    <row r="32" spans="2:30" ht="9" customHeight="1" x14ac:dyDescent="0.2">
      <c r="B32" s="579"/>
      <c r="C32" s="648"/>
      <c r="D32" s="648"/>
      <c r="E32" s="649"/>
      <c r="F32" s="649"/>
      <c r="G32" s="649"/>
      <c r="H32" s="649"/>
      <c r="I32" s="649"/>
      <c r="J32" s="649"/>
      <c r="K32" s="649"/>
      <c r="L32" s="649"/>
      <c r="M32" s="649"/>
      <c r="N32" s="649"/>
      <c r="O32" s="567"/>
      <c r="Q32" s="65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</row>
    <row r="33" spans="2:30" ht="22.9" customHeight="1" x14ac:dyDescent="0.2">
      <c r="B33" s="579"/>
      <c r="C33" s="650" t="s">
        <v>611</v>
      </c>
      <c r="D33" s="651"/>
      <c r="E33" s="646">
        <f>+M22</f>
        <v>506863.28</v>
      </c>
      <c r="F33" s="653"/>
      <c r="G33" s="654"/>
      <c r="H33" s="654"/>
      <c r="I33" s="654"/>
      <c r="J33" s="654"/>
      <c r="K33" s="654"/>
      <c r="L33" s="655"/>
      <c r="M33" s="646">
        <f>SUM(E33:L33)</f>
        <v>506863.28</v>
      </c>
      <c r="N33" s="656"/>
      <c r="O33" s="567"/>
      <c r="Q33" s="65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8"/>
    </row>
    <row r="34" spans="2:30" ht="22.9" customHeight="1" x14ac:dyDescent="0.2">
      <c r="B34" s="579"/>
      <c r="C34" s="576"/>
      <c r="D34" s="576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67"/>
      <c r="Q34" s="65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8"/>
    </row>
    <row r="35" spans="2:30" ht="22.9" customHeight="1" x14ac:dyDescent="0.2">
      <c r="B35" s="579"/>
      <c r="C35" s="657" t="s">
        <v>167</v>
      </c>
      <c r="D35" s="658"/>
      <c r="E35" s="659"/>
      <c r="F35" s="659"/>
      <c r="G35" s="659"/>
      <c r="H35" s="659"/>
      <c r="I35" s="659"/>
      <c r="J35" s="659"/>
      <c r="K35" s="659"/>
      <c r="L35" s="659"/>
      <c r="M35" s="659"/>
      <c r="N35" s="577"/>
      <c r="O35" s="567"/>
      <c r="Q35" s="65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</row>
    <row r="36" spans="2:30" ht="18" x14ac:dyDescent="0.2">
      <c r="B36" s="579"/>
      <c r="C36" s="658" t="s">
        <v>613</v>
      </c>
      <c r="D36" s="658"/>
      <c r="E36" s="659"/>
      <c r="F36" s="659"/>
      <c r="G36" s="659"/>
      <c r="H36" s="659"/>
      <c r="I36" s="659"/>
      <c r="J36" s="659"/>
      <c r="K36" s="659"/>
      <c r="L36" s="659"/>
      <c r="M36" s="659"/>
      <c r="N36" s="577"/>
      <c r="O36" s="567"/>
      <c r="Q36" s="94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6"/>
    </row>
    <row r="37" spans="2:30" ht="18" x14ac:dyDescent="0.2">
      <c r="B37" s="579"/>
      <c r="C37" s="658" t="s">
        <v>614</v>
      </c>
      <c r="D37" s="658"/>
      <c r="E37" s="659"/>
      <c r="F37" s="659"/>
      <c r="G37" s="659"/>
      <c r="H37" s="659"/>
      <c r="I37" s="659"/>
      <c r="J37" s="659"/>
      <c r="K37" s="659"/>
      <c r="L37" s="659"/>
      <c r="M37" s="659"/>
      <c r="N37" s="577"/>
      <c r="O37" s="567"/>
      <c r="Q37" s="94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6"/>
    </row>
    <row r="38" spans="2:30" ht="18" x14ac:dyDescent="0.2">
      <c r="B38" s="579"/>
      <c r="C38" s="658" t="s">
        <v>615</v>
      </c>
      <c r="D38" s="658"/>
      <c r="E38" s="659"/>
      <c r="F38" s="659"/>
      <c r="G38" s="659"/>
      <c r="H38" s="659"/>
      <c r="I38" s="659"/>
      <c r="J38" s="659"/>
      <c r="K38" s="659"/>
      <c r="L38" s="659"/>
      <c r="M38" s="659"/>
      <c r="N38" s="577"/>
      <c r="O38" s="567"/>
      <c r="Q38" s="94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6"/>
    </row>
    <row r="39" spans="2:30" ht="18" x14ac:dyDescent="0.2">
      <c r="B39" s="579"/>
      <c r="C39" s="658" t="s">
        <v>616</v>
      </c>
      <c r="D39" s="658"/>
      <c r="E39" s="659"/>
      <c r="F39" s="659"/>
      <c r="G39" s="659"/>
      <c r="H39" s="659"/>
      <c r="I39" s="659"/>
      <c r="J39" s="659"/>
      <c r="K39" s="659"/>
      <c r="L39" s="659"/>
      <c r="M39" s="659"/>
      <c r="N39" s="577"/>
      <c r="O39" s="567"/>
      <c r="Q39" s="94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6"/>
    </row>
    <row r="40" spans="2:30" ht="18" x14ac:dyDescent="0.2">
      <c r="B40" s="579"/>
      <c r="C40" s="658" t="s">
        <v>617</v>
      </c>
      <c r="D40" s="658"/>
      <c r="E40" s="659"/>
      <c r="F40" s="659"/>
      <c r="G40" s="659"/>
      <c r="H40" s="659"/>
      <c r="I40" s="659"/>
      <c r="J40" s="659"/>
      <c r="K40" s="659"/>
      <c r="L40" s="659"/>
      <c r="M40" s="659"/>
      <c r="N40" s="577"/>
      <c r="O40" s="567"/>
      <c r="Q40" s="94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6"/>
    </row>
    <row r="41" spans="2:30" ht="18" x14ac:dyDescent="0.2">
      <c r="B41" s="579"/>
      <c r="C41" s="658" t="s">
        <v>618</v>
      </c>
      <c r="D41" s="658"/>
      <c r="E41" s="659"/>
      <c r="F41" s="659"/>
      <c r="G41" s="659"/>
      <c r="H41" s="659"/>
      <c r="I41" s="659"/>
      <c r="J41" s="659"/>
      <c r="K41" s="659"/>
      <c r="L41" s="659"/>
      <c r="M41" s="659"/>
      <c r="N41" s="577"/>
      <c r="O41" s="567"/>
      <c r="Q41" s="94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6"/>
    </row>
    <row r="42" spans="2:30" ht="18" x14ac:dyDescent="0.2">
      <c r="B42" s="579"/>
      <c r="C42" s="658" t="s">
        <v>619</v>
      </c>
      <c r="D42" s="658"/>
      <c r="E42" s="659"/>
      <c r="F42" s="659"/>
      <c r="G42" s="659"/>
      <c r="H42" s="659"/>
      <c r="I42" s="659"/>
      <c r="J42" s="659"/>
      <c r="K42" s="659"/>
      <c r="L42" s="659"/>
      <c r="M42" s="659"/>
      <c r="N42" s="577"/>
      <c r="O42" s="567"/>
      <c r="Q42" s="94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6"/>
    </row>
    <row r="43" spans="2:30" ht="18" x14ac:dyDescent="0.2">
      <c r="B43" s="579"/>
      <c r="C43" s="658" t="s">
        <v>620</v>
      </c>
      <c r="D43" s="658"/>
      <c r="E43" s="659"/>
      <c r="F43" s="659"/>
      <c r="G43" s="659"/>
      <c r="H43" s="659"/>
      <c r="I43" s="659"/>
      <c r="J43" s="659"/>
      <c r="K43" s="659"/>
      <c r="L43" s="659"/>
      <c r="M43" s="659"/>
      <c r="N43" s="577"/>
      <c r="O43" s="567"/>
      <c r="Q43" s="94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6"/>
    </row>
    <row r="44" spans="2:30" ht="18" x14ac:dyDescent="0.2">
      <c r="B44" s="579"/>
      <c r="C44" s="658" t="s">
        <v>621</v>
      </c>
      <c r="D44" s="658"/>
      <c r="E44" s="659"/>
      <c r="F44" s="659"/>
      <c r="G44" s="659"/>
      <c r="H44" s="659"/>
      <c r="I44" s="659"/>
      <c r="J44" s="659"/>
      <c r="K44" s="659"/>
      <c r="L44" s="659"/>
      <c r="M44" s="659"/>
      <c r="N44" s="577"/>
      <c r="O44" s="567"/>
      <c r="Q44" s="94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6"/>
    </row>
    <row r="45" spans="2:30" ht="18" x14ac:dyDescent="0.2">
      <c r="B45" s="579"/>
      <c r="C45" s="658" t="s">
        <v>622</v>
      </c>
      <c r="D45" s="658"/>
      <c r="E45" s="659"/>
      <c r="F45" s="659"/>
      <c r="G45" s="659"/>
      <c r="H45" s="659"/>
      <c r="I45" s="659"/>
      <c r="J45" s="659"/>
      <c r="K45" s="659"/>
      <c r="L45" s="659"/>
      <c r="M45" s="659"/>
      <c r="N45" s="577"/>
      <c r="O45" s="567"/>
      <c r="Q45" s="94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6"/>
    </row>
    <row r="46" spans="2:30" ht="22.9" customHeight="1" x14ac:dyDescent="0.2">
      <c r="B46" s="613"/>
      <c r="C46" s="996"/>
      <c r="D46" s="996"/>
      <c r="E46" s="996"/>
      <c r="F46" s="996"/>
      <c r="G46" s="283"/>
      <c r="H46" s="283"/>
      <c r="I46" s="283"/>
      <c r="J46" s="283"/>
      <c r="K46" s="283"/>
      <c r="L46" s="283"/>
      <c r="M46" s="283"/>
      <c r="N46" s="614"/>
      <c r="O46" s="615"/>
      <c r="Q46" s="103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5"/>
    </row>
    <row r="47" spans="2:30" ht="22.9" customHeight="1" x14ac:dyDescent="0.2">
      <c r="C47" s="556"/>
      <c r="D47" s="556"/>
      <c r="E47" s="566"/>
      <c r="F47" s="566"/>
      <c r="G47" s="566"/>
      <c r="H47" s="566"/>
      <c r="I47" s="566"/>
      <c r="J47" s="566"/>
      <c r="K47" s="566"/>
      <c r="L47" s="566"/>
      <c r="M47" s="566"/>
      <c r="N47" s="566"/>
    </row>
    <row r="48" spans="2:30" ht="15" x14ac:dyDescent="0.2">
      <c r="C48" s="556" t="s">
        <v>55</v>
      </c>
      <c r="D48" s="556"/>
      <c r="E48" s="566"/>
      <c r="F48" s="566"/>
      <c r="G48" s="566"/>
      <c r="H48" s="566"/>
      <c r="I48" s="566"/>
      <c r="J48" s="566"/>
      <c r="K48" s="566"/>
      <c r="L48" s="566"/>
      <c r="M48" s="566"/>
      <c r="N48" s="558" t="s">
        <v>25</v>
      </c>
    </row>
    <row r="49" spans="3:14" ht="15" x14ac:dyDescent="0.2">
      <c r="C49" s="616" t="s">
        <v>57</v>
      </c>
      <c r="D49" s="556"/>
      <c r="E49" s="566"/>
      <c r="F49" s="566"/>
      <c r="G49" s="566"/>
      <c r="H49" s="566"/>
      <c r="I49" s="566"/>
      <c r="J49" s="566"/>
      <c r="K49" s="566"/>
      <c r="L49" s="566"/>
      <c r="M49" s="566"/>
      <c r="N49" s="566"/>
    </row>
    <row r="50" spans="3:14" ht="15" x14ac:dyDescent="0.2">
      <c r="C50" s="616" t="s">
        <v>58</v>
      </c>
      <c r="D50" s="556"/>
      <c r="E50" s="566"/>
      <c r="F50" s="566"/>
      <c r="G50" s="566"/>
      <c r="H50" s="566"/>
      <c r="I50" s="566"/>
      <c r="J50" s="566"/>
      <c r="K50" s="566"/>
      <c r="L50" s="566"/>
      <c r="M50" s="566"/>
      <c r="N50" s="566"/>
    </row>
    <row r="51" spans="3:14" ht="15" x14ac:dyDescent="0.2">
      <c r="C51" s="616" t="s">
        <v>59</v>
      </c>
      <c r="D51" s="556"/>
      <c r="E51" s="566"/>
      <c r="F51" s="566"/>
      <c r="G51" s="566"/>
      <c r="H51" s="566"/>
      <c r="I51" s="566"/>
      <c r="J51" s="566"/>
      <c r="K51" s="566"/>
      <c r="L51" s="566"/>
      <c r="M51" s="566"/>
      <c r="N51" s="566"/>
    </row>
    <row r="52" spans="3:14" ht="15" x14ac:dyDescent="0.2">
      <c r="C52" s="616" t="s">
        <v>60</v>
      </c>
      <c r="D52" s="556"/>
      <c r="E52" s="566"/>
      <c r="F52" s="566"/>
      <c r="G52" s="566"/>
      <c r="H52" s="566"/>
      <c r="I52" s="566"/>
      <c r="J52" s="566"/>
      <c r="K52" s="566"/>
      <c r="L52" s="566"/>
      <c r="M52" s="566"/>
      <c r="N52" s="566"/>
    </row>
  </sheetData>
  <sheetProtection password="E059" sheet="1" objects="1" scenarios="1"/>
  <mergeCells count="9">
    <mergeCell ref="C46:F46"/>
    <mergeCell ref="N6:N7"/>
    <mergeCell ref="D9:N9"/>
    <mergeCell ref="C13:D13"/>
    <mergeCell ref="F13:L13"/>
    <mergeCell ref="N13:N14"/>
    <mergeCell ref="C24:D24"/>
    <mergeCell ref="F24:L24"/>
    <mergeCell ref="N24:N25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8" scale="67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7"/>
  <sheetViews>
    <sheetView zoomScale="50" zoomScaleNormal="50" workbookViewId="0">
      <selection activeCell="S46" sqref="S46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24.5546875" style="22" customWidth="1"/>
    <col min="5" max="12" width="14.21875" style="559" customWidth="1"/>
    <col min="13" max="13" width="27.21875" style="559" customWidth="1"/>
    <col min="14" max="14" width="3.21875" style="22" customWidth="1"/>
    <col min="15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2"/>
      <c r="K5" s="562"/>
      <c r="L5" s="562"/>
      <c r="M5" s="562"/>
      <c r="N5" s="563"/>
      <c r="O5"/>
      <c r="P5" s="62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4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566"/>
      <c r="K6" s="566"/>
      <c r="L6" s="566"/>
      <c r="M6" s="981">
        <f>ejercicio</f>
        <v>2018</v>
      </c>
      <c r="N6" s="567"/>
      <c r="O6"/>
      <c r="P6" s="65"/>
      <c r="Q6" s="66" t="s">
        <v>93</v>
      </c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566"/>
      <c r="K7" s="566"/>
      <c r="L7" s="566"/>
      <c r="M7" s="981"/>
      <c r="N7" s="567"/>
      <c r="O7"/>
      <c r="P7" s="65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6"/>
      <c r="K8" s="566"/>
      <c r="L8" s="566"/>
      <c r="M8" s="568"/>
      <c r="N8" s="567"/>
      <c r="O8"/>
      <c r="P8" s="65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995"/>
      <c r="K9" s="995"/>
      <c r="L9" s="995"/>
      <c r="M9" s="995"/>
      <c r="N9" s="570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1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6"/>
      <c r="K10" s="566"/>
      <c r="L10" s="566"/>
      <c r="M10" s="566"/>
      <c r="N10" s="567"/>
      <c r="O10"/>
      <c r="P10" s="65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623</v>
      </c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5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7"/>
      <c r="J12" s="577"/>
      <c r="K12" s="577"/>
      <c r="L12" s="577"/>
      <c r="M12" s="577"/>
      <c r="N12" s="575"/>
      <c r="O1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0" customHeight="1" x14ac:dyDescent="0.25">
      <c r="A13" s="571"/>
      <c r="B13" s="572"/>
      <c r="C13" s="233" t="s">
        <v>624</v>
      </c>
      <c r="D13" s="16"/>
      <c r="E13" s="577"/>
      <c r="F13" s="577"/>
      <c r="G13" s="577"/>
      <c r="H13" s="577"/>
      <c r="I13" s="577"/>
      <c r="J13" s="577"/>
      <c r="K13" s="577"/>
      <c r="L13" s="577"/>
      <c r="M13" s="577"/>
      <c r="N13" s="575"/>
      <c r="O13"/>
      <c r="P13" s="65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30" customHeight="1" x14ac:dyDescent="0.25">
      <c r="A14" s="571"/>
      <c r="B14" s="572"/>
      <c r="C14" s="16"/>
      <c r="D14" s="16"/>
      <c r="E14" s="577"/>
      <c r="F14" s="577"/>
      <c r="G14" s="577"/>
      <c r="H14" s="577"/>
      <c r="I14" s="577"/>
      <c r="J14" s="577"/>
      <c r="K14" s="577"/>
      <c r="L14" s="577"/>
      <c r="M14" s="577"/>
      <c r="N14" s="575"/>
      <c r="O14"/>
      <c r="P14" s="65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578" customFormat="1" ht="22.9" customHeight="1" x14ac:dyDescent="0.2">
      <c r="B15" s="579"/>
      <c r="C15" s="661"/>
      <c r="D15" s="662"/>
      <c r="E15" s="617" t="s">
        <v>342</v>
      </c>
      <c r="F15" s="617" t="s">
        <v>625</v>
      </c>
      <c r="G15" s="1008" t="s">
        <v>594</v>
      </c>
      <c r="H15" s="1008"/>
      <c r="I15" s="1008"/>
      <c r="J15" s="617" t="s">
        <v>595</v>
      </c>
      <c r="K15" s="617" t="s">
        <v>626</v>
      </c>
      <c r="L15" s="617" t="s">
        <v>627</v>
      </c>
      <c r="M15" s="1006" t="s">
        <v>628</v>
      </c>
      <c r="N15" s="587"/>
      <c r="P15" s="6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</row>
    <row r="16" spans="1:256" ht="49.15" customHeight="1" x14ac:dyDescent="0.25">
      <c r="A16"/>
      <c r="B16" s="564"/>
      <c r="C16" s="663" t="s">
        <v>629</v>
      </c>
      <c r="D16" s="664"/>
      <c r="E16" s="665" t="s">
        <v>630</v>
      </c>
      <c r="F16" s="665">
        <f>ejercicio</f>
        <v>2018</v>
      </c>
      <c r="G16" s="622" t="s">
        <v>631</v>
      </c>
      <c r="H16" s="623" t="s">
        <v>632</v>
      </c>
      <c r="I16" s="624" t="s">
        <v>633</v>
      </c>
      <c r="J16" s="665">
        <f>ejercicio</f>
        <v>2018</v>
      </c>
      <c r="K16" s="665" t="s">
        <v>634</v>
      </c>
      <c r="L16" s="665">
        <f>ejercicio</f>
        <v>2018</v>
      </c>
      <c r="M16" s="1006"/>
      <c r="N16" s="567"/>
      <c r="O16"/>
      <c r="P16" s="65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8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0" customHeight="1" x14ac:dyDescent="0.25">
      <c r="A17"/>
      <c r="B17" s="564"/>
      <c r="C17" s="1009" t="s">
        <v>635</v>
      </c>
      <c r="D17" s="1009"/>
      <c r="E17" s="1009"/>
      <c r="F17" s="1009"/>
      <c r="G17" s="1009"/>
      <c r="H17" s="1009"/>
      <c r="I17" s="1009"/>
      <c r="J17" s="1009"/>
      <c r="K17" s="1009"/>
      <c r="L17" s="1009"/>
      <c r="M17" s="1009"/>
      <c r="N17" s="567"/>
      <c r="O17"/>
      <c r="P17" s="65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8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588" customFormat="1" ht="22.9" customHeight="1" x14ac:dyDescent="0.2">
      <c r="B18" s="579"/>
      <c r="C18" s="1010" t="s">
        <v>157</v>
      </c>
      <c r="D18" s="1010"/>
      <c r="E18" s="666" t="s">
        <v>636</v>
      </c>
      <c r="F18" s="667">
        <f>115394.32-59000+27687.88</f>
        <v>84082.200000000012</v>
      </c>
      <c r="G18" s="668"/>
      <c r="H18" s="668"/>
      <c r="I18" s="668"/>
      <c r="J18" s="669">
        <f t="shared" ref="J18:J24" si="0">SUM(F18:I18)</f>
        <v>84082.200000000012</v>
      </c>
      <c r="K18" s="670">
        <v>1</v>
      </c>
      <c r="L18" s="671"/>
      <c r="M18" s="672"/>
      <c r="N18" s="587"/>
      <c r="P18" s="65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8"/>
    </row>
    <row r="19" spans="1:256" ht="22.9" customHeight="1" x14ac:dyDescent="0.2">
      <c r="B19" s="579"/>
      <c r="C19" s="1011" t="s">
        <v>162</v>
      </c>
      <c r="D19" s="1011"/>
      <c r="E19" s="666">
        <v>24004</v>
      </c>
      <c r="F19" s="634">
        <v>16000</v>
      </c>
      <c r="G19" s="635"/>
      <c r="H19" s="635"/>
      <c r="I19" s="635"/>
      <c r="J19" s="637">
        <f t="shared" si="0"/>
        <v>16000</v>
      </c>
      <c r="K19" s="673">
        <f>80/400</f>
        <v>0.2</v>
      </c>
      <c r="L19" s="674"/>
      <c r="M19" s="675"/>
      <c r="N19" s="567"/>
      <c r="P19" s="65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8"/>
    </row>
    <row r="20" spans="1:256" ht="22.9" customHeight="1" x14ac:dyDescent="0.2">
      <c r="B20" s="579"/>
      <c r="C20" s="1011"/>
      <c r="D20" s="1011"/>
      <c r="E20" s="676"/>
      <c r="F20" s="634"/>
      <c r="G20" s="635"/>
      <c r="H20" s="635"/>
      <c r="I20" s="635"/>
      <c r="J20" s="637">
        <f t="shared" si="0"/>
        <v>0</v>
      </c>
      <c r="K20" s="673"/>
      <c r="L20" s="674"/>
      <c r="M20" s="675"/>
      <c r="N20" s="567"/>
      <c r="P20" s="6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8"/>
    </row>
    <row r="21" spans="1:256" ht="22.9" customHeight="1" x14ac:dyDescent="0.2">
      <c r="B21" s="579"/>
      <c r="C21" s="1011"/>
      <c r="D21" s="1011"/>
      <c r="E21" s="676"/>
      <c r="F21" s="634"/>
      <c r="G21" s="635"/>
      <c r="H21" s="635"/>
      <c r="I21" s="635"/>
      <c r="J21" s="637">
        <f t="shared" si="0"/>
        <v>0</v>
      </c>
      <c r="K21" s="673"/>
      <c r="L21" s="674"/>
      <c r="M21" s="675"/>
      <c r="N21" s="567"/>
      <c r="P21" s="6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8"/>
    </row>
    <row r="22" spans="1:256" ht="22.9" customHeight="1" x14ac:dyDescent="0.2">
      <c r="B22" s="579"/>
      <c r="C22" s="1011"/>
      <c r="D22" s="1011"/>
      <c r="E22" s="677"/>
      <c r="F22" s="678"/>
      <c r="G22" s="679"/>
      <c r="H22" s="679"/>
      <c r="I22" s="679"/>
      <c r="J22" s="637">
        <f t="shared" si="0"/>
        <v>0</v>
      </c>
      <c r="K22" s="680"/>
      <c r="L22" s="681"/>
      <c r="M22" s="682"/>
      <c r="N22" s="567"/>
      <c r="P22" s="65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8"/>
    </row>
    <row r="23" spans="1:256" ht="22.9" customHeight="1" x14ac:dyDescent="0.2">
      <c r="B23" s="579"/>
      <c r="C23" s="1011"/>
      <c r="D23" s="1011"/>
      <c r="E23" s="677"/>
      <c r="F23" s="678"/>
      <c r="G23" s="679"/>
      <c r="H23" s="679"/>
      <c r="I23" s="679"/>
      <c r="J23" s="637">
        <f t="shared" si="0"/>
        <v>0</v>
      </c>
      <c r="K23" s="680"/>
      <c r="L23" s="681"/>
      <c r="M23" s="682"/>
      <c r="N23" s="567"/>
      <c r="P23" s="65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8"/>
    </row>
    <row r="24" spans="1:256" ht="22.9" customHeight="1" x14ac:dyDescent="0.2">
      <c r="B24" s="579"/>
      <c r="C24" s="683"/>
      <c r="D24" s="684"/>
      <c r="E24" s="685"/>
      <c r="F24" s="640"/>
      <c r="G24" s="641"/>
      <c r="H24" s="641"/>
      <c r="I24" s="641"/>
      <c r="J24" s="643">
        <f t="shared" si="0"/>
        <v>0</v>
      </c>
      <c r="K24" s="686"/>
      <c r="L24" s="687"/>
      <c r="M24" s="688"/>
      <c r="N24" s="567"/>
      <c r="P24" s="65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8"/>
    </row>
    <row r="25" spans="1:256" ht="22.9" customHeight="1" x14ac:dyDescent="0.2">
      <c r="B25" s="579"/>
      <c r="C25" s="644" t="s">
        <v>610</v>
      </c>
      <c r="D25" s="645"/>
      <c r="E25" s="646"/>
      <c r="F25" s="646">
        <f>SUM(F18:F24)</f>
        <v>100082.20000000001</v>
      </c>
      <c r="G25" s="646">
        <f>SUM(G18:G24)</f>
        <v>0</v>
      </c>
      <c r="H25" s="646">
        <f>SUM(H18:H24)</f>
        <v>0</v>
      </c>
      <c r="I25" s="646">
        <f>SUM(I18:I24)</f>
        <v>0</v>
      </c>
      <c r="J25" s="646">
        <f>SUM(J18:J24)</f>
        <v>100082.20000000001</v>
      </c>
      <c r="K25" s="689"/>
      <c r="L25" s="646">
        <f>SUM(L18:L24)</f>
        <v>0</v>
      </c>
      <c r="M25" s="647"/>
      <c r="N25" s="567"/>
      <c r="P25" s="65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8"/>
    </row>
    <row r="26" spans="1:256" ht="30" customHeight="1" x14ac:dyDescent="0.25">
      <c r="B26" s="564"/>
      <c r="C26" s="1012" t="s">
        <v>637</v>
      </c>
      <c r="D26" s="1012"/>
      <c r="E26" s="1012"/>
      <c r="F26" s="1012"/>
      <c r="G26" s="1012"/>
      <c r="H26" s="1012"/>
      <c r="I26" s="1012"/>
      <c r="J26" s="1012"/>
      <c r="K26" s="1012"/>
      <c r="L26" s="1012"/>
      <c r="M26" s="1012"/>
      <c r="N26" s="567"/>
      <c r="P26" s="65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8"/>
    </row>
    <row r="27" spans="1:256" ht="22.9" customHeight="1" x14ac:dyDescent="0.2">
      <c r="B27" s="579"/>
      <c r="C27" s="1010"/>
      <c r="D27" s="1010"/>
      <c r="E27" s="666"/>
      <c r="F27" s="667"/>
      <c r="G27" s="668"/>
      <c r="H27" s="668"/>
      <c r="I27" s="668"/>
      <c r="J27" s="669">
        <f t="shared" ref="J27:J33" si="1">SUM(F27:I27)</f>
        <v>0</v>
      </c>
      <c r="K27" s="670"/>
      <c r="L27" s="671"/>
      <c r="M27" s="672"/>
      <c r="N27" s="587"/>
      <c r="P27" s="65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8"/>
    </row>
    <row r="28" spans="1:256" ht="22.9" customHeight="1" x14ac:dyDescent="0.2">
      <c r="B28" s="579"/>
      <c r="C28" s="1011"/>
      <c r="D28" s="1011"/>
      <c r="E28" s="676"/>
      <c r="F28" s="634"/>
      <c r="G28" s="635"/>
      <c r="H28" s="635"/>
      <c r="I28" s="635"/>
      <c r="J28" s="637">
        <f t="shared" si="1"/>
        <v>0</v>
      </c>
      <c r="K28" s="673"/>
      <c r="L28" s="674"/>
      <c r="M28" s="675"/>
      <c r="N28" s="567"/>
      <c r="P28" s="65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8"/>
    </row>
    <row r="29" spans="1:256" ht="22.9" customHeight="1" x14ac:dyDescent="0.2">
      <c r="B29" s="579"/>
      <c r="C29" s="1011"/>
      <c r="D29" s="1011"/>
      <c r="E29" s="676"/>
      <c r="F29" s="634"/>
      <c r="G29" s="635"/>
      <c r="H29" s="635"/>
      <c r="I29" s="635"/>
      <c r="J29" s="637">
        <f t="shared" si="1"/>
        <v>0</v>
      </c>
      <c r="K29" s="673"/>
      <c r="L29" s="674"/>
      <c r="M29" s="675"/>
      <c r="N29" s="567"/>
      <c r="P29" s="65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8"/>
    </row>
    <row r="30" spans="1:256" ht="22.9" customHeight="1" x14ac:dyDescent="0.2">
      <c r="B30" s="579"/>
      <c r="C30" s="1011"/>
      <c r="D30" s="1011"/>
      <c r="E30" s="676"/>
      <c r="F30" s="634"/>
      <c r="G30" s="635"/>
      <c r="H30" s="635"/>
      <c r="I30" s="635"/>
      <c r="J30" s="637">
        <f t="shared" si="1"/>
        <v>0</v>
      </c>
      <c r="K30" s="673"/>
      <c r="L30" s="674"/>
      <c r="M30" s="675"/>
      <c r="N30" s="567"/>
      <c r="P30" s="91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3"/>
    </row>
    <row r="31" spans="1:256" ht="22.9" customHeight="1" x14ac:dyDescent="0.2">
      <c r="B31" s="579"/>
      <c r="C31" s="1011"/>
      <c r="D31" s="1011"/>
      <c r="E31" s="677"/>
      <c r="F31" s="678"/>
      <c r="G31" s="679"/>
      <c r="H31" s="679"/>
      <c r="I31" s="679"/>
      <c r="J31" s="637">
        <f t="shared" si="1"/>
        <v>0</v>
      </c>
      <c r="K31" s="680"/>
      <c r="L31" s="681"/>
      <c r="M31" s="682"/>
      <c r="N31" s="567"/>
      <c r="P31" s="91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3"/>
    </row>
    <row r="32" spans="1:256" ht="22.9" customHeight="1" x14ac:dyDescent="0.2">
      <c r="B32" s="579"/>
      <c r="C32" s="1011"/>
      <c r="D32" s="1011"/>
      <c r="E32" s="677"/>
      <c r="F32" s="678"/>
      <c r="G32" s="679"/>
      <c r="H32" s="679"/>
      <c r="I32" s="679"/>
      <c r="J32" s="637">
        <f t="shared" si="1"/>
        <v>0</v>
      </c>
      <c r="K32" s="680"/>
      <c r="L32" s="681"/>
      <c r="M32" s="682"/>
      <c r="N32" s="567"/>
      <c r="P32" s="65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8"/>
    </row>
    <row r="33" spans="2:29" ht="22.9" customHeight="1" x14ac:dyDescent="0.2">
      <c r="B33" s="579"/>
      <c r="C33" s="1013"/>
      <c r="D33" s="1013"/>
      <c r="E33" s="685"/>
      <c r="F33" s="640"/>
      <c r="G33" s="641"/>
      <c r="H33" s="641"/>
      <c r="I33" s="641"/>
      <c r="J33" s="643">
        <f t="shared" si="1"/>
        <v>0</v>
      </c>
      <c r="K33" s="686"/>
      <c r="L33" s="687"/>
      <c r="M33" s="688"/>
      <c r="N33" s="567"/>
      <c r="P33" s="65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8"/>
    </row>
    <row r="34" spans="2:29" ht="22.9" customHeight="1" x14ac:dyDescent="0.2">
      <c r="B34" s="579"/>
      <c r="C34" s="644" t="s">
        <v>610</v>
      </c>
      <c r="D34" s="645"/>
      <c r="E34" s="646"/>
      <c r="F34" s="646">
        <f>SUM(F27:F33)</f>
        <v>0</v>
      </c>
      <c r="G34" s="646">
        <f>SUM(G27:G33)</f>
        <v>0</v>
      </c>
      <c r="H34" s="646">
        <f>SUM(H27:H33)</f>
        <v>0</v>
      </c>
      <c r="I34" s="646">
        <f>SUM(I27:I33)</f>
        <v>0</v>
      </c>
      <c r="J34" s="646">
        <f>SUM(J27:J33)</f>
        <v>0</v>
      </c>
      <c r="K34" s="689"/>
      <c r="L34" s="646">
        <f>SUM(L27:L33)</f>
        <v>0</v>
      </c>
      <c r="M34" s="647"/>
      <c r="N34" s="567"/>
      <c r="P34" s="65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8"/>
    </row>
    <row r="35" spans="2:29" ht="22.9" customHeight="1" x14ac:dyDescent="0.2">
      <c r="B35" s="579"/>
      <c r="C35" s="648"/>
      <c r="D35" s="648"/>
      <c r="E35" s="649"/>
      <c r="F35" s="649"/>
      <c r="G35" s="649"/>
      <c r="H35" s="649"/>
      <c r="I35" s="649"/>
      <c r="J35" s="649"/>
      <c r="K35" s="649"/>
      <c r="L35" s="649"/>
      <c r="M35" s="649"/>
      <c r="N35" s="567"/>
      <c r="P35" s="65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8"/>
    </row>
    <row r="36" spans="2:29" ht="22.9" customHeight="1" x14ac:dyDescent="0.2">
      <c r="B36" s="579"/>
      <c r="C36" s="648"/>
      <c r="D36" s="648"/>
      <c r="E36" s="649"/>
      <c r="F36" s="649"/>
      <c r="G36" s="649"/>
      <c r="H36" s="649"/>
      <c r="I36" s="649"/>
      <c r="J36" s="649"/>
      <c r="K36" s="649"/>
      <c r="L36" s="649"/>
      <c r="M36" s="649"/>
      <c r="N36" s="567"/>
      <c r="P36" s="94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6"/>
    </row>
    <row r="37" spans="2:29" ht="22.9" customHeight="1" x14ac:dyDescent="0.2">
      <c r="B37" s="579"/>
      <c r="C37" s="233" t="s">
        <v>638</v>
      </c>
      <c r="D37" s="16"/>
      <c r="E37" s="577"/>
      <c r="F37" s="577"/>
      <c r="G37" s="577"/>
      <c r="H37" s="577"/>
      <c r="I37" s="577"/>
      <c r="J37" s="577"/>
      <c r="K37" s="577"/>
      <c r="L37" s="577"/>
      <c r="M37" s="577"/>
      <c r="N37" s="567"/>
      <c r="P37" s="94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</row>
    <row r="38" spans="2:29" ht="22.9" customHeight="1" x14ac:dyDescent="0.2">
      <c r="B38" s="579"/>
      <c r="C38" s="16"/>
      <c r="D38" s="16"/>
      <c r="E38" s="577"/>
      <c r="F38" s="577"/>
      <c r="G38" s="577"/>
      <c r="H38" s="577"/>
      <c r="I38" s="577"/>
      <c r="J38" s="577"/>
      <c r="K38" s="577"/>
      <c r="L38" s="577"/>
      <c r="M38" s="577"/>
      <c r="N38" s="567"/>
      <c r="P38" s="94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6"/>
    </row>
    <row r="39" spans="2:29" ht="22.9" customHeight="1" x14ac:dyDescent="0.2">
      <c r="B39" s="579"/>
      <c r="C39" s="661"/>
      <c r="D39" s="662"/>
      <c r="E39" s="617" t="s">
        <v>342</v>
      </c>
      <c r="F39" s="617" t="s">
        <v>625</v>
      </c>
      <c r="G39" s="1008" t="s">
        <v>594</v>
      </c>
      <c r="H39" s="1008"/>
      <c r="I39" s="1008"/>
      <c r="J39" s="617" t="s">
        <v>595</v>
      </c>
      <c r="K39" s="617" t="s">
        <v>626</v>
      </c>
      <c r="L39" s="617" t="s">
        <v>627</v>
      </c>
      <c r="M39" s="1006" t="s">
        <v>639</v>
      </c>
      <c r="N39" s="567"/>
      <c r="P39" s="94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6"/>
    </row>
    <row r="40" spans="2:29" ht="49.15" customHeight="1" x14ac:dyDescent="0.25">
      <c r="B40" s="579"/>
      <c r="C40" s="663" t="s">
        <v>629</v>
      </c>
      <c r="D40" s="664"/>
      <c r="E40" s="665" t="s">
        <v>630</v>
      </c>
      <c r="F40" s="665">
        <f>ejercicio</f>
        <v>2018</v>
      </c>
      <c r="G40" s="622" t="s">
        <v>631</v>
      </c>
      <c r="H40" s="623" t="s">
        <v>632</v>
      </c>
      <c r="I40" s="624" t="s">
        <v>633</v>
      </c>
      <c r="J40" s="665">
        <f>ejercicio</f>
        <v>2018</v>
      </c>
      <c r="K40" s="665" t="s">
        <v>640</v>
      </c>
      <c r="L40" s="665">
        <f>ejercicio</f>
        <v>2018</v>
      </c>
      <c r="M40" s="1006"/>
      <c r="N40" s="567"/>
      <c r="P40" s="94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6"/>
    </row>
    <row r="41" spans="2:29" ht="30" customHeight="1" x14ac:dyDescent="0.25">
      <c r="B41" s="579"/>
      <c r="C41" s="1009" t="s">
        <v>641</v>
      </c>
      <c r="D41" s="1009"/>
      <c r="E41" s="1009"/>
      <c r="F41" s="1009"/>
      <c r="G41" s="1009"/>
      <c r="H41" s="1009"/>
      <c r="I41" s="1009"/>
      <c r="J41" s="1009"/>
      <c r="K41" s="1009"/>
      <c r="L41" s="1009"/>
      <c r="M41" s="1009"/>
      <c r="N41" s="567"/>
      <c r="P41" s="94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6"/>
    </row>
    <row r="42" spans="2:29" ht="22.9" customHeight="1" x14ac:dyDescent="0.2">
      <c r="B42" s="579"/>
      <c r="C42" s="1010" t="s">
        <v>160</v>
      </c>
      <c r="D42" s="1010"/>
      <c r="E42" s="666">
        <v>250</v>
      </c>
      <c r="F42" s="667">
        <v>35584.160000000003</v>
      </c>
      <c r="G42" s="668"/>
      <c r="H42" s="668"/>
      <c r="I42" s="668"/>
      <c r="J42" s="669">
        <f t="shared" ref="J42:J48" si="2">SUM(F42:I42)</f>
        <v>35584.160000000003</v>
      </c>
      <c r="K42" s="670">
        <f>15/720</f>
        <v>2.0833333333333332E-2</v>
      </c>
      <c r="L42" s="690"/>
      <c r="M42" s="672"/>
      <c r="N42" s="567"/>
      <c r="P42" s="94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6"/>
    </row>
    <row r="43" spans="2:29" ht="22.9" customHeight="1" x14ac:dyDescent="0.2">
      <c r="B43" s="579"/>
      <c r="C43" s="1011"/>
      <c r="D43" s="1011"/>
      <c r="E43" s="676"/>
      <c r="F43" s="634"/>
      <c r="G43" s="635"/>
      <c r="H43" s="635"/>
      <c r="I43" s="635"/>
      <c r="J43" s="637">
        <f t="shared" si="2"/>
        <v>0</v>
      </c>
      <c r="K43" s="673"/>
      <c r="L43" s="691"/>
      <c r="M43" s="675"/>
      <c r="N43" s="567"/>
      <c r="P43" s="94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6"/>
    </row>
    <row r="44" spans="2:29" ht="22.9" customHeight="1" x14ac:dyDescent="0.2">
      <c r="B44" s="579"/>
      <c r="C44" s="1011"/>
      <c r="D44" s="1011"/>
      <c r="E44" s="676"/>
      <c r="F44" s="634"/>
      <c r="G44" s="635"/>
      <c r="H44" s="635"/>
      <c r="I44" s="635"/>
      <c r="J44" s="637">
        <f t="shared" si="2"/>
        <v>0</v>
      </c>
      <c r="K44" s="673"/>
      <c r="L44" s="691"/>
      <c r="M44" s="675"/>
      <c r="N44" s="567"/>
      <c r="P44" s="94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6"/>
    </row>
    <row r="45" spans="2:29" ht="22.9" customHeight="1" x14ac:dyDescent="0.2">
      <c r="B45" s="579"/>
      <c r="C45" s="1011"/>
      <c r="D45" s="1011"/>
      <c r="E45" s="676"/>
      <c r="F45" s="634"/>
      <c r="G45" s="635"/>
      <c r="H45" s="635"/>
      <c r="I45" s="635"/>
      <c r="J45" s="637">
        <f t="shared" si="2"/>
        <v>0</v>
      </c>
      <c r="K45" s="673"/>
      <c r="L45" s="691"/>
      <c r="M45" s="675"/>
      <c r="N45" s="567"/>
      <c r="P45" s="94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6"/>
    </row>
    <row r="46" spans="2:29" ht="22.9" customHeight="1" x14ac:dyDescent="0.2">
      <c r="B46" s="579"/>
      <c r="C46" s="1011"/>
      <c r="D46" s="1011"/>
      <c r="E46" s="677"/>
      <c r="F46" s="678"/>
      <c r="G46" s="679"/>
      <c r="H46" s="679"/>
      <c r="I46" s="679"/>
      <c r="J46" s="637">
        <f t="shared" si="2"/>
        <v>0</v>
      </c>
      <c r="K46" s="680"/>
      <c r="L46" s="692"/>
      <c r="M46" s="682"/>
      <c r="N46" s="567"/>
      <c r="P46" s="94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6"/>
    </row>
    <row r="47" spans="2:29" ht="22.9" customHeight="1" x14ac:dyDescent="0.2">
      <c r="B47" s="579"/>
      <c r="C47" s="1011"/>
      <c r="D47" s="1011"/>
      <c r="E47" s="677"/>
      <c r="F47" s="678"/>
      <c r="G47" s="679"/>
      <c r="H47" s="679"/>
      <c r="I47" s="679"/>
      <c r="J47" s="637">
        <f t="shared" si="2"/>
        <v>0</v>
      </c>
      <c r="K47" s="680"/>
      <c r="L47" s="692"/>
      <c r="M47" s="682"/>
      <c r="N47" s="567"/>
      <c r="P47" s="94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</row>
    <row r="48" spans="2:29" ht="22.9" customHeight="1" x14ac:dyDescent="0.2">
      <c r="B48" s="579"/>
      <c r="C48" s="1013"/>
      <c r="D48" s="1013"/>
      <c r="E48" s="685"/>
      <c r="F48" s="640"/>
      <c r="G48" s="641"/>
      <c r="H48" s="641"/>
      <c r="I48" s="641"/>
      <c r="J48" s="643">
        <f t="shared" si="2"/>
        <v>0</v>
      </c>
      <c r="K48" s="686"/>
      <c r="L48" s="693"/>
      <c r="M48" s="688"/>
      <c r="N48" s="567"/>
      <c r="P48" s="94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6"/>
    </row>
    <row r="49" spans="2:29" ht="22.9" customHeight="1" x14ac:dyDescent="0.2">
      <c r="B49" s="579"/>
      <c r="C49" s="644" t="s">
        <v>610</v>
      </c>
      <c r="D49" s="645"/>
      <c r="E49" s="646"/>
      <c r="F49" s="646">
        <f>SUM(F42:F48)</f>
        <v>35584.160000000003</v>
      </c>
      <c r="G49" s="646">
        <f>SUM(G42:G48)</f>
        <v>0</v>
      </c>
      <c r="H49" s="646">
        <f>SUM(H42:H48)</f>
        <v>0</v>
      </c>
      <c r="I49" s="646">
        <f>SUM(I42:I48)</f>
        <v>0</v>
      </c>
      <c r="J49" s="646">
        <f>SUM(J42:J48)</f>
        <v>35584.160000000003</v>
      </c>
      <c r="K49" s="694"/>
      <c r="L49" s="646">
        <f>SUM(L42:L48)</f>
        <v>0</v>
      </c>
      <c r="M49" s="647"/>
      <c r="N49" s="567"/>
      <c r="P49" s="94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</row>
    <row r="50" spans="2:29" ht="28.9" customHeight="1" x14ac:dyDescent="0.25">
      <c r="B50" s="579"/>
      <c r="C50" s="1012" t="s">
        <v>642</v>
      </c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567"/>
      <c r="P50" s="94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</row>
    <row r="51" spans="2:29" ht="22.9" customHeight="1" x14ac:dyDescent="0.2">
      <c r="B51" s="579"/>
      <c r="C51" s="1010" t="s">
        <v>643</v>
      </c>
      <c r="D51" s="1010"/>
      <c r="E51" s="666">
        <v>254</v>
      </c>
      <c r="F51" s="667">
        <v>11000</v>
      </c>
      <c r="G51" s="668">
        <v>11000</v>
      </c>
      <c r="H51" s="668">
        <v>-11000</v>
      </c>
      <c r="I51" s="668"/>
      <c r="J51" s="669">
        <f t="shared" ref="J51:J57" si="3">SUM(F51:I51)</f>
        <v>11000</v>
      </c>
      <c r="K51" s="670"/>
      <c r="L51" s="671"/>
      <c r="M51" s="672"/>
      <c r="N51" s="567"/>
      <c r="P51" s="94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</row>
    <row r="52" spans="2:29" ht="22.9" customHeight="1" x14ac:dyDescent="0.2">
      <c r="B52" s="579"/>
      <c r="C52" s="1011"/>
      <c r="D52" s="1011"/>
      <c r="E52" s="676"/>
      <c r="F52" s="634"/>
      <c r="G52" s="635"/>
      <c r="H52" s="635"/>
      <c r="I52" s="635"/>
      <c r="J52" s="637">
        <f t="shared" si="3"/>
        <v>0</v>
      </c>
      <c r="K52" s="673"/>
      <c r="L52" s="674"/>
      <c r="M52" s="675"/>
      <c r="N52" s="567"/>
      <c r="P52" s="94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6"/>
    </row>
    <row r="53" spans="2:29" ht="22.9" customHeight="1" x14ac:dyDescent="0.2">
      <c r="B53" s="579"/>
      <c r="C53" s="1011"/>
      <c r="D53" s="1011"/>
      <c r="E53" s="676"/>
      <c r="F53" s="634"/>
      <c r="G53" s="635"/>
      <c r="H53" s="635"/>
      <c r="I53" s="635"/>
      <c r="J53" s="637">
        <f t="shared" si="3"/>
        <v>0</v>
      </c>
      <c r="K53" s="673"/>
      <c r="L53" s="674"/>
      <c r="M53" s="675"/>
      <c r="N53" s="567"/>
      <c r="P53" s="94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6"/>
    </row>
    <row r="54" spans="2:29" ht="22.9" customHeight="1" x14ac:dyDescent="0.2">
      <c r="B54" s="579"/>
      <c r="C54" s="1011"/>
      <c r="D54" s="1011"/>
      <c r="E54" s="676"/>
      <c r="F54" s="634"/>
      <c r="G54" s="635"/>
      <c r="H54" s="635"/>
      <c r="I54" s="635"/>
      <c r="J54" s="637">
        <f t="shared" si="3"/>
        <v>0</v>
      </c>
      <c r="K54" s="673"/>
      <c r="L54" s="674"/>
      <c r="M54" s="675"/>
      <c r="N54" s="567"/>
      <c r="P54" s="94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</row>
    <row r="55" spans="2:29" ht="22.9" customHeight="1" x14ac:dyDescent="0.2">
      <c r="B55" s="579"/>
      <c r="C55" s="1011"/>
      <c r="D55" s="1011"/>
      <c r="E55" s="677"/>
      <c r="F55" s="678"/>
      <c r="G55" s="679"/>
      <c r="H55" s="679"/>
      <c r="I55" s="679"/>
      <c r="J55" s="637">
        <f t="shared" si="3"/>
        <v>0</v>
      </c>
      <c r="K55" s="680"/>
      <c r="L55" s="681"/>
      <c r="M55" s="682"/>
      <c r="N55" s="567"/>
      <c r="P55" s="94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6"/>
    </row>
    <row r="56" spans="2:29" ht="22.9" customHeight="1" x14ac:dyDescent="0.2">
      <c r="B56" s="579"/>
      <c r="C56" s="1011"/>
      <c r="D56" s="1011"/>
      <c r="E56" s="677"/>
      <c r="F56" s="678"/>
      <c r="G56" s="679"/>
      <c r="H56" s="679"/>
      <c r="I56" s="679"/>
      <c r="J56" s="637">
        <f t="shared" si="3"/>
        <v>0</v>
      </c>
      <c r="K56" s="680"/>
      <c r="L56" s="681"/>
      <c r="M56" s="682"/>
      <c r="N56" s="567"/>
      <c r="P56" s="94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6"/>
    </row>
    <row r="57" spans="2:29" ht="22.9" customHeight="1" x14ac:dyDescent="0.2">
      <c r="B57" s="579"/>
      <c r="C57" s="1013"/>
      <c r="D57" s="1013"/>
      <c r="E57" s="685"/>
      <c r="F57" s="640"/>
      <c r="G57" s="641"/>
      <c r="H57" s="641"/>
      <c r="I57" s="641"/>
      <c r="J57" s="643">
        <f t="shared" si="3"/>
        <v>0</v>
      </c>
      <c r="K57" s="686"/>
      <c r="L57" s="687"/>
      <c r="M57" s="688"/>
      <c r="N57" s="567"/>
      <c r="P57" s="94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</row>
    <row r="58" spans="2:29" ht="22.9" customHeight="1" x14ac:dyDescent="0.2">
      <c r="B58" s="579"/>
      <c r="C58" s="644" t="s">
        <v>610</v>
      </c>
      <c r="D58" s="645"/>
      <c r="E58" s="646"/>
      <c r="F58" s="646">
        <f>SUM(F51:F57)</f>
        <v>11000</v>
      </c>
      <c r="G58" s="646">
        <f>SUM(G51:G57)</f>
        <v>11000</v>
      </c>
      <c r="H58" s="646">
        <f>SUM(H51:H57)</f>
        <v>-11000</v>
      </c>
      <c r="I58" s="646">
        <f>SUM(I51:I57)</f>
        <v>0</v>
      </c>
      <c r="J58" s="646">
        <f>SUM(J51:J57)</f>
        <v>11000</v>
      </c>
      <c r="K58" s="689"/>
      <c r="L58" s="646">
        <f>SUM(L51:L57)</f>
        <v>0</v>
      </c>
      <c r="M58" s="647"/>
      <c r="N58" s="567"/>
      <c r="P58" s="94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6"/>
    </row>
    <row r="59" spans="2:29" ht="22.9" customHeight="1" x14ac:dyDescent="0.2">
      <c r="B59" s="579"/>
      <c r="C59" s="648"/>
      <c r="D59" s="648"/>
      <c r="E59" s="649"/>
      <c r="F59" s="649"/>
      <c r="G59" s="649"/>
      <c r="H59" s="649"/>
      <c r="I59" s="649"/>
      <c r="J59" s="649"/>
      <c r="K59" s="649"/>
      <c r="L59" s="649"/>
      <c r="M59" s="649"/>
      <c r="N59" s="567"/>
      <c r="P59" s="94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6"/>
    </row>
    <row r="60" spans="2:29" ht="22.9" customHeight="1" x14ac:dyDescent="0.2">
      <c r="B60" s="579"/>
      <c r="C60" s="657" t="s">
        <v>167</v>
      </c>
      <c r="D60" s="658"/>
      <c r="E60" s="659"/>
      <c r="F60" s="659"/>
      <c r="G60" s="659"/>
      <c r="H60" s="659"/>
      <c r="I60" s="659"/>
      <c r="J60" s="659"/>
      <c r="K60" s="659"/>
      <c r="L60" s="659"/>
      <c r="M60" s="577"/>
      <c r="N60" s="567"/>
      <c r="P60" s="94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6"/>
    </row>
    <row r="61" spans="2:29" ht="18" x14ac:dyDescent="0.2">
      <c r="B61" s="579"/>
      <c r="C61" s="658" t="s">
        <v>644</v>
      </c>
      <c r="D61" s="658"/>
      <c r="E61" s="659"/>
      <c r="F61" s="659"/>
      <c r="G61" s="659"/>
      <c r="H61" s="659"/>
      <c r="I61" s="659"/>
      <c r="J61" s="659"/>
      <c r="K61" s="659"/>
      <c r="L61" s="659"/>
      <c r="M61" s="577"/>
      <c r="N61" s="567"/>
      <c r="P61" s="94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6"/>
    </row>
    <row r="62" spans="2:29" ht="18" x14ac:dyDescent="0.2">
      <c r="B62" s="579"/>
      <c r="C62" s="658" t="s">
        <v>645</v>
      </c>
      <c r="D62" s="658"/>
      <c r="E62" s="659"/>
      <c r="F62" s="659"/>
      <c r="G62" s="659"/>
      <c r="H62" s="659"/>
      <c r="I62" s="659"/>
      <c r="J62" s="659"/>
      <c r="K62" s="659"/>
      <c r="L62" s="659"/>
      <c r="M62" s="577"/>
      <c r="N62" s="567"/>
      <c r="P62" s="94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6"/>
    </row>
    <row r="63" spans="2:29" ht="18" x14ac:dyDescent="0.2">
      <c r="B63" s="579"/>
      <c r="C63" s="658" t="s">
        <v>646</v>
      </c>
      <c r="D63" s="658"/>
      <c r="E63" s="659"/>
      <c r="F63" s="659"/>
      <c r="G63" s="659"/>
      <c r="H63" s="659"/>
      <c r="I63" s="659"/>
      <c r="J63" s="659"/>
      <c r="K63" s="659"/>
      <c r="L63" s="659"/>
      <c r="M63" s="577"/>
      <c r="N63" s="567"/>
      <c r="P63" s="94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6"/>
    </row>
    <row r="64" spans="2:29" ht="18" x14ac:dyDescent="0.2">
      <c r="B64" s="579"/>
      <c r="C64" s="658" t="s">
        <v>647</v>
      </c>
      <c r="D64" s="658"/>
      <c r="E64" s="659"/>
      <c r="F64" s="659"/>
      <c r="G64" s="659"/>
      <c r="H64" s="659"/>
      <c r="I64" s="659"/>
      <c r="J64" s="659"/>
      <c r="K64" s="659"/>
      <c r="L64" s="659"/>
      <c r="M64" s="577"/>
      <c r="N64" s="567"/>
      <c r="P64" s="94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</row>
    <row r="65" spans="2:29" ht="18" x14ac:dyDescent="0.2">
      <c r="B65" s="579"/>
      <c r="C65" s="658" t="s">
        <v>648</v>
      </c>
      <c r="D65" s="658"/>
      <c r="E65" s="659"/>
      <c r="F65" s="659"/>
      <c r="G65" s="659"/>
      <c r="H65" s="659"/>
      <c r="I65" s="659"/>
      <c r="J65" s="659"/>
      <c r="K65" s="659"/>
      <c r="L65" s="659"/>
      <c r="M65" s="577"/>
      <c r="N65" s="567"/>
      <c r="P65" s="94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</row>
    <row r="66" spans="2:29" ht="18" x14ac:dyDescent="0.2">
      <c r="B66" s="579"/>
      <c r="C66" s="658" t="s">
        <v>649</v>
      </c>
      <c r="D66" s="658"/>
      <c r="E66" s="659"/>
      <c r="F66" s="659"/>
      <c r="G66" s="659"/>
      <c r="H66" s="659"/>
      <c r="I66" s="659"/>
      <c r="J66" s="659"/>
      <c r="K66" s="659"/>
      <c r="L66" s="659"/>
      <c r="M66" s="577"/>
      <c r="N66" s="567"/>
      <c r="P66" s="94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</row>
    <row r="67" spans="2:29" ht="18" x14ac:dyDescent="0.2">
      <c r="B67" s="579"/>
      <c r="C67" s="658" t="s">
        <v>650</v>
      </c>
      <c r="D67" s="658"/>
      <c r="E67" s="659"/>
      <c r="F67" s="659"/>
      <c r="G67" s="659"/>
      <c r="H67" s="659"/>
      <c r="I67" s="659"/>
      <c r="J67" s="659"/>
      <c r="K67" s="659"/>
      <c r="L67" s="659"/>
      <c r="M67" s="577"/>
      <c r="N67" s="567"/>
      <c r="P67" s="94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</row>
    <row r="68" spans="2:29" ht="18" x14ac:dyDescent="0.2">
      <c r="B68" s="579"/>
      <c r="C68" s="658" t="s">
        <v>651</v>
      </c>
      <c r="D68" s="658"/>
      <c r="E68" s="659"/>
      <c r="F68" s="659"/>
      <c r="G68" s="659"/>
      <c r="H68" s="659"/>
      <c r="I68" s="659"/>
      <c r="J68" s="659"/>
      <c r="K68" s="659"/>
      <c r="L68" s="659"/>
      <c r="M68" s="577"/>
      <c r="N68" s="567"/>
      <c r="P68" s="94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</row>
    <row r="69" spans="2:29" ht="18" x14ac:dyDescent="0.2">
      <c r="B69" s="579"/>
      <c r="C69" s="658" t="s">
        <v>652</v>
      </c>
      <c r="D69" s="658"/>
      <c r="E69" s="659"/>
      <c r="F69" s="659"/>
      <c r="G69" s="659"/>
      <c r="H69" s="659"/>
      <c r="I69" s="659"/>
      <c r="J69" s="659"/>
      <c r="K69" s="659"/>
      <c r="L69" s="659"/>
      <c r="M69" s="577"/>
      <c r="N69" s="567"/>
      <c r="P69" s="94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</row>
    <row r="70" spans="2:29" ht="18" x14ac:dyDescent="0.2">
      <c r="B70" s="579"/>
      <c r="C70" s="658" t="s">
        <v>653</v>
      </c>
      <c r="D70" s="658"/>
      <c r="E70" s="659"/>
      <c r="F70" s="659"/>
      <c r="G70" s="659"/>
      <c r="H70" s="659"/>
      <c r="I70" s="659"/>
      <c r="J70" s="659"/>
      <c r="K70" s="659"/>
      <c r="L70" s="659"/>
      <c r="M70" s="577"/>
      <c r="N70" s="567"/>
      <c r="P70" s="94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</row>
    <row r="71" spans="2:29" ht="22.9" customHeight="1" x14ac:dyDescent="0.2">
      <c r="B71" s="613"/>
      <c r="C71" s="996"/>
      <c r="D71" s="996"/>
      <c r="E71" s="996"/>
      <c r="F71" s="996"/>
      <c r="G71" s="283"/>
      <c r="H71" s="283"/>
      <c r="I71" s="283"/>
      <c r="J71" s="283"/>
      <c r="K71" s="283"/>
      <c r="L71" s="283"/>
      <c r="M71" s="614"/>
      <c r="N71" s="615"/>
      <c r="P71" s="103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5"/>
    </row>
    <row r="72" spans="2:29" ht="22.9" customHeight="1" x14ac:dyDescent="0.2">
      <c r="C72" s="556"/>
      <c r="D72" s="556"/>
      <c r="E72" s="566"/>
      <c r="F72" s="566"/>
      <c r="G72" s="566"/>
      <c r="H72" s="566"/>
      <c r="I72" s="566"/>
      <c r="J72" s="566"/>
      <c r="K72" s="566"/>
      <c r="L72" s="566"/>
      <c r="M72" s="566"/>
    </row>
    <row r="73" spans="2:29" ht="15" x14ac:dyDescent="0.2">
      <c r="C73" s="556" t="s">
        <v>55</v>
      </c>
      <c r="D73" s="556"/>
      <c r="E73" s="566"/>
      <c r="F73" s="566"/>
      <c r="G73" s="566"/>
      <c r="H73" s="566"/>
      <c r="I73" s="566"/>
      <c r="J73" s="566"/>
      <c r="K73" s="566"/>
      <c r="L73" s="566"/>
      <c r="M73" s="558" t="s">
        <v>27</v>
      </c>
    </row>
    <row r="74" spans="2:29" ht="15" x14ac:dyDescent="0.2">
      <c r="C74" s="616" t="s">
        <v>57</v>
      </c>
      <c r="D74" s="556"/>
      <c r="E74" s="566"/>
      <c r="F74" s="566"/>
      <c r="G74" s="566"/>
      <c r="H74" s="566"/>
      <c r="I74" s="566"/>
      <c r="J74" s="566"/>
      <c r="K74" s="566"/>
      <c r="L74" s="566"/>
      <c r="M74" s="566"/>
    </row>
    <row r="75" spans="2:29" ht="15" x14ac:dyDescent="0.2">
      <c r="C75" s="616" t="s">
        <v>58</v>
      </c>
      <c r="D75" s="556"/>
      <c r="E75" s="566"/>
      <c r="F75" s="566"/>
      <c r="G75" s="566"/>
      <c r="H75" s="566"/>
      <c r="I75" s="566"/>
      <c r="J75" s="566"/>
      <c r="K75" s="566"/>
      <c r="L75" s="566"/>
      <c r="M75" s="566"/>
    </row>
    <row r="76" spans="2:29" ht="15" x14ac:dyDescent="0.2">
      <c r="C76" s="616" t="s">
        <v>59</v>
      </c>
      <c r="D76" s="556"/>
      <c r="E76" s="566"/>
      <c r="F76" s="566"/>
      <c r="G76" s="566"/>
      <c r="H76" s="566"/>
      <c r="I76" s="566"/>
      <c r="J76" s="566"/>
      <c r="K76" s="566"/>
      <c r="L76" s="566"/>
      <c r="M76" s="566"/>
    </row>
    <row r="77" spans="2:29" ht="15" x14ac:dyDescent="0.2">
      <c r="C77" s="616" t="s">
        <v>60</v>
      </c>
      <c r="D77" s="556"/>
      <c r="E77" s="566"/>
      <c r="F77" s="566"/>
      <c r="G77" s="566"/>
      <c r="H77" s="566"/>
      <c r="I77" s="566"/>
      <c r="J77" s="566"/>
      <c r="K77" s="566"/>
      <c r="L77" s="566"/>
      <c r="M77" s="566"/>
    </row>
  </sheetData>
  <sheetProtection password="E059" sheet="1" insertRows="0"/>
  <mergeCells count="39">
    <mergeCell ref="C56:D56"/>
    <mergeCell ref="C57:D57"/>
    <mergeCell ref="C71:F71"/>
    <mergeCell ref="C50:M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G39:I39"/>
    <mergeCell ref="M39:M40"/>
    <mergeCell ref="C41:M41"/>
    <mergeCell ref="C42:D42"/>
    <mergeCell ref="C43:D43"/>
    <mergeCell ref="C29:D29"/>
    <mergeCell ref="C30:D30"/>
    <mergeCell ref="C31:D31"/>
    <mergeCell ref="C32:D32"/>
    <mergeCell ref="C33:D33"/>
    <mergeCell ref="C22:D22"/>
    <mergeCell ref="C23:D23"/>
    <mergeCell ref="C26:M26"/>
    <mergeCell ref="C27:D27"/>
    <mergeCell ref="C28:D28"/>
    <mergeCell ref="C17:M17"/>
    <mergeCell ref="C18:D18"/>
    <mergeCell ref="C19:D19"/>
    <mergeCell ref="C20:D20"/>
    <mergeCell ref="C21:D21"/>
    <mergeCell ref="M6:M7"/>
    <mergeCell ref="D9:M9"/>
    <mergeCell ref="C12:D12"/>
    <mergeCell ref="G15:I15"/>
    <mergeCell ref="M15:M16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43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5"/>
  <sheetViews>
    <sheetView zoomScale="55" zoomScaleNormal="55" workbookViewId="0">
      <selection activeCell="T44" sqref="T44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24.77734375" style="22" customWidth="1"/>
    <col min="5" max="5" width="32" style="559" customWidth="1"/>
    <col min="6" max="9" width="16.21875" style="559" customWidth="1"/>
    <col min="10" max="12" width="10.21875" style="559" customWidth="1"/>
    <col min="13" max="13" width="3.21875" style="22" customWidth="1"/>
    <col min="14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2"/>
      <c r="K5" s="562"/>
      <c r="L5" s="562"/>
      <c r="M5" s="563"/>
      <c r="N5"/>
      <c r="O5" s="62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4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566"/>
      <c r="K6" s="566"/>
      <c r="L6" s="981">
        <f>ejercicio</f>
        <v>2018</v>
      </c>
      <c r="M6" s="567"/>
      <c r="N6"/>
      <c r="O6" s="65"/>
      <c r="P6" s="66" t="s">
        <v>93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566"/>
      <c r="K7" s="566"/>
      <c r="L7" s="981"/>
      <c r="M7" s="567"/>
      <c r="N7"/>
      <c r="O7" s="65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6"/>
      <c r="K8" s="566"/>
      <c r="L8" s="568"/>
      <c r="M8" s="567"/>
      <c r="N8"/>
      <c r="O8" s="65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995"/>
      <c r="K9" s="995"/>
      <c r="L9" s="995"/>
      <c r="M9" s="570"/>
      <c r="O9" s="65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8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6"/>
      <c r="K10" s="566"/>
      <c r="L10" s="566"/>
      <c r="M10" s="567"/>
      <c r="N10"/>
      <c r="O10" s="65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654</v>
      </c>
      <c r="D11" s="573"/>
      <c r="E11" s="574"/>
      <c r="F11" s="574"/>
      <c r="G11" s="574"/>
      <c r="H11" s="574"/>
      <c r="I11" s="574"/>
      <c r="J11" s="574"/>
      <c r="K11" s="574"/>
      <c r="L11" s="574"/>
      <c r="M11" s="575"/>
      <c r="O11" s="65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7"/>
      <c r="J12" s="577"/>
      <c r="K12" s="577"/>
      <c r="L12" s="577"/>
      <c r="M12" s="575"/>
      <c r="N12"/>
      <c r="O12" s="65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8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0" customHeight="1" x14ac:dyDescent="0.25">
      <c r="A13" s="571"/>
      <c r="B13" s="572"/>
      <c r="C13" s="233" t="s">
        <v>655</v>
      </c>
      <c r="D13" s="16"/>
      <c r="E13" s="577"/>
      <c r="F13" s="577"/>
      <c r="G13" s="577"/>
      <c r="H13" s="577"/>
      <c r="I13" s="577"/>
      <c r="J13" s="577"/>
      <c r="K13" s="577"/>
      <c r="L13" s="577"/>
      <c r="M13" s="575"/>
      <c r="N13"/>
      <c r="O13" s="65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8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30" customHeight="1" x14ac:dyDescent="0.25">
      <c r="A14" s="571"/>
      <c r="B14" s="572"/>
      <c r="C14" s="16" t="s">
        <v>656</v>
      </c>
      <c r="D14" s="16"/>
      <c r="E14" s="577"/>
      <c r="F14" s="577"/>
      <c r="G14" s="577"/>
      <c r="H14" s="577"/>
      <c r="I14" s="577"/>
      <c r="J14" s="577"/>
      <c r="K14" s="577"/>
      <c r="L14" s="577"/>
      <c r="M14" s="575"/>
      <c r="N14"/>
      <c r="O14" s="65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8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695" customFormat="1" ht="36" customHeight="1" x14ac:dyDescent="0.2">
      <c r="B15" s="696"/>
      <c r="C15" s="1014" t="s">
        <v>657</v>
      </c>
      <c r="D15" s="1014"/>
      <c r="E15" s="697"/>
      <c r="F15" s="1015" t="s">
        <v>658</v>
      </c>
      <c r="G15" s="1015"/>
      <c r="H15" s="1015" t="s">
        <v>659</v>
      </c>
      <c r="I15" s="1015"/>
      <c r="J15" s="698"/>
      <c r="K15" s="698"/>
      <c r="L15" s="698"/>
      <c r="M15" s="699"/>
      <c r="O15" s="700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2"/>
    </row>
    <row r="16" spans="1:256" s="703" customFormat="1" ht="22.9" customHeight="1" x14ac:dyDescent="0.2">
      <c r="B16" s="704"/>
      <c r="C16" s="1016" t="s">
        <v>660</v>
      </c>
      <c r="D16" s="1016"/>
      <c r="E16" s="706" t="s">
        <v>661</v>
      </c>
      <c r="F16" s="698">
        <f>ejercicio-1</f>
        <v>2017</v>
      </c>
      <c r="G16" s="698">
        <f>ejercicio</f>
        <v>2018</v>
      </c>
      <c r="H16" s="698">
        <f>ejercicio-1</f>
        <v>2017</v>
      </c>
      <c r="I16" s="698">
        <f>ejercicio</f>
        <v>2018</v>
      </c>
      <c r="J16" s="698" t="s">
        <v>662</v>
      </c>
      <c r="K16" s="698" t="s">
        <v>663</v>
      </c>
      <c r="L16" s="698" t="s">
        <v>664</v>
      </c>
      <c r="M16" s="707"/>
      <c r="O16" s="700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2"/>
    </row>
    <row r="17" spans="1:256" ht="7.9" customHeight="1" x14ac:dyDescent="0.25">
      <c r="B17" s="569"/>
      <c r="C17" s="565"/>
      <c r="D17" s="565"/>
      <c r="E17" s="708"/>
      <c r="F17" s="708"/>
      <c r="G17" s="708"/>
      <c r="H17" s="708"/>
      <c r="I17" s="708"/>
      <c r="J17" s="708"/>
      <c r="K17" s="708"/>
      <c r="L17" s="708"/>
      <c r="M17" s="570"/>
      <c r="O17" s="65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8"/>
    </row>
    <row r="18" spans="1:256" s="588" customFormat="1" ht="22.9" customHeight="1" x14ac:dyDescent="0.2">
      <c r="A18" s="22"/>
      <c r="B18" s="569"/>
      <c r="C18" s="1017" t="s">
        <v>665</v>
      </c>
      <c r="D18" s="1017"/>
      <c r="E18" s="1017"/>
      <c r="F18" s="709">
        <v>31171004.5</v>
      </c>
      <c r="G18" s="710">
        <f>F35</f>
        <v>29800716.030000001</v>
      </c>
      <c r="H18" s="442"/>
      <c r="I18" s="442"/>
      <c r="J18" s="442"/>
      <c r="K18" s="442"/>
      <c r="L18" s="442"/>
      <c r="M18" s="587"/>
      <c r="O18" s="65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8"/>
    </row>
    <row r="19" spans="1:256" ht="9" customHeight="1" x14ac:dyDescent="0.2">
      <c r="B19" s="569"/>
      <c r="C19" s="98"/>
      <c r="D19" s="98"/>
      <c r="E19" s="711"/>
      <c r="F19" s="711"/>
      <c r="G19" s="711"/>
      <c r="H19" s="711"/>
      <c r="I19" s="711"/>
      <c r="J19" s="712"/>
      <c r="K19" s="712"/>
      <c r="L19" s="712"/>
      <c r="M19" s="587"/>
      <c r="N19"/>
      <c r="O19" s="65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B20" s="569"/>
      <c r="C20" s="368" t="s">
        <v>666</v>
      </c>
      <c r="D20" s="369"/>
      <c r="E20" s="422" t="s">
        <v>149</v>
      </c>
      <c r="F20" s="627">
        <v>0</v>
      </c>
      <c r="G20" s="370">
        <v>0</v>
      </c>
      <c r="H20" s="713">
        <v>203122.63</v>
      </c>
      <c r="I20" s="713">
        <v>0</v>
      </c>
      <c r="J20" s="714"/>
      <c r="K20" s="714"/>
      <c r="L20" s="715"/>
      <c r="M20" s="587"/>
      <c r="N20"/>
      <c r="O20" s="65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8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579"/>
      <c r="C21" s="342" t="s">
        <v>667</v>
      </c>
      <c r="D21" s="343"/>
      <c r="E21" s="422" t="s">
        <v>149</v>
      </c>
      <c r="F21" s="667">
        <v>0</v>
      </c>
      <c r="G21" s="422">
        <v>0</v>
      </c>
      <c r="H21" s="671">
        <v>500000</v>
      </c>
      <c r="I21" s="671">
        <v>500000</v>
      </c>
      <c r="J21" s="954" t="s">
        <v>945</v>
      </c>
      <c r="K21" s="954" t="s">
        <v>946</v>
      </c>
      <c r="L21" s="954" t="s">
        <v>947</v>
      </c>
      <c r="M21" s="587"/>
      <c r="N21"/>
      <c r="O21" s="65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8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/>
      <c r="B22" s="579"/>
      <c r="C22" s="342" t="s">
        <v>668</v>
      </c>
      <c r="D22" s="343"/>
      <c r="E22" s="422" t="s">
        <v>149</v>
      </c>
      <c r="F22" s="671">
        <v>665662.80000000005</v>
      </c>
      <c r="G22" s="422">
        <v>0</v>
      </c>
      <c r="H22" s="671">
        <v>665662.80000000005</v>
      </c>
      <c r="I22" s="671">
        <v>0</v>
      </c>
      <c r="J22" s="954"/>
      <c r="K22" s="954"/>
      <c r="L22" s="954"/>
      <c r="M22" s="587"/>
      <c r="N22"/>
      <c r="O22" s="65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8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579"/>
      <c r="C23" s="342" t="s">
        <v>669</v>
      </c>
      <c r="D23" s="343"/>
      <c r="E23" s="422" t="s">
        <v>149</v>
      </c>
      <c r="F23" s="667">
        <v>0</v>
      </c>
      <c r="G23" s="422">
        <v>15761.13</v>
      </c>
      <c r="H23" s="671">
        <v>0</v>
      </c>
      <c r="I23" s="671">
        <v>15761.13</v>
      </c>
      <c r="J23" s="954" t="s">
        <v>945</v>
      </c>
      <c r="K23" s="954" t="s">
        <v>946</v>
      </c>
      <c r="L23" s="954" t="s">
        <v>947</v>
      </c>
      <c r="M23" s="587"/>
      <c r="N23"/>
      <c r="O23" s="65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579"/>
      <c r="C24" s="342" t="s">
        <v>570</v>
      </c>
      <c r="D24" s="343"/>
      <c r="E24" s="344" t="s">
        <v>149</v>
      </c>
      <c r="F24" s="634">
        <v>0</v>
      </c>
      <c r="G24" s="344">
        <v>27533.45</v>
      </c>
      <c r="H24" s="674">
        <v>0</v>
      </c>
      <c r="I24" s="674">
        <v>27533.45</v>
      </c>
      <c r="J24" s="954" t="s">
        <v>945</v>
      </c>
      <c r="K24" s="954" t="s">
        <v>946</v>
      </c>
      <c r="L24" s="954" t="s">
        <v>947</v>
      </c>
      <c r="M24" s="567"/>
      <c r="N24"/>
      <c r="O24" s="65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8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579"/>
      <c r="C25" s="342" t="s">
        <v>686</v>
      </c>
      <c r="D25" s="343"/>
      <c r="E25" s="422" t="s">
        <v>149</v>
      </c>
      <c r="F25" s="975">
        <v>0</v>
      </c>
      <c r="G25" s="977">
        <v>0</v>
      </c>
      <c r="H25" s="978">
        <v>0</v>
      </c>
      <c r="I25" s="978">
        <v>60000</v>
      </c>
      <c r="J25" s="955" t="s">
        <v>948</v>
      </c>
      <c r="K25" s="955" t="s">
        <v>949</v>
      </c>
      <c r="L25" s="955" t="s">
        <v>947</v>
      </c>
      <c r="M25" s="567"/>
      <c r="N25"/>
      <c r="O25" s="65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8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579"/>
      <c r="C26" s="342" t="s">
        <v>950</v>
      </c>
      <c r="D26" s="343"/>
      <c r="E26" s="344" t="s">
        <v>149</v>
      </c>
      <c r="F26" s="975">
        <v>0</v>
      </c>
      <c r="G26" s="977">
        <v>150000</v>
      </c>
      <c r="H26" s="979">
        <v>0</v>
      </c>
      <c r="I26" s="979">
        <v>150000</v>
      </c>
      <c r="J26" s="950" t="s">
        <v>945</v>
      </c>
      <c r="K26" s="950" t="s">
        <v>946</v>
      </c>
      <c r="L26" s="951" t="s">
        <v>947</v>
      </c>
      <c r="M26" s="567"/>
      <c r="N26"/>
      <c r="O26" s="65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/>
      <c r="B27" s="579"/>
      <c r="C27" s="342"/>
      <c r="D27" s="343"/>
      <c r="E27" s="430"/>
      <c r="F27" s="678"/>
      <c r="G27" s="430"/>
      <c r="H27" s="681"/>
      <c r="I27" s="681"/>
      <c r="J27" s="952"/>
      <c r="K27" s="952"/>
      <c r="L27" s="953"/>
      <c r="M27" s="567"/>
      <c r="N27"/>
      <c r="O27" s="65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579"/>
      <c r="C28" s="342"/>
      <c r="D28" s="343"/>
      <c r="E28" s="430"/>
      <c r="F28" s="678"/>
      <c r="G28" s="430"/>
      <c r="H28" s="681"/>
      <c r="I28" s="681"/>
      <c r="J28" s="720"/>
      <c r="K28" s="720"/>
      <c r="L28" s="721"/>
      <c r="M28" s="567"/>
      <c r="N28"/>
      <c r="O28" s="65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579"/>
      <c r="C29" s="352"/>
      <c r="D29" s="353"/>
      <c r="E29" s="354"/>
      <c r="F29" s="640"/>
      <c r="G29" s="354"/>
      <c r="H29" s="687"/>
      <c r="I29" s="687"/>
      <c r="J29" s="722"/>
      <c r="K29" s="722"/>
      <c r="L29" s="723"/>
      <c r="M29" s="567"/>
      <c r="N29"/>
      <c r="O29" s="65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/>
      <c r="B30" s="579"/>
      <c r="C30" s="644" t="s">
        <v>670</v>
      </c>
      <c r="D30" s="645"/>
      <c r="E30" s="646"/>
      <c r="F30" s="646">
        <f>SUM(F20:F29)</f>
        <v>665662.80000000005</v>
      </c>
      <c r="G30" s="646">
        <f>SUM(G20:G29)</f>
        <v>193294.58000000002</v>
      </c>
      <c r="H30" s="646">
        <f>SUM(H20:H29)</f>
        <v>1368785.4300000002</v>
      </c>
      <c r="I30" s="646">
        <f>SUM(I20:I29)</f>
        <v>753294.58</v>
      </c>
      <c r="J30" s="724"/>
      <c r="K30" s="725"/>
      <c r="L30" s="724"/>
      <c r="M30" s="567"/>
      <c r="N30"/>
      <c r="O30" s="65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7.9" customHeight="1" x14ac:dyDescent="0.25">
      <c r="A31"/>
      <c r="B31" s="564"/>
      <c r="C31" s="1018"/>
      <c r="D31" s="1018"/>
      <c r="E31" s="1018"/>
      <c r="F31" s="1018"/>
      <c r="G31" s="1018"/>
      <c r="H31" s="1018"/>
      <c r="I31" s="1018"/>
      <c r="J31" s="1018"/>
      <c r="K31" s="1018"/>
      <c r="L31" s="1018"/>
      <c r="M31" s="567"/>
      <c r="N31"/>
      <c r="O31" s="65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8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579"/>
      <c r="C32" s="1019" t="s">
        <v>671</v>
      </c>
      <c r="D32" s="1019"/>
      <c r="E32" s="1019"/>
      <c r="F32" s="726">
        <f>-ROUND((F30*0.25),2)</f>
        <v>-166415.70000000001</v>
      </c>
      <c r="G32" s="726">
        <f>-ROUND((G30*0.25),2)</f>
        <v>-48323.65</v>
      </c>
      <c r="H32" s="442"/>
      <c r="I32" s="442"/>
      <c r="J32" s="649"/>
      <c r="K32" s="649"/>
      <c r="L32" s="649"/>
      <c r="M32" s="587"/>
      <c r="N32"/>
      <c r="O32" s="65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8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579"/>
      <c r="C33" s="1020" t="s">
        <v>672</v>
      </c>
      <c r="D33" s="1020"/>
      <c r="E33" s="1020"/>
      <c r="F33" s="727">
        <v>-2492714.09</v>
      </c>
      <c r="G33" s="727">
        <v>-2490310.7000000002</v>
      </c>
      <c r="H33" s="442"/>
      <c r="I33" s="442"/>
      <c r="J33" s="649"/>
      <c r="K33" s="649"/>
      <c r="L33" s="649"/>
      <c r="M33" s="567"/>
      <c r="N33"/>
      <c r="O33" s="65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579"/>
      <c r="C34" s="631" t="s">
        <v>673</v>
      </c>
      <c r="D34" s="632"/>
      <c r="E34" s="637"/>
      <c r="F34" s="727">
        <f>-ROUND((F33*0.25),2)</f>
        <v>623178.52</v>
      </c>
      <c r="G34" s="727">
        <f>-ROUND((G33*0.25),2)</f>
        <v>622577.68000000005</v>
      </c>
      <c r="H34" s="442"/>
      <c r="I34" s="442"/>
      <c r="J34" s="649"/>
      <c r="K34" s="649"/>
      <c r="L34" s="649"/>
      <c r="M34" s="567"/>
      <c r="N34"/>
      <c r="O34" s="65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579"/>
      <c r="C35" s="644" t="s">
        <v>674</v>
      </c>
      <c r="D35" s="645"/>
      <c r="E35" s="646"/>
      <c r="F35" s="646">
        <f>F18+F30+SUM(F32:F34)</f>
        <v>29800716.030000001</v>
      </c>
      <c r="G35" s="646">
        <f>G18+G30+SUM(G32:G34)</f>
        <v>28077953.939999998</v>
      </c>
      <c r="H35" s="609"/>
      <c r="I35" s="609"/>
      <c r="J35" s="649"/>
      <c r="K35" s="649"/>
      <c r="L35" s="649"/>
      <c r="M35" s="567"/>
      <c r="N35"/>
      <c r="O35" s="65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8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/>
      <c r="B36" s="579"/>
      <c r="C36" s="648"/>
      <c r="D36" s="648"/>
      <c r="E36" s="649"/>
      <c r="F36" s="649"/>
      <c r="G36" s="649"/>
      <c r="H36" s="649"/>
      <c r="I36" s="649"/>
      <c r="J36" s="649"/>
      <c r="K36" s="649"/>
      <c r="L36" s="649"/>
      <c r="M36" s="567"/>
      <c r="N36"/>
      <c r="O36" s="65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8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579"/>
      <c r="C37" s="16" t="s">
        <v>675</v>
      </c>
      <c r="D37" s="648"/>
      <c r="E37" s="649"/>
      <c r="F37" s="649"/>
      <c r="G37" s="649"/>
      <c r="H37" s="649"/>
      <c r="I37" s="649"/>
      <c r="J37" s="649"/>
      <c r="K37" s="649"/>
      <c r="L37" s="649"/>
      <c r="M37" s="567"/>
      <c r="N37"/>
      <c r="O37" s="65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8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36" customHeight="1" x14ac:dyDescent="0.2">
      <c r="A38"/>
      <c r="B38" s="579"/>
      <c r="C38" s="1014" t="s">
        <v>657</v>
      </c>
      <c r="D38" s="1014"/>
      <c r="E38" s="697"/>
      <c r="F38" s="1015" t="s">
        <v>676</v>
      </c>
      <c r="G38" s="1015"/>
      <c r="H38" s="1015" t="s">
        <v>677</v>
      </c>
      <c r="I38" s="1015"/>
      <c r="J38" s="698"/>
      <c r="K38" s="698"/>
      <c r="L38" s="698"/>
      <c r="M38" s="567"/>
      <c r="N38"/>
      <c r="O38" s="65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579"/>
      <c r="C39" s="1016" t="s">
        <v>660</v>
      </c>
      <c r="D39" s="1016"/>
      <c r="E39" s="706" t="s">
        <v>661</v>
      </c>
      <c r="F39" s="698">
        <f>ejercicio-1</f>
        <v>2017</v>
      </c>
      <c r="G39" s="698">
        <f>ejercicio</f>
        <v>2018</v>
      </c>
      <c r="H39" s="698">
        <f>ejercicio-1</f>
        <v>2017</v>
      </c>
      <c r="I39" s="698">
        <f>ejercicio</f>
        <v>2018</v>
      </c>
      <c r="J39" s="698" t="s">
        <v>662</v>
      </c>
      <c r="K39" s="698" t="s">
        <v>663</v>
      </c>
      <c r="L39" s="698" t="s">
        <v>664</v>
      </c>
      <c r="M39" s="567"/>
      <c r="N39"/>
      <c r="O39" s="65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8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/>
      <c r="B40" s="579"/>
      <c r="C40" s="368" t="s">
        <v>678</v>
      </c>
      <c r="D40" s="369"/>
      <c r="E40" s="422" t="s">
        <v>149</v>
      </c>
      <c r="F40" s="713">
        <v>59000</v>
      </c>
      <c r="G40" s="370">
        <v>0</v>
      </c>
      <c r="H40" s="713">
        <v>59000</v>
      </c>
      <c r="I40" s="713">
        <v>0</v>
      </c>
      <c r="J40" s="714"/>
      <c r="K40" s="714"/>
      <c r="L40" s="715"/>
      <c r="M40" s="567"/>
      <c r="N40"/>
      <c r="O40" s="65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579"/>
      <c r="C41" s="342" t="s">
        <v>679</v>
      </c>
      <c r="D41" s="343"/>
      <c r="E41" s="422" t="s">
        <v>149</v>
      </c>
      <c r="F41" s="671">
        <v>190000</v>
      </c>
      <c r="G41" s="422">
        <v>0</v>
      </c>
      <c r="H41" s="671">
        <v>190000</v>
      </c>
      <c r="I41" s="671">
        <v>0</v>
      </c>
      <c r="J41" s="716"/>
      <c r="K41" s="716"/>
      <c r="L41" s="717"/>
      <c r="M41" s="567"/>
      <c r="N41"/>
      <c r="O41" s="65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8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579"/>
      <c r="C42" s="342"/>
      <c r="D42" s="343"/>
      <c r="E42" s="422"/>
      <c r="F42" s="667"/>
      <c r="G42" s="422"/>
      <c r="H42" s="671"/>
      <c r="I42" s="671"/>
      <c r="J42" s="716"/>
      <c r="K42" s="716"/>
      <c r="L42" s="717"/>
      <c r="M42" s="567"/>
      <c r="N42"/>
      <c r="O42" s="65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8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 s="579"/>
      <c r="C43" s="342"/>
      <c r="D43" s="343"/>
      <c r="E43" s="422"/>
      <c r="F43" s="667"/>
      <c r="G43" s="422"/>
      <c r="H43" s="671"/>
      <c r="I43" s="671"/>
      <c r="J43" s="716"/>
      <c r="K43" s="716"/>
      <c r="L43" s="717"/>
      <c r="M43" s="567"/>
      <c r="N43"/>
      <c r="O43" s="65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8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/>
      <c r="B44" s="579"/>
      <c r="C44" s="342"/>
      <c r="D44" s="343"/>
      <c r="E44" s="344"/>
      <c r="F44" s="634"/>
      <c r="G44" s="344"/>
      <c r="H44" s="674"/>
      <c r="I44" s="674"/>
      <c r="J44" s="718"/>
      <c r="K44" s="718"/>
      <c r="L44" s="719"/>
      <c r="M44" s="567"/>
      <c r="N44"/>
      <c r="O44" s="65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/>
      <c r="B45" s="579"/>
      <c r="C45" s="342"/>
      <c r="D45" s="343"/>
      <c r="E45" s="344"/>
      <c r="F45" s="634"/>
      <c r="G45" s="344"/>
      <c r="H45" s="674"/>
      <c r="I45" s="674"/>
      <c r="J45" s="718"/>
      <c r="K45" s="718"/>
      <c r="L45" s="719"/>
      <c r="M45" s="567"/>
      <c r="N45"/>
      <c r="O45" s="65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579"/>
      <c r="C46" s="342"/>
      <c r="D46" s="343"/>
      <c r="E46" s="344"/>
      <c r="F46" s="634"/>
      <c r="G46" s="344"/>
      <c r="H46" s="674"/>
      <c r="I46" s="674"/>
      <c r="J46" s="718"/>
      <c r="K46" s="718"/>
      <c r="L46" s="719"/>
      <c r="M46" s="567"/>
      <c r="N46"/>
      <c r="O46" s="65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">
      <c r="A47"/>
      <c r="B47" s="579"/>
      <c r="C47" s="342"/>
      <c r="D47" s="343"/>
      <c r="E47" s="430"/>
      <c r="F47" s="678"/>
      <c r="G47" s="430"/>
      <c r="H47" s="681"/>
      <c r="I47" s="681"/>
      <c r="J47" s="720"/>
      <c r="K47" s="720"/>
      <c r="L47" s="721"/>
      <c r="M47" s="567"/>
      <c r="N47"/>
      <c r="O47" s="65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8.9" customHeight="1" x14ac:dyDescent="0.2">
      <c r="A48"/>
      <c r="B48" s="579"/>
      <c r="C48" s="342"/>
      <c r="D48" s="343"/>
      <c r="E48" s="430"/>
      <c r="F48" s="678"/>
      <c r="G48" s="430"/>
      <c r="H48" s="681"/>
      <c r="I48" s="681"/>
      <c r="J48" s="720"/>
      <c r="K48" s="720"/>
      <c r="L48" s="721"/>
      <c r="M48" s="567"/>
      <c r="N48"/>
      <c r="O48" s="65"/>
      <c r="P48" s="67"/>
      <c r="Q48" s="67"/>
      <c r="R48" s="4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">
      <c r="A49"/>
      <c r="B49" s="579"/>
      <c r="C49" s="352"/>
      <c r="D49" s="353"/>
      <c r="E49" s="354"/>
      <c r="F49" s="640"/>
      <c r="G49" s="354"/>
      <c r="H49" s="687"/>
      <c r="I49" s="687"/>
      <c r="J49" s="722"/>
      <c r="K49" s="722"/>
      <c r="L49" s="723"/>
      <c r="M49" s="567"/>
      <c r="N49"/>
      <c r="O49" s="65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2.9" customHeight="1" x14ac:dyDescent="0.2">
      <c r="A50"/>
      <c r="B50" s="579"/>
      <c r="C50" s="1021" t="s">
        <v>670</v>
      </c>
      <c r="D50" s="1021"/>
      <c r="E50" s="1021"/>
      <c r="F50" s="646">
        <f>SUM(F40:F49)</f>
        <v>249000</v>
      </c>
      <c r="G50" s="646">
        <f>SUM(G40:G49)</f>
        <v>0</v>
      </c>
      <c r="H50" s="646">
        <f>SUM(H40:H49)</f>
        <v>249000</v>
      </c>
      <c r="I50" s="646">
        <f>SUM(I40:I49)</f>
        <v>0</v>
      </c>
      <c r="J50" s="728"/>
      <c r="K50" s="649"/>
      <c r="L50" s="649"/>
      <c r="M50" s="567"/>
      <c r="N50"/>
      <c r="O50" s="468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2.9" customHeight="1" x14ac:dyDescent="0.2">
      <c r="A51"/>
      <c r="B51" s="579"/>
      <c r="C51" s="4"/>
      <c r="D51" s="4"/>
      <c r="E51" s="609"/>
      <c r="F51" s="612"/>
      <c r="G51" s="612"/>
      <c r="H51" s="612"/>
      <c r="I51" s="612"/>
      <c r="J51" s="609"/>
      <c r="K51" s="609"/>
      <c r="L51" s="729"/>
      <c r="M51" s="567"/>
      <c r="N51"/>
      <c r="O51" s="65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571" customFormat="1" ht="30" customHeight="1" x14ac:dyDescent="0.25">
      <c r="B52" s="572"/>
      <c r="C52" s="233" t="s">
        <v>680</v>
      </c>
      <c r="D52" s="16"/>
      <c r="E52" s="577"/>
      <c r="F52" s="577"/>
      <c r="G52" s="577"/>
      <c r="H52" s="577"/>
      <c r="I52" s="577"/>
      <c r="J52" s="577"/>
      <c r="K52" s="577"/>
      <c r="L52" s="577"/>
      <c r="M52" s="575"/>
      <c r="O52" s="65"/>
      <c r="P52" s="67"/>
      <c r="Q52" s="67"/>
      <c r="R52" s="467"/>
      <c r="S52" s="67"/>
      <c r="T52" s="67"/>
      <c r="U52" s="67"/>
      <c r="V52" s="67"/>
      <c r="W52" s="67"/>
      <c r="X52" s="67"/>
      <c r="Y52" s="67"/>
      <c r="Z52" s="67"/>
      <c r="AA52" s="67"/>
      <c r="AB52" s="68"/>
    </row>
    <row r="53" spans="1:256" ht="30" customHeight="1" x14ac:dyDescent="0.25">
      <c r="A53" s="571"/>
      <c r="B53" s="572"/>
      <c r="C53" s="1014" t="s">
        <v>657</v>
      </c>
      <c r="D53" s="1014"/>
      <c r="E53" s="697"/>
      <c r="F53" s="1015" t="s">
        <v>681</v>
      </c>
      <c r="G53" s="1015"/>
      <c r="H53" s="1015" t="s">
        <v>682</v>
      </c>
      <c r="I53" s="1015"/>
      <c r="J53" s="698"/>
      <c r="K53" s="698"/>
      <c r="L53" s="698"/>
      <c r="M53" s="575"/>
      <c r="N53"/>
      <c r="O53" s="65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2.9" customHeight="1" x14ac:dyDescent="0.2">
      <c r="A54"/>
      <c r="B54" s="579"/>
      <c r="C54" s="1016" t="s">
        <v>660</v>
      </c>
      <c r="D54" s="1016"/>
      <c r="E54" s="706" t="s">
        <v>661</v>
      </c>
      <c r="F54" s="698">
        <f>ejercicio-1</f>
        <v>2017</v>
      </c>
      <c r="G54" s="698">
        <f>ejercicio</f>
        <v>2018</v>
      </c>
      <c r="H54" s="698">
        <f>ejercicio-1</f>
        <v>2017</v>
      </c>
      <c r="I54" s="698">
        <f>ejercicio</f>
        <v>2018</v>
      </c>
      <c r="J54" s="698" t="s">
        <v>662</v>
      </c>
      <c r="K54" s="698" t="s">
        <v>663</v>
      </c>
      <c r="L54" s="698" t="s">
        <v>664</v>
      </c>
      <c r="M54" s="567"/>
      <c r="N54"/>
      <c r="O54" s="65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8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2.9" customHeight="1" x14ac:dyDescent="0.2">
      <c r="A55"/>
      <c r="B55" s="579"/>
      <c r="C55" s="368" t="s">
        <v>683</v>
      </c>
      <c r="D55" s="369"/>
      <c r="E55" s="370" t="s">
        <v>149</v>
      </c>
      <c r="F55" s="713">
        <v>403449</v>
      </c>
      <c r="G55" s="980">
        <f>617371.65+311815.7</f>
        <v>929187.35000000009</v>
      </c>
      <c r="H55" s="980">
        <v>403449</v>
      </c>
      <c r="I55" s="980">
        <f>617371.65+311815.7</f>
        <v>929187.35000000009</v>
      </c>
      <c r="J55" s="714"/>
      <c r="K55" s="714"/>
      <c r="L55" s="715"/>
      <c r="M55" s="567"/>
      <c r="N55"/>
      <c r="O55" s="468"/>
      <c r="P55" s="67"/>
      <c r="Q55" s="467"/>
      <c r="R55" s="4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2.9" customHeight="1" x14ac:dyDescent="0.2">
      <c r="A56"/>
      <c r="B56" s="579"/>
      <c r="C56" s="342" t="s">
        <v>684</v>
      </c>
      <c r="D56" s="343"/>
      <c r="E56" s="422" t="s">
        <v>149</v>
      </c>
      <c r="F56" s="671">
        <v>300000</v>
      </c>
      <c r="G56" s="671">
        <v>0</v>
      </c>
      <c r="H56" s="671">
        <v>300000</v>
      </c>
      <c r="I56" s="671">
        <v>0</v>
      </c>
      <c r="J56" s="716"/>
      <c r="K56" s="716"/>
      <c r="L56" s="717"/>
      <c r="M56" s="567"/>
      <c r="N56"/>
      <c r="O56" s="468"/>
      <c r="P56" s="67"/>
      <c r="Q56" s="467"/>
      <c r="R56" s="467"/>
      <c r="S56" s="67"/>
      <c r="T56" s="67"/>
      <c r="U56" s="67"/>
      <c r="V56" s="67"/>
      <c r="W56" s="67"/>
      <c r="X56" s="67"/>
      <c r="Y56" s="67"/>
      <c r="Z56" s="67"/>
      <c r="AA56" s="67"/>
      <c r="AB56" s="68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2.9" customHeight="1" x14ac:dyDescent="0.2">
      <c r="A57"/>
      <c r="B57" s="579"/>
      <c r="C57" s="342" t="s">
        <v>685</v>
      </c>
      <c r="D57" s="343"/>
      <c r="E57" s="422" t="s">
        <v>149</v>
      </c>
      <c r="F57" s="671">
        <v>14860.59</v>
      </c>
      <c r="G57" s="671">
        <v>0</v>
      </c>
      <c r="H57" s="671">
        <v>14860.59</v>
      </c>
      <c r="I57" s="671">
        <v>0</v>
      </c>
      <c r="J57" s="716"/>
      <c r="K57" s="716"/>
      <c r="L57" s="717"/>
      <c r="M57" s="567"/>
      <c r="N57"/>
      <c r="O57" s="468"/>
      <c r="P57" s="67"/>
      <c r="Q57" s="467"/>
      <c r="R57" s="467"/>
      <c r="S57" s="67"/>
      <c r="T57" s="67"/>
      <c r="U57" s="67"/>
      <c r="V57" s="67"/>
      <c r="W57" s="67"/>
      <c r="X57" s="67"/>
      <c r="Y57" s="67"/>
      <c r="Z57" s="67"/>
      <c r="AA57" s="67"/>
      <c r="AB57" s="68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2.9" customHeight="1" x14ac:dyDescent="0.2">
      <c r="A58"/>
      <c r="B58" s="579"/>
      <c r="C58" s="342" t="s">
        <v>686</v>
      </c>
      <c r="D58" s="343"/>
      <c r="E58" s="422" t="s">
        <v>149</v>
      </c>
      <c r="F58" s="667">
        <v>0</v>
      </c>
      <c r="G58" s="422">
        <v>60000</v>
      </c>
      <c r="H58" s="671">
        <v>0</v>
      </c>
      <c r="I58" s="671">
        <v>0</v>
      </c>
      <c r="J58" s="716"/>
      <c r="K58" s="716"/>
      <c r="L58" s="717"/>
      <c r="M58" s="567"/>
      <c r="N58"/>
      <c r="O58" s="468"/>
      <c r="P58" s="467"/>
      <c r="Q58" s="467"/>
      <c r="R58" s="4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2.9" customHeight="1" x14ac:dyDescent="0.2">
      <c r="A59"/>
      <c r="B59" s="579"/>
      <c r="C59" s="342"/>
      <c r="D59" s="343"/>
      <c r="E59" s="344"/>
      <c r="F59" s="634"/>
      <c r="G59" s="344"/>
      <c r="H59" s="674"/>
      <c r="I59" s="674"/>
      <c r="J59" s="718"/>
      <c r="K59" s="718"/>
      <c r="L59" s="719"/>
      <c r="M59" s="567"/>
      <c r="N59"/>
      <c r="O59" s="468"/>
      <c r="P59" s="467"/>
      <c r="Q59" s="467"/>
      <c r="R59" s="4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2.9" customHeight="1" x14ac:dyDescent="0.2">
      <c r="A60"/>
      <c r="B60" s="579"/>
      <c r="C60" s="342"/>
      <c r="D60" s="343"/>
      <c r="E60" s="344"/>
      <c r="F60" s="634"/>
      <c r="G60" s="344"/>
      <c r="H60" s="674"/>
      <c r="I60" s="674"/>
      <c r="J60" s="718"/>
      <c r="K60" s="718"/>
      <c r="L60" s="719"/>
      <c r="M60" s="567"/>
      <c r="N60"/>
      <c r="O60" s="468"/>
      <c r="P60" s="67"/>
      <c r="Q60" s="467"/>
      <c r="R60" s="467"/>
      <c r="S60" s="67"/>
      <c r="T60" s="67"/>
      <c r="U60" s="67"/>
      <c r="V60" s="67"/>
      <c r="W60" s="67"/>
      <c r="X60" s="67"/>
      <c r="Y60" s="67"/>
      <c r="Z60" s="67"/>
      <c r="AA60" s="67"/>
      <c r="AB60" s="68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2.9" customHeight="1" x14ac:dyDescent="0.2">
      <c r="A61"/>
      <c r="B61" s="579"/>
      <c r="C61" s="342"/>
      <c r="D61" s="343"/>
      <c r="E61" s="344"/>
      <c r="F61" s="634"/>
      <c r="G61" s="344"/>
      <c r="H61" s="674"/>
      <c r="I61" s="674"/>
      <c r="J61" s="718"/>
      <c r="K61" s="718"/>
      <c r="L61" s="719"/>
      <c r="M61" s="567"/>
      <c r="N61"/>
      <c r="O61" s="65"/>
      <c r="P61" s="67"/>
      <c r="Q61" s="467"/>
      <c r="R61" s="467"/>
      <c r="S61" s="67"/>
      <c r="T61" s="67"/>
      <c r="U61" s="67"/>
      <c r="V61" s="67"/>
      <c r="W61" s="67"/>
      <c r="X61" s="67"/>
      <c r="Y61" s="67"/>
      <c r="Z61" s="67"/>
      <c r="AA61" s="67"/>
      <c r="AB61" s="68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2.9" customHeight="1" x14ac:dyDescent="0.2">
      <c r="A62"/>
      <c r="B62" s="579"/>
      <c r="C62" s="342"/>
      <c r="D62" s="343"/>
      <c r="E62" s="430"/>
      <c r="F62" s="678"/>
      <c r="G62" s="430"/>
      <c r="H62" s="681"/>
      <c r="I62" s="681"/>
      <c r="J62" s="720"/>
      <c r="K62" s="720"/>
      <c r="L62" s="721"/>
      <c r="M62" s="567"/>
      <c r="N62"/>
      <c r="O62" s="65"/>
      <c r="P62" s="67"/>
      <c r="Q62" s="467"/>
      <c r="R62" s="467"/>
      <c r="S62" s="67"/>
      <c r="T62" s="67"/>
      <c r="U62" s="67"/>
      <c r="V62" s="67"/>
      <c r="W62" s="67"/>
      <c r="X62" s="67"/>
      <c r="Y62" s="67"/>
      <c r="Z62" s="67"/>
      <c r="AA62" s="67"/>
      <c r="AB62" s="68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2.9" customHeight="1" x14ac:dyDescent="0.2">
      <c r="A63"/>
      <c r="B63" s="579"/>
      <c r="C63" s="342"/>
      <c r="D63" s="343"/>
      <c r="E63" s="430"/>
      <c r="F63" s="678"/>
      <c r="G63" s="430"/>
      <c r="H63" s="681"/>
      <c r="I63" s="681"/>
      <c r="J63" s="720"/>
      <c r="K63" s="720"/>
      <c r="L63" s="721"/>
      <c r="M63" s="567"/>
      <c r="N63"/>
      <c r="O63" s="65"/>
      <c r="P63" s="67"/>
      <c r="Q63" s="467"/>
      <c r="R63" s="467"/>
      <c r="S63" s="67"/>
      <c r="T63" s="67"/>
      <c r="U63" s="67"/>
      <c r="V63" s="67"/>
      <c r="W63" s="67"/>
      <c r="X63" s="67"/>
      <c r="Y63" s="67"/>
      <c r="Z63" s="67"/>
      <c r="AA63" s="67"/>
      <c r="AB63" s="68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2.9" customHeight="1" x14ac:dyDescent="0.2">
      <c r="A64"/>
      <c r="B64" s="579"/>
      <c r="C64" s="352"/>
      <c r="D64" s="353"/>
      <c r="E64" s="354"/>
      <c r="F64" s="640"/>
      <c r="G64" s="354"/>
      <c r="H64" s="687"/>
      <c r="I64" s="687"/>
      <c r="J64" s="722"/>
      <c r="K64" s="722"/>
      <c r="L64" s="723"/>
      <c r="M64" s="567"/>
      <c r="N64"/>
      <c r="O64" s="65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8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2.9" customHeight="1" x14ac:dyDescent="0.2">
      <c r="A65"/>
      <c r="B65" s="579"/>
      <c r="C65" s="1021" t="s">
        <v>670</v>
      </c>
      <c r="D65" s="1021"/>
      <c r="E65" s="1021"/>
      <c r="F65" s="646">
        <f>SUM(F55:F64)</f>
        <v>718309.59</v>
      </c>
      <c r="G65" s="646">
        <f>SUM(G55:G64)</f>
        <v>989187.35000000009</v>
      </c>
      <c r="H65" s="646">
        <f>SUM(H55:H64)</f>
        <v>718309.59</v>
      </c>
      <c r="I65" s="646">
        <f>SUM(I55:I64)</f>
        <v>929187.35000000009</v>
      </c>
      <c r="J65" s="728"/>
      <c r="K65" s="649"/>
      <c r="L65" s="649"/>
      <c r="M65" s="567"/>
      <c r="N65"/>
      <c r="O65" s="468"/>
      <c r="P65" s="467"/>
      <c r="Q65" s="67"/>
      <c r="R65" s="467"/>
      <c r="S65" s="467"/>
      <c r="T65" s="467"/>
      <c r="U65" s="67"/>
      <c r="V65" s="67"/>
      <c r="W65" s="67"/>
      <c r="X65" s="67"/>
      <c r="Y65" s="67"/>
      <c r="Z65" s="67"/>
      <c r="AA65" s="67"/>
      <c r="AB65" s="68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2.9" customHeight="1" x14ac:dyDescent="0.2">
      <c r="A66"/>
      <c r="B66" s="579"/>
      <c r="C66" s="4"/>
      <c r="D66" s="4"/>
      <c r="E66" s="609"/>
      <c r="F66" s="612"/>
      <c r="G66" s="612"/>
      <c r="H66" s="612"/>
      <c r="I66" s="612"/>
      <c r="J66" s="609"/>
      <c r="K66" s="609"/>
      <c r="L66" s="729"/>
      <c r="M66" s="567"/>
      <c r="N66"/>
      <c r="O66" s="65"/>
      <c r="P66" s="67"/>
      <c r="Q66" s="67"/>
      <c r="R66" s="467"/>
      <c r="S66" s="467"/>
      <c r="T66" s="467"/>
      <c r="U66" s="67"/>
      <c r="V66" s="67"/>
      <c r="W66" s="67"/>
      <c r="X66" s="67"/>
      <c r="Y66" s="67"/>
      <c r="Z66" s="67"/>
      <c r="AA66" s="67"/>
      <c r="AB66" s="68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571" customFormat="1" ht="30" customHeight="1" x14ac:dyDescent="0.25">
      <c r="B67" s="572"/>
      <c r="C67" s="233" t="s">
        <v>687</v>
      </c>
      <c r="D67" s="16"/>
      <c r="E67" s="577"/>
      <c r="F67" s="577"/>
      <c r="G67" s="577"/>
      <c r="H67" s="577"/>
      <c r="I67" s="577"/>
      <c r="J67" s="577"/>
      <c r="K67" s="577"/>
      <c r="L67" s="577"/>
      <c r="M67" s="575"/>
      <c r="O67" s="65"/>
      <c r="P67" s="67"/>
      <c r="Q67" s="67"/>
      <c r="R67" s="467"/>
      <c r="S67" s="467"/>
      <c r="T67" s="67"/>
      <c r="U67" s="67"/>
      <c r="V67" s="67"/>
      <c r="W67" s="67"/>
      <c r="X67" s="67"/>
      <c r="Y67" s="67"/>
      <c r="Z67" s="67"/>
      <c r="AA67" s="67"/>
      <c r="AB67" s="68"/>
    </row>
    <row r="68" spans="1:256" ht="22.9" customHeight="1" x14ac:dyDescent="0.2">
      <c r="A68"/>
      <c r="B68" s="579"/>
      <c r="C68" s="1005" t="s">
        <v>657</v>
      </c>
      <c r="D68" s="1005"/>
      <c r="E68" s="698" t="s">
        <v>661</v>
      </c>
      <c r="F68" s="698">
        <f>ejercicio-1</f>
        <v>2017</v>
      </c>
      <c r="G68" s="698">
        <f>ejercicio</f>
        <v>2018</v>
      </c>
      <c r="H68" s="698" t="s">
        <v>662</v>
      </c>
      <c r="I68" s="698" t="s">
        <v>663</v>
      </c>
      <c r="J68" s="698" t="s">
        <v>664</v>
      </c>
      <c r="K68" s="616"/>
      <c r="L68" s="616"/>
      <c r="M68" s="567"/>
      <c r="N68"/>
      <c r="O68" s="65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2.9" customHeight="1" x14ac:dyDescent="0.2">
      <c r="A69"/>
      <c r="B69" s="579"/>
      <c r="C69" s="368"/>
      <c r="D69" s="369"/>
      <c r="E69" s="370"/>
      <c r="F69" s="627"/>
      <c r="G69" s="370"/>
      <c r="H69" s="714"/>
      <c r="I69" s="714"/>
      <c r="J69" s="715"/>
      <c r="K69" s="616"/>
      <c r="L69" s="616"/>
      <c r="M69" s="567"/>
      <c r="N69"/>
      <c r="O69" s="65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8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2.9" customHeight="1" x14ac:dyDescent="0.2">
      <c r="A70"/>
      <c r="B70" s="579"/>
      <c r="C70" s="342"/>
      <c r="D70" s="343"/>
      <c r="E70" s="422"/>
      <c r="F70" s="667"/>
      <c r="G70" s="422"/>
      <c r="H70" s="716"/>
      <c r="I70" s="716"/>
      <c r="J70" s="717"/>
      <c r="K70" s="616"/>
      <c r="L70" s="616"/>
      <c r="M70" s="567"/>
      <c r="N70"/>
      <c r="O70" s="65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8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2.9" customHeight="1" x14ac:dyDescent="0.2">
      <c r="A71"/>
      <c r="B71" s="579"/>
      <c r="C71" s="342"/>
      <c r="D71" s="343"/>
      <c r="E71" s="422"/>
      <c r="F71" s="667"/>
      <c r="G71" s="422"/>
      <c r="H71" s="716"/>
      <c r="I71" s="716"/>
      <c r="J71" s="717"/>
      <c r="K71" s="616"/>
      <c r="L71" s="616"/>
      <c r="M71" s="567"/>
      <c r="N71"/>
      <c r="O71" s="65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8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2.9" customHeight="1" x14ac:dyDescent="0.2">
      <c r="A72"/>
      <c r="B72" s="579"/>
      <c r="C72" s="342"/>
      <c r="D72" s="343"/>
      <c r="E72" s="422"/>
      <c r="F72" s="667"/>
      <c r="G72" s="422"/>
      <c r="H72" s="716"/>
      <c r="I72" s="716"/>
      <c r="J72" s="717"/>
      <c r="K72" s="616"/>
      <c r="L72" s="616"/>
      <c r="M72" s="567"/>
      <c r="N72"/>
      <c r="O72" s="65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8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2.9" customHeight="1" x14ac:dyDescent="0.2">
      <c r="A73"/>
      <c r="B73" s="579"/>
      <c r="C73" s="342"/>
      <c r="D73" s="343"/>
      <c r="E73" s="344"/>
      <c r="F73" s="634"/>
      <c r="G73" s="344"/>
      <c r="H73" s="718"/>
      <c r="I73" s="718"/>
      <c r="J73" s="719"/>
      <c r="K73" s="616"/>
      <c r="L73" s="616"/>
      <c r="M73" s="567"/>
      <c r="N73"/>
      <c r="O73" s="65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8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2.9" customHeight="1" x14ac:dyDescent="0.2">
      <c r="A74"/>
      <c r="B74" s="579"/>
      <c r="C74" s="342"/>
      <c r="D74" s="343"/>
      <c r="E74" s="344"/>
      <c r="F74" s="634"/>
      <c r="G74" s="344"/>
      <c r="H74" s="718"/>
      <c r="I74" s="718"/>
      <c r="J74" s="719"/>
      <c r="K74" s="616"/>
      <c r="L74" s="616"/>
      <c r="M74" s="567"/>
      <c r="N74"/>
      <c r="O74" s="65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8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2.9" customHeight="1" x14ac:dyDescent="0.2">
      <c r="A75"/>
      <c r="B75" s="579"/>
      <c r="C75" s="342"/>
      <c r="D75" s="343"/>
      <c r="E75" s="344"/>
      <c r="F75" s="634"/>
      <c r="G75" s="344"/>
      <c r="H75" s="718"/>
      <c r="I75" s="718"/>
      <c r="J75" s="719"/>
      <c r="K75" s="616"/>
      <c r="L75" s="616"/>
      <c r="M75" s="567"/>
      <c r="N75"/>
      <c r="O75" s="65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8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2.9" customHeight="1" x14ac:dyDescent="0.2">
      <c r="A76"/>
      <c r="B76" s="579"/>
      <c r="C76" s="342"/>
      <c r="D76" s="343"/>
      <c r="E76" s="430"/>
      <c r="F76" s="678"/>
      <c r="G76" s="430"/>
      <c r="H76" s="720"/>
      <c r="I76" s="720"/>
      <c r="J76" s="721"/>
      <c r="K76" s="616"/>
      <c r="L76" s="616"/>
      <c r="M76" s="567"/>
      <c r="N76"/>
      <c r="O76" s="65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8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22.9" customHeight="1" x14ac:dyDescent="0.2">
      <c r="A77"/>
      <c r="B77" s="579"/>
      <c r="C77" s="342"/>
      <c r="D77" s="343"/>
      <c r="E77" s="430"/>
      <c r="F77" s="678"/>
      <c r="G77" s="430"/>
      <c r="H77" s="720"/>
      <c r="I77" s="720"/>
      <c r="J77" s="721"/>
      <c r="K77" s="616"/>
      <c r="L77" s="616"/>
      <c r="M77" s="567"/>
      <c r="N77"/>
      <c r="O77" s="65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8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2.9" customHeight="1" x14ac:dyDescent="0.2">
      <c r="A78"/>
      <c r="B78" s="579"/>
      <c r="C78" s="352"/>
      <c r="D78" s="353"/>
      <c r="E78" s="354"/>
      <c r="F78" s="640"/>
      <c r="G78" s="354"/>
      <c r="H78" s="722"/>
      <c r="I78" s="722"/>
      <c r="J78" s="723"/>
      <c r="K78" s="616"/>
      <c r="L78" s="616"/>
      <c r="M78" s="567"/>
      <c r="N78"/>
      <c r="O78" s="65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2.9" customHeight="1" x14ac:dyDescent="0.2">
      <c r="A79"/>
      <c r="B79" s="579"/>
      <c r="C79" s="1021" t="s">
        <v>688</v>
      </c>
      <c r="D79" s="1021"/>
      <c r="E79" s="1021"/>
      <c r="F79" s="646">
        <f>SUM(F69:F78)</f>
        <v>0</v>
      </c>
      <c r="G79" s="646">
        <f>SUM(G69:G78)</f>
        <v>0</v>
      </c>
      <c r="H79" s="577"/>
      <c r="I79" s="577"/>
      <c r="J79" s="659"/>
      <c r="K79" s="649"/>
      <c r="L79" s="649"/>
      <c r="M79" s="567"/>
      <c r="N79"/>
      <c r="O79" s="65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8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2.9" customHeight="1" x14ac:dyDescent="0.2">
      <c r="A80"/>
      <c r="B80" s="579"/>
      <c r="C80" s="4"/>
      <c r="D80" s="4"/>
      <c r="E80" s="609"/>
      <c r="F80" s="612"/>
      <c r="G80" s="612"/>
      <c r="H80" s="577"/>
      <c r="I80" s="577"/>
      <c r="J80" s="659"/>
      <c r="K80" s="609"/>
      <c r="L80" s="729"/>
      <c r="M80" s="567"/>
      <c r="N80"/>
      <c r="O80" s="65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8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2.9" customHeight="1" x14ac:dyDescent="0.2">
      <c r="A81"/>
      <c r="B81" s="579"/>
      <c r="C81" s="657" t="s">
        <v>689</v>
      </c>
      <c r="D81" s="658"/>
      <c r="E81" s="659"/>
      <c r="F81" s="659"/>
      <c r="G81" s="659"/>
      <c r="H81" s="577"/>
      <c r="I81" s="577"/>
      <c r="J81" s="659"/>
      <c r="K81" s="659"/>
      <c r="L81" s="577"/>
      <c r="M81" s="567"/>
      <c r="N81"/>
      <c r="O81" s="65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8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18" x14ac:dyDescent="0.2">
      <c r="A82"/>
      <c r="B82" s="579"/>
      <c r="C82" s="730"/>
      <c r="D82" s="730"/>
      <c r="E82" s="731"/>
      <c r="F82" s="731"/>
      <c r="G82" s="731"/>
      <c r="H82" s="731"/>
      <c r="I82" s="731"/>
      <c r="J82" s="731"/>
      <c r="K82" s="731"/>
      <c r="L82" s="732"/>
      <c r="M82" s="567"/>
      <c r="N82"/>
      <c r="O82" s="65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8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18" x14ac:dyDescent="0.2">
      <c r="A83"/>
      <c r="B83" s="579"/>
      <c r="C83" s="733"/>
      <c r="D83" s="733"/>
      <c r="E83" s="734"/>
      <c r="F83" s="734"/>
      <c r="G83" s="734"/>
      <c r="H83" s="734"/>
      <c r="I83" s="734"/>
      <c r="J83" s="734"/>
      <c r="K83" s="734"/>
      <c r="L83" s="735"/>
      <c r="M83" s="567"/>
      <c r="N83"/>
      <c r="O83" s="65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8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18" x14ac:dyDescent="0.2">
      <c r="A84"/>
      <c r="B84" s="579"/>
      <c r="C84" s="733"/>
      <c r="D84" s="733"/>
      <c r="E84" s="734"/>
      <c r="F84" s="734"/>
      <c r="G84" s="734"/>
      <c r="H84" s="734"/>
      <c r="I84" s="734"/>
      <c r="J84" s="734"/>
      <c r="K84" s="734"/>
      <c r="L84" s="735"/>
      <c r="M84" s="567"/>
      <c r="N84"/>
      <c r="O84" s="65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8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18" x14ac:dyDescent="0.2">
      <c r="A85"/>
      <c r="B85" s="579"/>
      <c r="C85" s="733"/>
      <c r="D85" s="733"/>
      <c r="E85" s="734"/>
      <c r="F85" s="734"/>
      <c r="G85" s="734"/>
      <c r="H85" s="734"/>
      <c r="I85" s="734"/>
      <c r="J85" s="734"/>
      <c r="K85" s="734"/>
      <c r="L85" s="735"/>
      <c r="M85" s="567"/>
      <c r="N85"/>
      <c r="O85" s="65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8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18" x14ac:dyDescent="0.2">
      <c r="A86"/>
      <c r="B86" s="579"/>
      <c r="C86" s="733"/>
      <c r="D86" s="733"/>
      <c r="E86" s="734"/>
      <c r="F86" s="734"/>
      <c r="G86" s="734"/>
      <c r="H86" s="734"/>
      <c r="I86" s="734"/>
      <c r="J86" s="734"/>
      <c r="K86" s="734"/>
      <c r="L86" s="735"/>
      <c r="M86" s="567"/>
      <c r="N86"/>
      <c r="O86" s="65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8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18" x14ac:dyDescent="0.2">
      <c r="A87"/>
      <c r="B87" s="579"/>
      <c r="C87" s="733"/>
      <c r="D87" s="733"/>
      <c r="E87" s="734"/>
      <c r="F87" s="734"/>
      <c r="G87" s="734"/>
      <c r="H87" s="734"/>
      <c r="I87" s="734"/>
      <c r="J87" s="734"/>
      <c r="K87" s="734"/>
      <c r="L87" s="735"/>
      <c r="M87" s="567"/>
      <c r="N87"/>
      <c r="O87" s="65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8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18" x14ac:dyDescent="0.2">
      <c r="A88"/>
      <c r="B88" s="579"/>
      <c r="C88" s="733"/>
      <c r="D88" s="733"/>
      <c r="E88" s="734"/>
      <c r="F88" s="734"/>
      <c r="G88" s="734"/>
      <c r="H88" s="734"/>
      <c r="I88" s="734"/>
      <c r="J88" s="734"/>
      <c r="K88" s="734"/>
      <c r="L88" s="735"/>
      <c r="M88" s="567"/>
      <c r="N88"/>
      <c r="O88" s="65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18" x14ac:dyDescent="0.2">
      <c r="A89"/>
      <c r="B89" s="579"/>
      <c r="C89" s="733"/>
      <c r="D89" s="733"/>
      <c r="E89" s="734"/>
      <c r="F89" s="734"/>
      <c r="G89" s="734"/>
      <c r="H89" s="734"/>
      <c r="I89" s="734"/>
      <c r="J89" s="734"/>
      <c r="K89" s="734"/>
      <c r="L89" s="735"/>
      <c r="M89" s="567"/>
      <c r="N89"/>
      <c r="O89" s="65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8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18" x14ac:dyDescent="0.2">
      <c r="A90"/>
      <c r="B90" s="579"/>
      <c r="C90" s="733"/>
      <c r="D90" s="733"/>
      <c r="E90" s="734"/>
      <c r="F90" s="734"/>
      <c r="G90" s="734"/>
      <c r="H90" s="734"/>
      <c r="I90" s="734"/>
      <c r="J90" s="734"/>
      <c r="K90" s="734"/>
      <c r="L90" s="735"/>
      <c r="M90" s="567"/>
      <c r="N90"/>
      <c r="O90" s="65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8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18" x14ac:dyDescent="0.2">
      <c r="A91"/>
      <c r="B91" s="579"/>
      <c r="C91" s="733"/>
      <c r="D91" s="733"/>
      <c r="E91" s="734"/>
      <c r="F91" s="734"/>
      <c r="G91" s="734"/>
      <c r="H91" s="734"/>
      <c r="I91" s="734"/>
      <c r="J91" s="734"/>
      <c r="K91" s="734"/>
      <c r="L91" s="735"/>
      <c r="M91" s="567"/>
      <c r="N91"/>
      <c r="O91" s="65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8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15" x14ac:dyDescent="0.2">
      <c r="A92"/>
      <c r="B92" s="579"/>
      <c r="C92" s="736" t="s">
        <v>690</v>
      </c>
      <c r="D92" s="737"/>
      <c r="E92" s="738"/>
      <c r="F92" s="738"/>
      <c r="G92" s="738"/>
      <c r="H92" s="738"/>
      <c r="I92" s="738"/>
      <c r="J92" s="738"/>
      <c r="K92" s="738"/>
      <c r="L92" s="739"/>
      <c r="M92" s="740"/>
      <c r="N92" s="741"/>
      <c r="O92" s="742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8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15" x14ac:dyDescent="0.2">
      <c r="A93"/>
      <c r="B93" s="579"/>
      <c r="C93" s="737" t="s">
        <v>691</v>
      </c>
      <c r="D93" s="737"/>
      <c r="E93" s="738"/>
      <c r="F93" s="738"/>
      <c r="G93" s="738"/>
      <c r="H93" s="738"/>
      <c r="I93" s="738"/>
      <c r="J93" s="738"/>
      <c r="K93" s="738"/>
      <c r="L93" s="739"/>
      <c r="M93" s="740"/>
      <c r="N93" s="741"/>
      <c r="O93" s="742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8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15" x14ac:dyDescent="0.2">
      <c r="A94"/>
      <c r="B94" s="579"/>
      <c r="C94" s="737" t="s">
        <v>692</v>
      </c>
      <c r="D94" s="737"/>
      <c r="E94" s="738"/>
      <c r="F94" s="743">
        <f>ejercicio-1</f>
        <v>2017</v>
      </c>
      <c r="G94" s="738" t="s">
        <v>693</v>
      </c>
      <c r="H94" s="738"/>
      <c r="I94" s="738"/>
      <c r="J94" s="743">
        <f>ejercicio</f>
        <v>2018</v>
      </c>
      <c r="K94" s="738"/>
      <c r="L94" s="739"/>
      <c r="M94" s="740"/>
      <c r="N94" s="741"/>
      <c r="O94" s="742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8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15" x14ac:dyDescent="0.2">
      <c r="A95"/>
      <c r="B95" s="579"/>
      <c r="C95" s="737" t="s">
        <v>694</v>
      </c>
      <c r="D95" s="737"/>
      <c r="E95" s="738"/>
      <c r="F95" s="738"/>
      <c r="G95" s="738"/>
      <c r="H95" s="738"/>
      <c r="I95" s="738"/>
      <c r="J95" s="738"/>
      <c r="K95" s="738"/>
      <c r="L95" s="739"/>
      <c r="M95" s="740"/>
      <c r="N95" s="741"/>
      <c r="O95" s="742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8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15" x14ac:dyDescent="0.2">
      <c r="A96"/>
      <c r="B96" s="579"/>
      <c r="C96" s="737" t="s">
        <v>695</v>
      </c>
      <c r="D96" s="737"/>
      <c r="E96" s="738"/>
      <c r="F96" s="738"/>
      <c r="G96" s="738"/>
      <c r="H96" s="738"/>
      <c r="I96" s="738"/>
      <c r="J96" s="738"/>
      <c r="K96" s="738"/>
      <c r="L96" s="739"/>
      <c r="M96" s="740"/>
      <c r="N96" s="741"/>
      <c r="O96" s="742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8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15" x14ac:dyDescent="0.2">
      <c r="A97"/>
      <c r="B97" s="579"/>
      <c r="C97" s="737" t="s">
        <v>696</v>
      </c>
      <c r="D97" s="737"/>
      <c r="E97" s="738"/>
      <c r="F97" s="738"/>
      <c r="G97" s="738"/>
      <c r="H97" s="738"/>
      <c r="I97" s="738"/>
      <c r="J97" s="738"/>
      <c r="K97" s="738"/>
      <c r="L97" s="739"/>
      <c r="M97" s="740"/>
      <c r="N97" s="741"/>
      <c r="O97" s="742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8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15" x14ac:dyDescent="0.2">
      <c r="A98"/>
      <c r="B98" s="579"/>
      <c r="C98" s="737" t="s">
        <v>697</v>
      </c>
      <c r="D98" s="737"/>
      <c r="E98" s="738"/>
      <c r="F98" s="738"/>
      <c r="G98" s="738"/>
      <c r="H98" s="738"/>
      <c r="I98" s="738"/>
      <c r="J98" s="738"/>
      <c r="K98" s="738"/>
      <c r="L98" s="739"/>
      <c r="M98" s="740"/>
      <c r="N98" s="741"/>
      <c r="O98" s="742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15" x14ac:dyDescent="0.2">
      <c r="A99"/>
      <c r="B99" s="579"/>
      <c r="C99" s="737" t="s">
        <v>698</v>
      </c>
      <c r="D99" s="737"/>
      <c r="E99" s="738"/>
      <c r="F99" s="738"/>
      <c r="G99" s="738"/>
      <c r="H99" s="738"/>
      <c r="I99" s="738"/>
      <c r="J99" s="738"/>
      <c r="K99" s="738"/>
      <c r="L99" s="739"/>
      <c r="M99" s="740"/>
      <c r="N99" s="741"/>
      <c r="O99" s="742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8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15" x14ac:dyDescent="0.2">
      <c r="A100"/>
      <c r="B100" s="579"/>
      <c r="C100" s="737" t="s">
        <v>699</v>
      </c>
      <c r="D100" s="737"/>
      <c r="E100" s="738"/>
      <c r="F100" s="738"/>
      <c r="G100" s="738"/>
      <c r="H100" s="738"/>
      <c r="I100" s="738"/>
      <c r="J100" s="738"/>
      <c r="K100" s="738"/>
      <c r="L100" s="739"/>
      <c r="M100" s="740"/>
      <c r="N100" s="741"/>
      <c r="O100" s="742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8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15" x14ac:dyDescent="0.2">
      <c r="A101"/>
      <c r="B101" s="579"/>
      <c r="C101" s="737" t="s">
        <v>700</v>
      </c>
      <c r="D101" s="737"/>
      <c r="E101" s="738"/>
      <c r="F101" s="738"/>
      <c r="G101" s="738"/>
      <c r="H101" s="738"/>
      <c r="I101" s="738"/>
      <c r="J101" s="738"/>
      <c r="K101" s="738"/>
      <c r="L101" s="739"/>
      <c r="M101" s="740"/>
      <c r="N101" s="741"/>
      <c r="O101" s="742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8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15" x14ac:dyDescent="0.2">
      <c r="A102"/>
      <c r="B102" s="579"/>
      <c r="C102" s="737" t="s">
        <v>701</v>
      </c>
      <c r="D102" s="737"/>
      <c r="E102" s="738"/>
      <c r="F102" s="738"/>
      <c r="G102" s="738"/>
      <c r="H102" s="738"/>
      <c r="I102" s="738"/>
      <c r="J102" s="738"/>
      <c r="K102" s="738"/>
      <c r="L102" s="739"/>
      <c r="M102" s="740"/>
      <c r="N102" s="741"/>
      <c r="O102" s="742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8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15" x14ac:dyDescent="0.2">
      <c r="A103"/>
      <c r="B103" s="579"/>
      <c r="C103" s="737" t="s">
        <v>702</v>
      </c>
      <c r="D103" s="737"/>
      <c r="E103" s="738"/>
      <c r="F103" s="738"/>
      <c r="G103" s="738"/>
      <c r="H103" s="738"/>
      <c r="I103" s="738"/>
      <c r="J103" s="738"/>
      <c r="K103" s="738"/>
      <c r="L103" s="739"/>
      <c r="M103" s="740"/>
      <c r="N103" s="741"/>
      <c r="O103" s="742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8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15" x14ac:dyDescent="0.2">
      <c r="A104"/>
      <c r="B104" s="579"/>
      <c r="C104" s="737" t="s">
        <v>703</v>
      </c>
      <c r="D104" s="737"/>
      <c r="E104" s="738"/>
      <c r="F104" s="738"/>
      <c r="G104" s="738"/>
      <c r="H104" s="738"/>
      <c r="I104" s="738"/>
      <c r="J104" s="738"/>
      <c r="K104" s="738"/>
      <c r="L104" s="739"/>
      <c r="M104" s="740"/>
      <c r="N104" s="741"/>
      <c r="O104" s="742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8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744" customFormat="1" ht="14.25" x14ac:dyDescent="0.2">
      <c r="B105" s="745"/>
      <c r="C105" s="746" t="s">
        <v>704</v>
      </c>
      <c r="D105" s="746"/>
      <c r="E105" s="747"/>
      <c r="F105" s="747"/>
      <c r="G105" s="747"/>
      <c r="H105" s="747"/>
      <c r="I105" s="747"/>
      <c r="J105" s="747"/>
      <c r="K105" s="747"/>
      <c r="L105" s="748"/>
      <c r="M105" s="749"/>
      <c r="N105" s="750"/>
      <c r="O105" s="742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8"/>
    </row>
    <row r="106" spans="1:256" ht="15" x14ac:dyDescent="0.2">
      <c r="B106" s="579"/>
      <c r="C106" s="737" t="s">
        <v>705</v>
      </c>
      <c r="D106" s="737"/>
      <c r="E106" s="738"/>
      <c r="F106" s="738"/>
      <c r="G106" s="738"/>
      <c r="H106" s="738"/>
      <c r="I106" s="738"/>
      <c r="J106" s="738"/>
      <c r="K106" s="738"/>
      <c r="L106" s="739"/>
      <c r="M106" s="740"/>
      <c r="N106" s="741"/>
      <c r="O106" s="742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8"/>
    </row>
    <row r="107" spans="1:256" ht="15" x14ac:dyDescent="0.2">
      <c r="B107" s="579"/>
      <c r="C107" s="737" t="s">
        <v>706</v>
      </c>
      <c r="D107" s="737"/>
      <c r="E107" s="738"/>
      <c r="F107" s="738"/>
      <c r="G107" s="738"/>
      <c r="H107" s="738"/>
      <c r="I107" s="738"/>
      <c r="J107" s="738"/>
      <c r="K107" s="738"/>
      <c r="L107" s="739"/>
      <c r="M107" s="740"/>
      <c r="N107" s="741"/>
      <c r="O107" s="742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8"/>
    </row>
    <row r="108" spans="1:256" ht="15" x14ac:dyDescent="0.2">
      <c r="B108" s="579"/>
      <c r="C108" s="737" t="s">
        <v>707</v>
      </c>
      <c r="D108" s="737"/>
      <c r="E108" s="738"/>
      <c r="F108" s="738"/>
      <c r="G108" s="738"/>
      <c r="H108" s="738"/>
      <c r="I108" s="738"/>
      <c r="J108" s="738"/>
      <c r="K108" s="738"/>
      <c r="L108" s="739"/>
      <c r="M108" s="740"/>
      <c r="N108" s="741"/>
      <c r="O108" s="742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8"/>
    </row>
    <row r="109" spans="1:256" ht="22.9" customHeight="1" x14ac:dyDescent="0.2">
      <c r="B109" s="613"/>
      <c r="C109" s="996"/>
      <c r="D109" s="996"/>
      <c r="E109" s="996"/>
      <c r="F109" s="996"/>
      <c r="G109" s="283"/>
      <c r="H109" s="283"/>
      <c r="I109" s="283"/>
      <c r="J109" s="283"/>
      <c r="K109" s="283"/>
      <c r="L109" s="614"/>
      <c r="M109" s="615"/>
      <c r="O109" s="103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5"/>
    </row>
    <row r="110" spans="1:256" ht="22.9" customHeight="1" x14ac:dyDescent="0.2">
      <c r="C110" s="556"/>
      <c r="D110" s="556"/>
      <c r="E110" s="566"/>
      <c r="F110" s="566"/>
      <c r="G110" s="566"/>
      <c r="H110" s="566"/>
      <c r="I110" s="566"/>
      <c r="J110" s="566"/>
      <c r="K110" s="566"/>
      <c r="L110" s="566"/>
    </row>
    <row r="111" spans="1:256" ht="15" x14ac:dyDescent="0.2">
      <c r="C111" s="556" t="s">
        <v>55</v>
      </c>
      <c r="D111" s="556"/>
      <c r="E111" s="566"/>
      <c r="F111" s="566"/>
      <c r="G111" s="566"/>
      <c r="H111" s="566"/>
      <c r="I111" s="566"/>
      <c r="J111" s="566"/>
      <c r="K111" s="566"/>
      <c r="L111" s="558" t="s">
        <v>29</v>
      </c>
    </row>
    <row r="112" spans="1:256" ht="15" x14ac:dyDescent="0.2">
      <c r="C112" s="616" t="s">
        <v>57</v>
      </c>
      <c r="D112" s="556"/>
      <c r="E112" s="566"/>
      <c r="F112" s="566"/>
      <c r="G112" s="566"/>
      <c r="H112" s="566"/>
      <c r="I112" s="566"/>
      <c r="J112" s="566"/>
      <c r="K112" s="566"/>
      <c r="L112" s="566"/>
    </row>
    <row r="113" spans="3:12" ht="15" x14ac:dyDescent="0.2">
      <c r="C113" s="616" t="s">
        <v>58</v>
      </c>
      <c r="D113" s="556"/>
      <c r="E113" s="566"/>
      <c r="F113" s="566"/>
      <c r="G113" s="566"/>
      <c r="H113" s="566"/>
      <c r="I113" s="566"/>
      <c r="J113" s="566"/>
      <c r="K113" s="566"/>
      <c r="L113" s="566"/>
    </row>
    <row r="114" spans="3:12" ht="15" x14ac:dyDescent="0.2">
      <c r="C114" s="616" t="s">
        <v>59</v>
      </c>
      <c r="D114" s="556"/>
      <c r="E114" s="566"/>
      <c r="F114" s="566"/>
      <c r="G114" s="566"/>
      <c r="H114" s="566"/>
      <c r="I114" s="566"/>
      <c r="J114" s="566"/>
      <c r="K114" s="566"/>
      <c r="L114" s="566"/>
    </row>
    <row r="115" spans="3:12" ht="15" x14ac:dyDescent="0.2">
      <c r="C115" s="616" t="s">
        <v>60</v>
      </c>
      <c r="D115" s="556"/>
      <c r="E115" s="566"/>
      <c r="F115" s="566"/>
      <c r="G115" s="566"/>
      <c r="H115" s="566"/>
      <c r="I115" s="566"/>
      <c r="J115" s="566"/>
      <c r="K115" s="566"/>
      <c r="L115" s="566"/>
    </row>
  </sheetData>
  <sheetProtection password="E059" sheet="1" objects="1" scenarios="1" insertRows="0"/>
  <mergeCells count="24">
    <mergeCell ref="C65:E65"/>
    <mergeCell ref="C68:D68"/>
    <mergeCell ref="C79:E79"/>
    <mergeCell ref="C109:F109"/>
    <mergeCell ref="C39:D39"/>
    <mergeCell ref="C50:E50"/>
    <mergeCell ref="C53:D53"/>
    <mergeCell ref="F53:G53"/>
    <mergeCell ref="H53:I53"/>
    <mergeCell ref="C54:D54"/>
    <mergeCell ref="C16:D16"/>
    <mergeCell ref="C18:E18"/>
    <mergeCell ref="C31:L31"/>
    <mergeCell ref="C32:E32"/>
    <mergeCell ref="C33:E33"/>
    <mergeCell ref="C38:D38"/>
    <mergeCell ref="F38:G38"/>
    <mergeCell ref="H38:I38"/>
    <mergeCell ref="L6:L7"/>
    <mergeCell ref="D9:L9"/>
    <mergeCell ref="C12:D12"/>
    <mergeCell ref="C15:D15"/>
    <mergeCell ref="F15:G15"/>
    <mergeCell ref="H15:I15"/>
  </mergeCells>
  <phoneticPr fontId="36" type="noConversion"/>
  <printOptions horizontalCentered="1" verticalCentered="1"/>
  <pageMargins left="0.35433070866141736" right="0.35433070866141736" top="0.59055118110236227" bottom="0.59055118110236227" header="0.51181102362204722" footer="0.51181102362204722"/>
  <pageSetup paperSize="9" scale="31" firstPageNumber="0" orientation="portrait" horizontalDpi="300" verticalDpi="300" r:id="rId1"/>
  <headerFooter alignWithMargins="0"/>
  <ignoredErrors>
    <ignoredError sqref="G55 I55" unlockedFormula="1"/>
    <ignoredError sqref="G5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0"/>
  <sheetViews>
    <sheetView zoomScale="40" zoomScaleNormal="40" workbookViewId="0">
      <selection activeCell="AD67" sqref="AD67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28.21875" style="22" customWidth="1"/>
    <col min="5" max="6" width="14.21875" style="559" customWidth="1"/>
    <col min="7" max="7" width="21.21875" style="559" customWidth="1"/>
    <col min="8" max="8" width="14.21875" style="559" customWidth="1"/>
    <col min="9" max="9" width="11.77734375" style="559" customWidth="1"/>
    <col min="10" max="19" width="16.77734375" style="559" customWidth="1"/>
    <col min="20" max="20" width="3.21875" style="22" customWidth="1"/>
    <col min="21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  <c r="T5" s="563"/>
      <c r="U5"/>
      <c r="V5" s="62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981">
        <f>ejercicio</f>
        <v>2018</v>
      </c>
      <c r="T6" s="567"/>
      <c r="U6"/>
      <c r="V6" s="65"/>
      <c r="W6" s="66" t="s">
        <v>93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981"/>
      <c r="T7" s="567"/>
      <c r="U7"/>
      <c r="V7" s="65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8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7"/>
      <c r="U8"/>
      <c r="V8" s="65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570"/>
      <c r="V9" s="65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8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6"/>
      <c r="T10" s="567"/>
      <c r="U10"/>
      <c r="V10" s="65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8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708</v>
      </c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5"/>
      <c r="V11" s="65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8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5"/>
      <c r="U12"/>
      <c r="V12" s="65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8.9" customHeight="1" x14ac:dyDescent="0.2">
      <c r="A13"/>
      <c r="B13" s="579"/>
      <c r="C13" s="233" t="s">
        <v>709</v>
      </c>
      <c r="D13" s="660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67"/>
      <c r="U13"/>
      <c r="V13" s="65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8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9" customHeight="1" x14ac:dyDescent="0.2">
      <c r="A14"/>
      <c r="B14" s="579"/>
      <c r="C14" s="660"/>
      <c r="D14" s="660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67"/>
      <c r="U14"/>
      <c r="V14" s="65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8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751" customFormat="1" ht="42" customHeight="1" x14ac:dyDescent="0.2">
      <c r="B15" s="752"/>
      <c r="C15" s="617" t="s">
        <v>710</v>
      </c>
      <c r="D15" s="753" t="s">
        <v>711</v>
      </c>
      <c r="E15" s="617" t="s">
        <v>712</v>
      </c>
      <c r="F15" s="617" t="s">
        <v>712</v>
      </c>
      <c r="G15" s="617" t="s">
        <v>713</v>
      </c>
      <c r="H15" s="617" t="s">
        <v>714</v>
      </c>
      <c r="I15" s="617" t="s">
        <v>715</v>
      </c>
      <c r="J15" s="617" t="s">
        <v>716</v>
      </c>
      <c r="K15" s="617" t="s">
        <v>717</v>
      </c>
      <c r="L15" s="617" t="s">
        <v>718</v>
      </c>
      <c r="M15" s="754" t="s">
        <v>719</v>
      </c>
      <c r="N15" s="617" t="s">
        <v>720</v>
      </c>
      <c r="O15" s="617" t="s">
        <v>721</v>
      </c>
      <c r="P15" s="755" t="s">
        <v>722</v>
      </c>
      <c r="Q15" s="617" t="s">
        <v>718</v>
      </c>
      <c r="R15" s="577"/>
      <c r="S15" s="577"/>
      <c r="T15" s="756"/>
      <c r="V15" s="65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8"/>
    </row>
    <row r="16" spans="1:256" ht="24" customHeight="1" x14ac:dyDescent="0.2">
      <c r="A16" s="751"/>
      <c r="B16" s="752"/>
      <c r="C16" s="705" t="s">
        <v>723</v>
      </c>
      <c r="D16" s="757" t="s">
        <v>723</v>
      </c>
      <c r="E16" s="705" t="s">
        <v>724</v>
      </c>
      <c r="F16" s="705" t="s">
        <v>725</v>
      </c>
      <c r="G16" s="705" t="s">
        <v>726</v>
      </c>
      <c r="H16" s="705" t="s">
        <v>727</v>
      </c>
      <c r="I16" s="705" t="s">
        <v>728</v>
      </c>
      <c r="J16" s="705" t="s">
        <v>729</v>
      </c>
      <c r="K16" s="705" t="s">
        <v>730</v>
      </c>
      <c r="L16" s="705">
        <f>ejercicio-1</f>
        <v>2017</v>
      </c>
      <c r="M16" s="705">
        <f>ejercicio</f>
        <v>2018</v>
      </c>
      <c r="N16" s="705">
        <f>ejercicio</f>
        <v>2018</v>
      </c>
      <c r="O16" s="705">
        <f>ejercicio</f>
        <v>2018</v>
      </c>
      <c r="P16" s="705">
        <f>ejercicio</f>
        <v>2018</v>
      </c>
      <c r="Q16" s="705">
        <f>ejercicio</f>
        <v>2018</v>
      </c>
      <c r="R16" s="577"/>
      <c r="S16" s="577"/>
      <c r="T16" s="756"/>
      <c r="U16"/>
      <c r="V16" s="65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8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/>
      <c r="B17" s="579"/>
      <c r="C17" s="758"/>
      <c r="D17" s="759"/>
      <c r="E17" s="760"/>
      <c r="F17" s="760"/>
      <c r="G17" s="758"/>
      <c r="H17" s="760"/>
      <c r="I17" s="760"/>
      <c r="J17" s="760"/>
      <c r="K17" s="434"/>
      <c r="L17" s="434"/>
      <c r="M17" s="411"/>
      <c r="N17" s="411"/>
      <c r="O17" s="411"/>
      <c r="P17" s="761"/>
      <c r="Q17" s="762">
        <f t="shared" ref="Q17:Q41" si="0">L17+M17-N17</f>
        <v>0</v>
      </c>
      <c r="R17" s="577"/>
      <c r="S17" s="577"/>
      <c r="T17" s="567"/>
      <c r="U17"/>
      <c r="V17" s="65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8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579"/>
      <c r="C18" s="758"/>
      <c r="D18" s="759"/>
      <c r="E18" s="760"/>
      <c r="F18" s="760"/>
      <c r="G18" s="758"/>
      <c r="H18" s="760"/>
      <c r="I18" s="760"/>
      <c r="J18" s="760"/>
      <c r="K18" s="434"/>
      <c r="L18" s="434"/>
      <c r="M18" s="434"/>
      <c r="N18" s="434"/>
      <c r="O18" s="434"/>
      <c r="P18" s="761"/>
      <c r="Q18" s="763">
        <f t="shared" si="0"/>
        <v>0</v>
      </c>
      <c r="R18" s="577"/>
      <c r="S18" s="577"/>
      <c r="T18" s="567"/>
      <c r="U18"/>
      <c r="V18" s="65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579"/>
      <c r="C19" s="758"/>
      <c r="D19" s="759"/>
      <c r="E19" s="760" t="s">
        <v>731</v>
      </c>
      <c r="F19" s="760"/>
      <c r="G19" s="758"/>
      <c r="H19" s="760"/>
      <c r="I19" s="760"/>
      <c r="J19" s="760"/>
      <c r="K19" s="434"/>
      <c r="L19" s="434"/>
      <c r="M19" s="434"/>
      <c r="N19" s="434"/>
      <c r="O19" s="434"/>
      <c r="P19" s="761"/>
      <c r="Q19" s="763">
        <f t="shared" si="0"/>
        <v>0</v>
      </c>
      <c r="R19" s="577"/>
      <c r="S19" s="577"/>
      <c r="T19" s="567"/>
      <c r="U19"/>
      <c r="V19" s="65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8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579"/>
      <c r="C20" s="758"/>
      <c r="D20" s="759"/>
      <c r="E20" s="760"/>
      <c r="F20" s="760"/>
      <c r="G20" s="758"/>
      <c r="H20" s="760"/>
      <c r="I20" s="760"/>
      <c r="J20" s="760"/>
      <c r="K20" s="434"/>
      <c r="L20" s="434"/>
      <c r="M20" s="434"/>
      <c r="N20" s="434"/>
      <c r="O20" s="434"/>
      <c r="P20" s="761"/>
      <c r="Q20" s="763">
        <f t="shared" si="0"/>
        <v>0</v>
      </c>
      <c r="R20" s="577"/>
      <c r="S20" s="577"/>
      <c r="T20" s="567"/>
      <c r="U20"/>
      <c r="V20" s="65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8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579"/>
      <c r="C21" s="758"/>
      <c r="D21" s="759"/>
      <c r="E21" s="760"/>
      <c r="F21" s="760"/>
      <c r="G21" s="758"/>
      <c r="H21" s="760"/>
      <c r="I21" s="760"/>
      <c r="J21" s="760"/>
      <c r="K21" s="434"/>
      <c r="L21" s="434"/>
      <c r="M21" s="434"/>
      <c r="N21" s="434"/>
      <c r="O21" s="434"/>
      <c r="P21" s="761"/>
      <c r="Q21" s="763">
        <f t="shared" si="0"/>
        <v>0</v>
      </c>
      <c r="R21" s="577"/>
      <c r="S21" s="577"/>
      <c r="T21" s="567"/>
      <c r="U21"/>
      <c r="V21" s="65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8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/>
      <c r="B22" s="579"/>
      <c r="C22" s="758"/>
      <c r="D22" s="759"/>
      <c r="E22" s="760"/>
      <c r="F22" s="760"/>
      <c r="G22" s="758"/>
      <c r="H22" s="760"/>
      <c r="I22" s="760"/>
      <c r="J22" s="760"/>
      <c r="K22" s="434"/>
      <c r="L22" s="434"/>
      <c r="M22" s="434"/>
      <c r="N22" s="434"/>
      <c r="O22" s="434"/>
      <c r="P22" s="761"/>
      <c r="Q22" s="763">
        <f t="shared" si="0"/>
        <v>0</v>
      </c>
      <c r="R22" s="577"/>
      <c r="S22" s="577"/>
      <c r="T22" s="567"/>
      <c r="U22"/>
      <c r="V22" s="65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8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579"/>
      <c r="C23" s="758"/>
      <c r="D23" s="759"/>
      <c r="E23" s="760"/>
      <c r="F23" s="760"/>
      <c r="G23" s="758"/>
      <c r="H23" s="760"/>
      <c r="I23" s="760"/>
      <c r="J23" s="760"/>
      <c r="K23" s="434"/>
      <c r="L23" s="434"/>
      <c r="M23" s="434"/>
      <c r="N23" s="434"/>
      <c r="O23" s="434"/>
      <c r="P23" s="761"/>
      <c r="Q23" s="763">
        <f t="shared" si="0"/>
        <v>0</v>
      </c>
      <c r="R23" s="577"/>
      <c r="S23" s="577"/>
      <c r="T23" s="567"/>
      <c r="U23"/>
      <c r="V23" s="65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8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579"/>
      <c r="C24" s="758"/>
      <c r="D24" s="759"/>
      <c r="E24" s="760"/>
      <c r="F24" s="760"/>
      <c r="G24" s="758"/>
      <c r="H24" s="760"/>
      <c r="I24" s="760"/>
      <c r="J24" s="760"/>
      <c r="K24" s="434"/>
      <c r="L24" s="434"/>
      <c r="M24" s="434"/>
      <c r="N24" s="434"/>
      <c r="O24" s="434"/>
      <c r="P24" s="761"/>
      <c r="Q24" s="763">
        <f t="shared" si="0"/>
        <v>0</v>
      </c>
      <c r="R24" s="577"/>
      <c r="S24" s="577"/>
      <c r="T24" s="567"/>
      <c r="U24"/>
      <c r="V24" s="65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8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579"/>
      <c r="C25" s="758"/>
      <c r="D25" s="759"/>
      <c r="E25" s="760"/>
      <c r="F25" s="760"/>
      <c r="G25" s="758"/>
      <c r="H25" s="760"/>
      <c r="I25" s="760"/>
      <c r="J25" s="760"/>
      <c r="K25" s="434"/>
      <c r="L25" s="434"/>
      <c r="M25" s="434"/>
      <c r="N25" s="434"/>
      <c r="O25" s="434"/>
      <c r="P25" s="761"/>
      <c r="Q25" s="763">
        <f t="shared" si="0"/>
        <v>0</v>
      </c>
      <c r="R25" s="577"/>
      <c r="S25" s="577"/>
      <c r="T25" s="567"/>
      <c r="U25"/>
      <c r="V25" s="65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8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579"/>
      <c r="C26" s="758"/>
      <c r="D26" s="759"/>
      <c r="E26" s="760"/>
      <c r="F26" s="760"/>
      <c r="G26" s="758"/>
      <c r="H26" s="760"/>
      <c r="I26" s="760"/>
      <c r="J26" s="760"/>
      <c r="K26" s="434"/>
      <c r="L26" s="434"/>
      <c r="M26" s="434"/>
      <c r="N26" s="434"/>
      <c r="O26" s="434"/>
      <c r="P26" s="761"/>
      <c r="Q26" s="763">
        <f t="shared" si="0"/>
        <v>0</v>
      </c>
      <c r="R26" s="577"/>
      <c r="S26" s="577"/>
      <c r="T26" s="567"/>
      <c r="U26"/>
      <c r="V26" s="65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8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/>
      <c r="B27" s="579"/>
      <c r="C27" s="758"/>
      <c r="D27" s="759"/>
      <c r="E27" s="760"/>
      <c r="F27" s="760"/>
      <c r="G27" s="758"/>
      <c r="H27" s="760"/>
      <c r="I27" s="760"/>
      <c r="J27" s="760"/>
      <c r="K27" s="434"/>
      <c r="L27" s="434"/>
      <c r="M27" s="434"/>
      <c r="N27" s="434"/>
      <c r="O27" s="434"/>
      <c r="P27" s="761"/>
      <c r="Q27" s="763">
        <f t="shared" si="0"/>
        <v>0</v>
      </c>
      <c r="R27" s="577"/>
      <c r="S27" s="577"/>
      <c r="T27" s="567"/>
      <c r="U27"/>
      <c r="V27" s="65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8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579"/>
      <c r="C28" s="758"/>
      <c r="D28" s="759"/>
      <c r="E28" s="760"/>
      <c r="F28" s="760"/>
      <c r="G28" s="758"/>
      <c r="H28" s="760"/>
      <c r="I28" s="760"/>
      <c r="J28" s="760"/>
      <c r="K28" s="434"/>
      <c r="L28" s="434"/>
      <c r="M28" s="434"/>
      <c r="N28" s="434"/>
      <c r="O28" s="434"/>
      <c r="P28" s="761"/>
      <c r="Q28" s="763">
        <f t="shared" si="0"/>
        <v>0</v>
      </c>
      <c r="R28" s="577"/>
      <c r="S28" s="577"/>
      <c r="T28" s="567"/>
      <c r="U28"/>
      <c r="V28" s="65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579"/>
      <c r="C29" s="758"/>
      <c r="D29" s="759"/>
      <c r="E29" s="760"/>
      <c r="F29" s="760"/>
      <c r="G29" s="758"/>
      <c r="H29" s="760"/>
      <c r="I29" s="760"/>
      <c r="J29" s="760"/>
      <c r="K29" s="434"/>
      <c r="L29" s="434"/>
      <c r="M29" s="434"/>
      <c r="N29" s="434"/>
      <c r="O29" s="434"/>
      <c r="P29" s="761"/>
      <c r="Q29" s="763">
        <f t="shared" si="0"/>
        <v>0</v>
      </c>
      <c r="R29" s="577"/>
      <c r="S29" s="577"/>
      <c r="T29" s="567"/>
      <c r="U29"/>
      <c r="V29" s="65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/>
      <c r="B30" s="579"/>
      <c r="C30" s="758"/>
      <c r="D30" s="759"/>
      <c r="E30" s="760"/>
      <c r="F30" s="760"/>
      <c r="G30" s="758"/>
      <c r="H30" s="760"/>
      <c r="I30" s="760"/>
      <c r="J30" s="760"/>
      <c r="K30" s="434"/>
      <c r="L30" s="434"/>
      <c r="M30" s="434"/>
      <c r="N30" s="434"/>
      <c r="O30" s="434"/>
      <c r="P30" s="761"/>
      <c r="Q30" s="763">
        <f t="shared" si="0"/>
        <v>0</v>
      </c>
      <c r="R30" s="577"/>
      <c r="S30" s="577"/>
      <c r="T30" s="567"/>
      <c r="U30"/>
      <c r="V30" s="65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/>
      <c r="B31" s="579"/>
      <c r="C31" s="758"/>
      <c r="D31" s="759"/>
      <c r="E31" s="760"/>
      <c r="F31" s="760"/>
      <c r="G31" s="758"/>
      <c r="H31" s="760"/>
      <c r="I31" s="760"/>
      <c r="J31" s="760"/>
      <c r="K31" s="434"/>
      <c r="L31" s="434"/>
      <c r="M31" s="434"/>
      <c r="N31" s="434"/>
      <c r="O31" s="434"/>
      <c r="P31" s="761"/>
      <c r="Q31" s="763">
        <f t="shared" si="0"/>
        <v>0</v>
      </c>
      <c r="R31" s="577"/>
      <c r="S31" s="577"/>
      <c r="T31" s="567"/>
      <c r="U31"/>
      <c r="V31" s="65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579"/>
      <c r="C32" s="758"/>
      <c r="D32" s="759"/>
      <c r="E32" s="760"/>
      <c r="F32" s="760"/>
      <c r="G32" s="758"/>
      <c r="H32" s="760"/>
      <c r="I32" s="760"/>
      <c r="J32" s="760"/>
      <c r="K32" s="434"/>
      <c r="L32" s="434"/>
      <c r="M32" s="434"/>
      <c r="N32" s="434"/>
      <c r="O32" s="434"/>
      <c r="P32" s="761"/>
      <c r="Q32" s="763">
        <f t="shared" si="0"/>
        <v>0</v>
      </c>
      <c r="R32" s="577"/>
      <c r="S32" s="577"/>
      <c r="T32" s="567"/>
      <c r="U32"/>
      <c r="V32" s="65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579"/>
      <c r="C33" s="758"/>
      <c r="D33" s="759"/>
      <c r="E33" s="760"/>
      <c r="F33" s="760"/>
      <c r="G33" s="758"/>
      <c r="H33" s="760"/>
      <c r="I33" s="760"/>
      <c r="J33" s="760"/>
      <c r="K33" s="434"/>
      <c r="L33" s="434"/>
      <c r="M33" s="434"/>
      <c r="N33" s="434"/>
      <c r="O33" s="434"/>
      <c r="P33" s="761"/>
      <c r="Q33" s="763">
        <f t="shared" si="0"/>
        <v>0</v>
      </c>
      <c r="R33" s="577"/>
      <c r="S33" s="577"/>
      <c r="T33" s="567"/>
      <c r="U33"/>
      <c r="V33" s="65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579"/>
      <c r="C34" s="758"/>
      <c r="D34" s="759"/>
      <c r="E34" s="760"/>
      <c r="F34" s="760"/>
      <c r="G34" s="758"/>
      <c r="H34" s="760"/>
      <c r="I34" s="760"/>
      <c r="J34" s="760"/>
      <c r="K34" s="434"/>
      <c r="L34" s="434"/>
      <c r="M34" s="434"/>
      <c r="N34" s="434"/>
      <c r="O34" s="434"/>
      <c r="P34" s="761"/>
      <c r="Q34" s="763">
        <f t="shared" si="0"/>
        <v>0</v>
      </c>
      <c r="R34" s="577"/>
      <c r="S34" s="577"/>
      <c r="T34" s="567"/>
      <c r="U34"/>
      <c r="V34" s="65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579"/>
      <c r="C35" s="758"/>
      <c r="D35" s="759"/>
      <c r="E35" s="760"/>
      <c r="F35" s="760"/>
      <c r="G35" s="758"/>
      <c r="H35" s="760"/>
      <c r="I35" s="760"/>
      <c r="J35" s="760"/>
      <c r="K35" s="434"/>
      <c r="L35" s="434"/>
      <c r="M35" s="434"/>
      <c r="N35" s="434"/>
      <c r="O35" s="434"/>
      <c r="P35" s="761"/>
      <c r="Q35" s="763">
        <f t="shared" si="0"/>
        <v>0</v>
      </c>
      <c r="R35" s="577"/>
      <c r="S35" s="577"/>
      <c r="T35" s="567"/>
      <c r="U35"/>
      <c r="V35" s="65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/>
      <c r="B36" s="579"/>
      <c r="C36" s="758"/>
      <c r="D36" s="759"/>
      <c r="E36" s="760"/>
      <c r="F36" s="760"/>
      <c r="G36" s="758"/>
      <c r="H36" s="760"/>
      <c r="I36" s="760"/>
      <c r="J36" s="760"/>
      <c r="K36" s="434"/>
      <c r="L36" s="434"/>
      <c r="M36" s="434"/>
      <c r="N36" s="434"/>
      <c r="O36" s="434"/>
      <c r="P36" s="761"/>
      <c r="Q36" s="763">
        <f t="shared" si="0"/>
        <v>0</v>
      </c>
      <c r="R36" s="577"/>
      <c r="S36" s="577"/>
      <c r="T36" s="567"/>
      <c r="U36"/>
      <c r="V36" s="65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579"/>
      <c r="C37" s="758"/>
      <c r="D37" s="759"/>
      <c r="E37" s="760"/>
      <c r="F37" s="760"/>
      <c r="G37" s="758"/>
      <c r="H37" s="760"/>
      <c r="I37" s="760"/>
      <c r="J37" s="760"/>
      <c r="K37" s="434"/>
      <c r="L37" s="434"/>
      <c r="M37" s="434"/>
      <c r="N37" s="434"/>
      <c r="O37" s="434"/>
      <c r="P37" s="761"/>
      <c r="Q37" s="763">
        <f t="shared" si="0"/>
        <v>0</v>
      </c>
      <c r="R37" s="577"/>
      <c r="S37" s="577"/>
      <c r="T37" s="567"/>
      <c r="U37"/>
      <c r="V37" s="65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8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/>
      <c r="B38" s="579"/>
      <c r="C38" s="758"/>
      <c r="D38" s="759"/>
      <c r="E38" s="760"/>
      <c r="F38" s="760"/>
      <c r="G38" s="758"/>
      <c r="H38" s="760"/>
      <c r="I38" s="760"/>
      <c r="J38" s="760"/>
      <c r="K38" s="434"/>
      <c r="L38" s="434"/>
      <c r="M38" s="434"/>
      <c r="N38" s="434"/>
      <c r="O38" s="434"/>
      <c r="P38" s="761"/>
      <c r="Q38" s="763">
        <f t="shared" si="0"/>
        <v>0</v>
      </c>
      <c r="R38" s="577"/>
      <c r="S38" s="577"/>
      <c r="T38" s="567"/>
      <c r="U38"/>
      <c r="V38" s="65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579"/>
      <c r="C39" s="758"/>
      <c r="D39" s="759"/>
      <c r="E39" s="760"/>
      <c r="F39" s="760"/>
      <c r="G39" s="758"/>
      <c r="H39" s="760"/>
      <c r="I39" s="760"/>
      <c r="J39" s="760"/>
      <c r="K39" s="434"/>
      <c r="L39" s="434"/>
      <c r="M39" s="434"/>
      <c r="N39" s="434"/>
      <c r="O39" s="434"/>
      <c r="P39" s="761"/>
      <c r="Q39" s="763">
        <f t="shared" si="0"/>
        <v>0</v>
      </c>
      <c r="R39" s="577"/>
      <c r="S39" s="577"/>
      <c r="T39" s="567"/>
      <c r="U39"/>
      <c r="V39" s="65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8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/>
      <c r="B40" s="579"/>
      <c r="C40" s="758"/>
      <c r="D40" s="764"/>
      <c r="E40" s="765"/>
      <c r="F40" s="765"/>
      <c r="G40" s="346"/>
      <c r="H40" s="765"/>
      <c r="I40" s="765"/>
      <c r="J40" s="765"/>
      <c r="K40" s="401"/>
      <c r="L40" s="401"/>
      <c r="M40" s="401"/>
      <c r="N40" s="401"/>
      <c r="O40" s="401"/>
      <c r="P40" s="766"/>
      <c r="Q40" s="767">
        <f t="shared" si="0"/>
        <v>0</v>
      </c>
      <c r="R40" s="577"/>
      <c r="S40" s="577"/>
      <c r="T40" s="567"/>
      <c r="U40"/>
      <c r="V40" s="65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8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579"/>
      <c r="C41" s="356"/>
      <c r="D41" s="768"/>
      <c r="E41" s="769"/>
      <c r="F41" s="769"/>
      <c r="G41" s="356"/>
      <c r="H41" s="769"/>
      <c r="I41" s="769"/>
      <c r="J41" s="769"/>
      <c r="K41" s="405"/>
      <c r="L41" s="405"/>
      <c r="M41" s="405"/>
      <c r="N41" s="405"/>
      <c r="O41" s="405"/>
      <c r="P41" s="770"/>
      <c r="Q41" s="771">
        <f t="shared" si="0"/>
        <v>0</v>
      </c>
      <c r="R41" s="577"/>
      <c r="S41" s="577"/>
      <c r="T41" s="567"/>
      <c r="U41"/>
      <c r="V41" s="65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8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579"/>
      <c r="C42" s="4"/>
      <c r="D42" s="4"/>
      <c r="E42" s="609"/>
      <c r="F42" s="609"/>
      <c r="G42" s="609"/>
      <c r="H42" s="1022" t="s">
        <v>732</v>
      </c>
      <c r="I42" s="1022"/>
      <c r="J42" s="1022"/>
      <c r="K42" s="772">
        <f t="shared" ref="K42:Q42" si="1">SUM(K17:K41)</f>
        <v>0</v>
      </c>
      <c r="L42" s="773">
        <f t="shared" si="1"/>
        <v>0</v>
      </c>
      <c r="M42" s="774">
        <f t="shared" si="1"/>
        <v>0</v>
      </c>
      <c r="N42" s="774">
        <f t="shared" si="1"/>
        <v>0</v>
      </c>
      <c r="O42" s="772">
        <f t="shared" si="1"/>
        <v>0</v>
      </c>
      <c r="P42" s="772">
        <f t="shared" si="1"/>
        <v>0</v>
      </c>
      <c r="Q42" s="775">
        <f t="shared" si="1"/>
        <v>0</v>
      </c>
      <c r="R42" s="577"/>
      <c r="S42" s="577"/>
      <c r="T42" s="567"/>
      <c r="U42"/>
      <c r="V42" s="65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8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 s="579"/>
      <c r="C43" s="4"/>
      <c r="D43" s="4"/>
      <c r="E43" s="609"/>
      <c r="F43" s="609"/>
      <c r="G43" s="609"/>
      <c r="H43" s="607"/>
      <c r="I43" s="607"/>
      <c r="J43" s="607"/>
      <c r="K43" s="609"/>
      <c r="L43" s="609"/>
      <c r="M43" s="609"/>
      <c r="N43" s="609"/>
      <c r="O43" s="609"/>
      <c r="P43" s="609"/>
      <c r="Q43" s="609"/>
      <c r="R43" s="609"/>
      <c r="S43" s="577"/>
      <c r="T43" s="567"/>
      <c r="U43"/>
      <c r="V43" s="65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8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/>
      <c r="B44" s="579"/>
      <c r="C44" s="4"/>
      <c r="D44" s="4"/>
      <c r="E44" s="609"/>
      <c r="F44" s="609"/>
      <c r="G44" s="609"/>
      <c r="H44" s="607"/>
      <c r="I44" s="607"/>
      <c r="J44" s="607"/>
      <c r="K44" s="609"/>
      <c r="L44" s="609"/>
      <c r="M44" s="609"/>
      <c r="N44" s="609"/>
      <c r="O44" s="609"/>
      <c r="P44" s="609"/>
      <c r="Q44" s="609"/>
      <c r="R44" s="609"/>
      <c r="S44" s="609"/>
      <c r="T44" s="567"/>
      <c r="U44"/>
      <c r="V44" s="65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8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/>
      <c r="B45" s="579"/>
      <c r="C45" s="233" t="s">
        <v>733</v>
      </c>
      <c r="D45" s="660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67"/>
      <c r="U45"/>
      <c r="V45" s="65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8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579"/>
      <c r="C46" s="660"/>
      <c r="D46" s="660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67"/>
      <c r="U46"/>
      <c r="V46" s="65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8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39" customHeight="1" x14ac:dyDescent="0.2">
      <c r="A47"/>
      <c r="B47" s="579"/>
      <c r="C47" s="617" t="s">
        <v>710</v>
      </c>
      <c r="D47" s="753" t="s">
        <v>711</v>
      </c>
      <c r="E47" s="617" t="s">
        <v>712</v>
      </c>
      <c r="F47" s="617" t="s">
        <v>712</v>
      </c>
      <c r="G47" s="617" t="s">
        <v>713</v>
      </c>
      <c r="H47" s="617" t="s">
        <v>714</v>
      </c>
      <c r="I47" s="617" t="s">
        <v>715</v>
      </c>
      <c r="J47" s="617" t="s">
        <v>716</v>
      </c>
      <c r="K47" s="617" t="s">
        <v>717</v>
      </c>
      <c r="L47" s="617" t="s">
        <v>718</v>
      </c>
      <c r="M47" s="754" t="s">
        <v>719</v>
      </c>
      <c r="N47" s="617" t="s">
        <v>720</v>
      </c>
      <c r="O47" s="617" t="s">
        <v>721</v>
      </c>
      <c r="P47" s="755" t="s">
        <v>722</v>
      </c>
      <c r="Q47" s="617" t="s">
        <v>718</v>
      </c>
      <c r="R47" s="1014" t="s">
        <v>734</v>
      </c>
      <c r="S47" s="1014"/>
      <c r="T47" s="567"/>
      <c r="U47"/>
      <c r="V47" s="65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8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">
      <c r="A48"/>
      <c r="B48" s="579"/>
      <c r="C48" s="705" t="s">
        <v>723</v>
      </c>
      <c r="D48" s="757" t="s">
        <v>723</v>
      </c>
      <c r="E48" s="705" t="s">
        <v>724</v>
      </c>
      <c r="F48" s="705" t="s">
        <v>725</v>
      </c>
      <c r="G48" s="705" t="s">
        <v>726</v>
      </c>
      <c r="H48" s="705" t="s">
        <v>727</v>
      </c>
      <c r="I48" s="705" t="s">
        <v>728</v>
      </c>
      <c r="J48" s="705" t="s">
        <v>729</v>
      </c>
      <c r="K48" s="705" t="s">
        <v>730</v>
      </c>
      <c r="L48" s="705">
        <f>ejercicio-1</f>
        <v>2017</v>
      </c>
      <c r="M48" s="705">
        <f>ejercicio</f>
        <v>2018</v>
      </c>
      <c r="N48" s="705">
        <f>ejercicio</f>
        <v>2018</v>
      </c>
      <c r="O48" s="705">
        <f>ejercicio</f>
        <v>2018</v>
      </c>
      <c r="P48" s="705">
        <f>ejercicio</f>
        <v>2018</v>
      </c>
      <c r="Q48" s="705">
        <f>ejercicio</f>
        <v>2018</v>
      </c>
      <c r="R48" s="776" t="s">
        <v>735</v>
      </c>
      <c r="S48" s="777" t="s">
        <v>736</v>
      </c>
      <c r="T48" s="567"/>
      <c r="U48"/>
      <c r="V48" s="65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">
      <c r="A49"/>
      <c r="B49" s="579"/>
      <c r="C49" s="758"/>
      <c r="D49" s="759"/>
      <c r="E49" s="760"/>
      <c r="F49" s="760"/>
      <c r="G49" s="758"/>
      <c r="H49" s="760"/>
      <c r="I49" s="760"/>
      <c r="J49" s="778"/>
      <c r="K49" s="434"/>
      <c r="L49" s="434"/>
      <c r="M49" s="411"/>
      <c r="N49" s="411"/>
      <c r="O49" s="411"/>
      <c r="P49" s="761"/>
      <c r="Q49" s="762">
        <f t="shared" ref="Q49:Q73" si="2">L49+M49-N49</f>
        <v>0</v>
      </c>
      <c r="R49" s="779"/>
      <c r="S49" s="780"/>
      <c r="T49" s="567"/>
      <c r="U49"/>
      <c r="V49" s="65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8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2.9" customHeight="1" x14ac:dyDescent="0.2">
      <c r="A50"/>
      <c r="B50" s="579"/>
      <c r="C50" s="758"/>
      <c r="D50" s="759"/>
      <c r="E50" s="760"/>
      <c r="F50" s="760"/>
      <c r="G50" s="758"/>
      <c r="H50" s="760"/>
      <c r="I50" s="760"/>
      <c r="J50" s="760"/>
      <c r="K50" s="434"/>
      <c r="L50" s="434"/>
      <c r="M50" s="434"/>
      <c r="N50" s="434"/>
      <c r="O50" s="434"/>
      <c r="P50" s="761"/>
      <c r="Q50" s="763">
        <f t="shared" si="2"/>
        <v>0</v>
      </c>
      <c r="R50" s="781"/>
      <c r="S50" s="782"/>
      <c r="T50" s="567"/>
      <c r="U50"/>
      <c r="V50" s="65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8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2.9" customHeight="1" x14ac:dyDescent="0.2">
      <c r="A51"/>
      <c r="B51" s="579"/>
      <c r="C51" s="758"/>
      <c r="D51" s="759"/>
      <c r="E51" s="760" t="s">
        <v>731</v>
      </c>
      <c r="F51" s="760"/>
      <c r="G51" s="758"/>
      <c r="H51" s="760"/>
      <c r="I51" s="760"/>
      <c r="J51" s="760"/>
      <c r="K51" s="434"/>
      <c r="L51" s="434"/>
      <c r="M51" s="434"/>
      <c r="N51" s="434"/>
      <c r="O51" s="434"/>
      <c r="P51" s="761"/>
      <c r="Q51" s="763">
        <f t="shared" si="2"/>
        <v>0</v>
      </c>
      <c r="R51" s="781"/>
      <c r="S51" s="782"/>
      <c r="T51" s="567"/>
      <c r="U51"/>
      <c r="V51" s="65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8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2.9" customHeight="1" x14ac:dyDescent="0.2">
      <c r="A52"/>
      <c r="B52" s="579"/>
      <c r="C52" s="758"/>
      <c r="D52" s="759"/>
      <c r="E52" s="760"/>
      <c r="F52" s="760"/>
      <c r="G52" s="758"/>
      <c r="H52" s="760"/>
      <c r="I52" s="760"/>
      <c r="J52" s="760"/>
      <c r="K52" s="434"/>
      <c r="L52" s="434"/>
      <c r="M52" s="434"/>
      <c r="N52" s="434"/>
      <c r="O52" s="434"/>
      <c r="P52" s="761"/>
      <c r="Q52" s="763">
        <f t="shared" si="2"/>
        <v>0</v>
      </c>
      <c r="R52" s="781"/>
      <c r="S52" s="782"/>
      <c r="T52" s="567"/>
      <c r="U52"/>
      <c r="V52" s="65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8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2.9" customHeight="1" x14ac:dyDescent="0.2">
      <c r="A53"/>
      <c r="B53" s="579"/>
      <c r="C53" s="758"/>
      <c r="D53" s="759"/>
      <c r="E53" s="760"/>
      <c r="F53" s="760"/>
      <c r="G53" s="758"/>
      <c r="H53" s="760"/>
      <c r="I53" s="760"/>
      <c r="J53" s="760"/>
      <c r="K53" s="434"/>
      <c r="L53" s="434"/>
      <c r="M53" s="434"/>
      <c r="N53" s="434"/>
      <c r="O53" s="434"/>
      <c r="P53" s="761"/>
      <c r="Q53" s="763">
        <f t="shared" si="2"/>
        <v>0</v>
      </c>
      <c r="R53" s="781"/>
      <c r="S53" s="782"/>
      <c r="T53" s="567"/>
      <c r="U53"/>
      <c r="V53" s="65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8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2.9" customHeight="1" x14ac:dyDescent="0.2">
      <c r="A54"/>
      <c r="B54" s="579"/>
      <c r="C54" s="758"/>
      <c r="D54" s="759"/>
      <c r="E54" s="760"/>
      <c r="F54" s="760"/>
      <c r="G54" s="758"/>
      <c r="H54" s="760"/>
      <c r="I54" s="760"/>
      <c r="J54" s="760"/>
      <c r="K54" s="434"/>
      <c r="L54" s="434"/>
      <c r="M54" s="434"/>
      <c r="N54" s="434"/>
      <c r="O54" s="434"/>
      <c r="P54" s="761"/>
      <c r="Q54" s="763">
        <f t="shared" si="2"/>
        <v>0</v>
      </c>
      <c r="R54" s="781"/>
      <c r="S54" s="782"/>
      <c r="T54" s="567"/>
      <c r="U54"/>
      <c r="V54" s="65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8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2.9" customHeight="1" x14ac:dyDescent="0.2">
      <c r="A55"/>
      <c r="B55" s="579"/>
      <c r="C55" s="758"/>
      <c r="D55" s="759"/>
      <c r="E55" s="760"/>
      <c r="F55" s="760"/>
      <c r="G55" s="758"/>
      <c r="H55" s="760"/>
      <c r="I55" s="760"/>
      <c r="J55" s="760"/>
      <c r="K55" s="434"/>
      <c r="L55" s="434"/>
      <c r="M55" s="434"/>
      <c r="N55" s="434"/>
      <c r="O55" s="434"/>
      <c r="P55" s="761"/>
      <c r="Q55" s="763">
        <f t="shared" si="2"/>
        <v>0</v>
      </c>
      <c r="R55" s="781"/>
      <c r="S55" s="782"/>
      <c r="T55" s="567"/>
      <c r="U55"/>
      <c r="V55" s="65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8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2.9" customHeight="1" x14ac:dyDescent="0.2">
      <c r="A56"/>
      <c r="B56" s="579"/>
      <c r="C56" s="758"/>
      <c r="D56" s="759"/>
      <c r="E56" s="760"/>
      <c r="F56" s="760"/>
      <c r="G56" s="758"/>
      <c r="H56" s="760"/>
      <c r="I56" s="760"/>
      <c r="J56" s="760"/>
      <c r="K56" s="434"/>
      <c r="L56" s="434"/>
      <c r="M56" s="434"/>
      <c r="N56" s="434"/>
      <c r="O56" s="434"/>
      <c r="P56" s="761"/>
      <c r="Q56" s="763">
        <f t="shared" si="2"/>
        <v>0</v>
      </c>
      <c r="R56" s="781"/>
      <c r="S56" s="782"/>
      <c r="T56" s="567"/>
      <c r="U56"/>
      <c r="V56" s="65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8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2.9" customHeight="1" x14ac:dyDescent="0.2">
      <c r="A57"/>
      <c r="B57" s="579"/>
      <c r="C57" s="758"/>
      <c r="D57" s="759"/>
      <c r="E57" s="760"/>
      <c r="F57" s="760"/>
      <c r="G57" s="758"/>
      <c r="H57" s="760"/>
      <c r="I57" s="760"/>
      <c r="J57" s="760"/>
      <c r="K57" s="434"/>
      <c r="L57" s="434"/>
      <c r="M57" s="434"/>
      <c r="N57" s="434"/>
      <c r="O57" s="434"/>
      <c r="P57" s="761"/>
      <c r="Q57" s="763">
        <f t="shared" si="2"/>
        <v>0</v>
      </c>
      <c r="R57" s="781"/>
      <c r="S57" s="782"/>
      <c r="T57" s="567"/>
      <c r="U57"/>
      <c r="V57" s="65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8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2.9" customHeight="1" x14ac:dyDescent="0.2">
      <c r="A58"/>
      <c r="B58" s="579"/>
      <c r="C58" s="758"/>
      <c r="D58" s="759"/>
      <c r="E58" s="760"/>
      <c r="F58" s="760"/>
      <c r="G58" s="758"/>
      <c r="H58" s="760"/>
      <c r="I58" s="760"/>
      <c r="J58" s="760"/>
      <c r="K58" s="434"/>
      <c r="L58" s="434"/>
      <c r="M58" s="434"/>
      <c r="N58" s="434"/>
      <c r="O58" s="434"/>
      <c r="P58" s="761"/>
      <c r="Q58" s="763">
        <f t="shared" si="2"/>
        <v>0</v>
      </c>
      <c r="R58" s="781"/>
      <c r="S58" s="782"/>
      <c r="T58" s="567"/>
      <c r="U58"/>
      <c r="V58" s="65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2.9" customHeight="1" x14ac:dyDescent="0.2">
      <c r="A59"/>
      <c r="B59" s="579"/>
      <c r="C59" s="758"/>
      <c r="D59" s="759"/>
      <c r="E59" s="760"/>
      <c r="F59" s="760"/>
      <c r="G59" s="758"/>
      <c r="H59" s="760"/>
      <c r="I59" s="760"/>
      <c r="J59" s="760"/>
      <c r="K59" s="434"/>
      <c r="L59" s="434"/>
      <c r="M59" s="434"/>
      <c r="N59" s="434"/>
      <c r="O59" s="434"/>
      <c r="P59" s="761"/>
      <c r="Q59" s="763">
        <f t="shared" si="2"/>
        <v>0</v>
      </c>
      <c r="R59" s="781"/>
      <c r="S59" s="782"/>
      <c r="T59" s="567"/>
      <c r="U59"/>
      <c r="V59" s="65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8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2.9" customHeight="1" x14ac:dyDescent="0.2">
      <c r="A60"/>
      <c r="B60" s="579"/>
      <c r="C60" s="758"/>
      <c r="D60" s="759"/>
      <c r="E60" s="760"/>
      <c r="F60" s="760"/>
      <c r="G60" s="758"/>
      <c r="H60" s="760"/>
      <c r="I60" s="760"/>
      <c r="J60" s="760"/>
      <c r="K60" s="434"/>
      <c r="L60" s="434"/>
      <c r="M60" s="434"/>
      <c r="N60" s="434"/>
      <c r="O60" s="434"/>
      <c r="P60" s="761"/>
      <c r="Q60" s="763">
        <f t="shared" si="2"/>
        <v>0</v>
      </c>
      <c r="R60" s="781"/>
      <c r="S60" s="782"/>
      <c r="T60" s="567"/>
      <c r="U60"/>
      <c r="V60" s="65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2.9" customHeight="1" x14ac:dyDescent="0.2">
      <c r="A61"/>
      <c r="B61" s="579"/>
      <c r="C61" s="758"/>
      <c r="D61" s="759"/>
      <c r="E61" s="760"/>
      <c r="F61" s="760"/>
      <c r="G61" s="758"/>
      <c r="H61" s="760"/>
      <c r="I61" s="760"/>
      <c r="J61" s="760"/>
      <c r="K61" s="434"/>
      <c r="L61" s="434"/>
      <c r="M61" s="434"/>
      <c r="N61" s="434"/>
      <c r="O61" s="434"/>
      <c r="P61" s="761"/>
      <c r="Q61" s="763">
        <f t="shared" si="2"/>
        <v>0</v>
      </c>
      <c r="R61" s="781"/>
      <c r="S61" s="782"/>
      <c r="T61" s="567"/>
      <c r="U61"/>
      <c r="V61" s="65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8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2.9" customHeight="1" x14ac:dyDescent="0.2">
      <c r="A62"/>
      <c r="B62" s="579"/>
      <c r="C62" s="758"/>
      <c r="D62" s="759"/>
      <c r="E62" s="760"/>
      <c r="F62" s="760"/>
      <c r="G62" s="758"/>
      <c r="H62" s="760"/>
      <c r="I62" s="760"/>
      <c r="J62" s="760"/>
      <c r="K62" s="434"/>
      <c r="L62" s="434"/>
      <c r="M62" s="434"/>
      <c r="N62" s="434"/>
      <c r="O62" s="434"/>
      <c r="P62" s="761"/>
      <c r="Q62" s="763">
        <f t="shared" si="2"/>
        <v>0</v>
      </c>
      <c r="R62" s="781"/>
      <c r="S62" s="782"/>
      <c r="T62" s="567"/>
      <c r="U62"/>
      <c r="V62" s="65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8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2.9" customHeight="1" x14ac:dyDescent="0.2">
      <c r="A63"/>
      <c r="B63" s="579"/>
      <c r="C63" s="758"/>
      <c r="D63" s="759"/>
      <c r="E63" s="760"/>
      <c r="F63" s="760"/>
      <c r="G63" s="758"/>
      <c r="H63" s="760"/>
      <c r="I63" s="760"/>
      <c r="J63" s="760"/>
      <c r="K63" s="434"/>
      <c r="L63" s="434"/>
      <c r="M63" s="434"/>
      <c r="N63" s="434"/>
      <c r="O63" s="434"/>
      <c r="P63" s="761"/>
      <c r="Q63" s="763">
        <f t="shared" si="2"/>
        <v>0</v>
      </c>
      <c r="R63" s="781"/>
      <c r="S63" s="782"/>
      <c r="T63" s="567"/>
      <c r="U63"/>
      <c r="V63" s="65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8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2.9" customHeight="1" x14ac:dyDescent="0.2">
      <c r="A64"/>
      <c r="B64" s="579"/>
      <c r="C64" s="758"/>
      <c r="D64" s="759"/>
      <c r="E64" s="760"/>
      <c r="F64" s="760"/>
      <c r="G64" s="758"/>
      <c r="H64" s="760"/>
      <c r="I64" s="760"/>
      <c r="J64" s="760"/>
      <c r="K64" s="434"/>
      <c r="L64" s="434"/>
      <c r="M64" s="434"/>
      <c r="N64" s="434"/>
      <c r="O64" s="434"/>
      <c r="P64" s="761"/>
      <c r="Q64" s="763">
        <f t="shared" si="2"/>
        <v>0</v>
      </c>
      <c r="R64" s="781"/>
      <c r="S64" s="782"/>
      <c r="T64" s="567"/>
      <c r="U64"/>
      <c r="V64" s="65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8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2.9" customHeight="1" x14ac:dyDescent="0.2">
      <c r="A65"/>
      <c r="B65" s="579"/>
      <c r="C65" s="758"/>
      <c r="D65" s="759"/>
      <c r="E65" s="760"/>
      <c r="F65" s="760"/>
      <c r="G65" s="758"/>
      <c r="H65" s="760"/>
      <c r="I65" s="760"/>
      <c r="J65" s="760"/>
      <c r="K65" s="434"/>
      <c r="L65" s="434"/>
      <c r="M65" s="434"/>
      <c r="N65" s="434"/>
      <c r="O65" s="434"/>
      <c r="P65" s="761"/>
      <c r="Q65" s="763">
        <f t="shared" si="2"/>
        <v>0</v>
      </c>
      <c r="R65" s="781"/>
      <c r="S65" s="782"/>
      <c r="T65" s="567"/>
      <c r="U65"/>
      <c r="V65" s="65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8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2.9" customHeight="1" x14ac:dyDescent="0.2">
      <c r="A66"/>
      <c r="B66" s="579"/>
      <c r="C66" s="758"/>
      <c r="D66" s="759"/>
      <c r="E66" s="760"/>
      <c r="F66" s="760"/>
      <c r="G66" s="758"/>
      <c r="H66" s="760"/>
      <c r="I66" s="760"/>
      <c r="J66" s="760"/>
      <c r="K66" s="434"/>
      <c r="L66" s="434"/>
      <c r="M66" s="434"/>
      <c r="N66" s="434"/>
      <c r="O66" s="434"/>
      <c r="P66" s="761"/>
      <c r="Q66" s="763">
        <f t="shared" si="2"/>
        <v>0</v>
      </c>
      <c r="R66" s="781"/>
      <c r="S66" s="782"/>
      <c r="T66" s="567"/>
      <c r="U66"/>
      <c r="V66" s="65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8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2.9" customHeight="1" x14ac:dyDescent="0.2">
      <c r="A67"/>
      <c r="B67" s="579"/>
      <c r="C67" s="758"/>
      <c r="D67" s="759"/>
      <c r="E67" s="760"/>
      <c r="F67" s="760"/>
      <c r="G67" s="758"/>
      <c r="H67" s="760"/>
      <c r="I67" s="760"/>
      <c r="J67" s="760"/>
      <c r="K67" s="434"/>
      <c r="L67" s="434"/>
      <c r="M67" s="434"/>
      <c r="N67" s="434"/>
      <c r="O67" s="434"/>
      <c r="P67" s="761"/>
      <c r="Q67" s="763">
        <f t="shared" si="2"/>
        <v>0</v>
      </c>
      <c r="R67" s="781"/>
      <c r="S67" s="782"/>
      <c r="T67" s="567"/>
      <c r="U67"/>
      <c r="V67" s="65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8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2.9" customHeight="1" x14ac:dyDescent="0.2">
      <c r="A68"/>
      <c r="B68" s="579"/>
      <c r="C68" s="758"/>
      <c r="D68" s="759"/>
      <c r="E68" s="760"/>
      <c r="F68" s="760"/>
      <c r="G68" s="758"/>
      <c r="H68" s="760"/>
      <c r="I68" s="760"/>
      <c r="J68" s="760"/>
      <c r="K68" s="434"/>
      <c r="L68" s="434"/>
      <c r="M68" s="434"/>
      <c r="N68" s="434"/>
      <c r="O68" s="434"/>
      <c r="P68" s="761"/>
      <c r="Q68" s="763">
        <f t="shared" si="2"/>
        <v>0</v>
      </c>
      <c r="R68" s="781"/>
      <c r="S68" s="782"/>
      <c r="T68" s="567"/>
      <c r="U68"/>
      <c r="V68" s="65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2.9" customHeight="1" x14ac:dyDescent="0.2">
      <c r="A69"/>
      <c r="B69" s="579"/>
      <c r="C69" s="758"/>
      <c r="D69" s="759"/>
      <c r="E69" s="760"/>
      <c r="F69" s="760"/>
      <c r="G69" s="758"/>
      <c r="H69" s="760"/>
      <c r="I69" s="760"/>
      <c r="J69" s="760"/>
      <c r="K69" s="434"/>
      <c r="L69" s="434"/>
      <c r="M69" s="434"/>
      <c r="N69" s="434"/>
      <c r="O69" s="434"/>
      <c r="P69" s="761"/>
      <c r="Q69" s="763">
        <f t="shared" si="2"/>
        <v>0</v>
      </c>
      <c r="R69" s="781"/>
      <c r="S69" s="782"/>
      <c r="T69" s="567"/>
      <c r="U69"/>
      <c r="V69" s="65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8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2.9" customHeight="1" x14ac:dyDescent="0.2">
      <c r="A70"/>
      <c r="B70" s="579"/>
      <c r="C70" s="758"/>
      <c r="D70" s="759"/>
      <c r="E70" s="760"/>
      <c r="F70" s="760"/>
      <c r="G70" s="758"/>
      <c r="H70" s="760"/>
      <c r="I70" s="760"/>
      <c r="J70" s="760"/>
      <c r="K70" s="434"/>
      <c r="L70" s="434"/>
      <c r="M70" s="434"/>
      <c r="N70" s="434"/>
      <c r="O70" s="434"/>
      <c r="P70" s="761"/>
      <c r="Q70" s="763">
        <f t="shared" si="2"/>
        <v>0</v>
      </c>
      <c r="R70" s="781"/>
      <c r="S70" s="782"/>
      <c r="T70" s="567"/>
      <c r="U70"/>
      <c r="V70" s="65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8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2.9" customHeight="1" x14ac:dyDescent="0.2">
      <c r="A71"/>
      <c r="B71" s="579"/>
      <c r="C71" s="758"/>
      <c r="D71" s="759"/>
      <c r="E71" s="760"/>
      <c r="F71" s="760"/>
      <c r="G71" s="758"/>
      <c r="H71" s="760"/>
      <c r="I71" s="760"/>
      <c r="J71" s="760"/>
      <c r="K71" s="434"/>
      <c r="L71" s="434"/>
      <c r="M71" s="434"/>
      <c r="N71" s="434"/>
      <c r="O71" s="434"/>
      <c r="P71" s="761"/>
      <c r="Q71" s="763">
        <f t="shared" si="2"/>
        <v>0</v>
      </c>
      <c r="R71" s="781"/>
      <c r="S71" s="782"/>
      <c r="T71" s="567"/>
      <c r="U71"/>
      <c r="V71" s="65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8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2.9" customHeight="1" x14ac:dyDescent="0.2">
      <c r="A72"/>
      <c r="B72" s="579"/>
      <c r="C72" s="758"/>
      <c r="D72" s="764"/>
      <c r="E72" s="765"/>
      <c r="F72" s="765"/>
      <c r="G72" s="346"/>
      <c r="H72" s="765"/>
      <c r="I72" s="765"/>
      <c r="J72" s="765"/>
      <c r="K72" s="401"/>
      <c r="L72" s="401"/>
      <c r="M72" s="401"/>
      <c r="N72" s="401"/>
      <c r="O72" s="401"/>
      <c r="P72" s="766"/>
      <c r="Q72" s="767">
        <f t="shared" si="2"/>
        <v>0</v>
      </c>
      <c r="R72" s="781"/>
      <c r="S72" s="782"/>
      <c r="T72" s="567"/>
      <c r="U72"/>
      <c r="V72" s="65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8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2.9" customHeight="1" x14ac:dyDescent="0.2">
      <c r="A73"/>
      <c r="B73" s="579"/>
      <c r="C73" s="356"/>
      <c r="D73" s="768"/>
      <c r="E73" s="769"/>
      <c r="F73" s="769"/>
      <c r="G73" s="356"/>
      <c r="H73" s="769"/>
      <c r="I73" s="769"/>
      <c r="J73" s="769"/>
      <c r="K73" s="405"/>
      <c r="L73" s="405"/>
      <c r="M73" s="405"/>
      <c r="N73" s="405"/>
      <c r="O73" s="405"/>
      <c r="P73" s="770"/>
      <c r="Q73" s="771">
        <f t="shared" si="2"/>
        <v>0</v>
      </c>
      <c r="R73" s="783"/>
      <c r="S73" s="784"/>
      <c r="T73" s="567"/>
      <c r="U73"/>
      <c r="V73" s="65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8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2.9" customHeight="1" x14ac:dyDescent="0.2">
      <c r="A74"/>
      <c r="B74" s="579"/>
      <c r="C74" s="4"/>
      <c r="D74" s="4"/>
      <c r="E74" s="609"/>
      <c r="F74" s="609"/>
      <c r="G74" s="609"/>
      <c r="H74" s="1022" t="s">
        <v>732</v>
      </c>
      <c r="I74" s="1022"/>
      <c r="J74" s="1022"/>
      <c r="K74" s="772">
        <f t="shared" ref="K74:S74" si="3">SUM(K49:K73)</f>
        <v>0</v>
      </c>
      <c r="L74" s="773">
        <f t="shared" si="3"/>
        <v>0</v>
      </c>
      <c r="M74" s="774">
        <f t="shared" si="3"/>
        <v>0</v>
      </c>
      <c r="N74" s="774">
        <f t="shared" si="3"/>
        <v>0</v>
      </c>
      <c r="O74" s="772">
        <f t="shared" si="3"/>
        <v>0</v>
      </c>
      <c r="P74" s="772">
        <f t="shared" si="3"/>
        <v>0</v>
      </c>
      <c r="Q74" s="775">
        <f t="shared" si="3"/>
        <v>0</v>
      </c>
      <c r="R74" s="774">
        <f t="shared" si="3"/>
        <v>0</v>
      </c>
      <c r="S74" s="646">
        <f t="shared" si="3"/>
        <v>0</v>
      </c>
      <c r="T74" s="567"/>
      <c r="U74"/>
      <c r="V74" s="65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8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2.9" customHeight="1" x14ac:dyDescent="0.2">
      <c r="A75"/>
      <c r="B75" s="579"/>
      <c r="C75" s="4"/>
      <c r="D75" s="4"/>
      <c r="E75" s="609"/>
      <c r="F75" s="609"/>
      <c r="G75" s="609"/>
      <c r="H75" s="607"/>
      <c r="I75" s="607"/>
      <c r="J75" s="607"/>
      <c r="K75" s="609"/>
      <c r="L75" s="609"/>
      <c r="M75" s="609"/>
      <c r="N75" s="609"/>
      <c r="O75" s="609"/>
      <c r="P75" s="609"/>
      <c r="Q75" s="609"/>
      <c r="R75" s="609"/>
      <c r="S75" s="609"/>
      <c r="T75" s="567"/>
      <c r="U75"/>
      <c r="V75" s="65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8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751" customFormat="1" ht="18" customHeight="1" x14ac:dyDescent="0.2">
      <c r="B76" s="785"/>
      <c r="C76" s="786" t="s">
        <v>167</v>
      </c>
      <c r="D76" s="787"/>
      <c r="E76" s="788"/>
      <c r="F76" s="788"/>
      <c r="G76" s="788"/>
      <c r="H76" s="788"/>
      <c r="I76" s="788"/>
      <c r="J76" s="788"/>
      <c r="K76" s="788"/>
      <c r="L76" s="788"/>
      <c r="M76" s="788"/>
      <c r="N76" s="568"/>
      <c r="O76" s="568"/>
      <c r="P76" s="568"/>
      <c r="Q76" s="568"/>
      <c r="R76" s="568"/>
      <c r="S76" s="568"/>
      <c r="T76" s="756"/>
      <c r="V76" s="94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6"/>
    </row>
    <row r="77" spans="1:256" s="751" customFormat="1" ht="18" customHeight="1" x14ac:dyDescent="0.2">
      <c r="B77" s="785"/>
      <c r="C77" s="787" t="s">
        <v>737</v>
      </c>
      <c r="D77" s="787"/>
      <c r="E77" s="788"/>
      <c r="F77" s="788"/>
      <c r="G77" s="788"/>
      <c r="H77" s="788"/>
      <c r="I77" s="788"/>
      <c r="J77" s="788"/>
      <c r="K77" s="788"/>
      <c r="L77" s="788"/>
      <c r="M77" s="788"/>
      <c r="N77" s="568"/>
      <c r="O77" s="568"/>
      <c r="P77" s="568"/>
      <c r="Q77" s="568"/>
      <c r="R77" s="568"/>
      <c r="S77" s="568"/>
      <c r="T77" s="756"/>
      <c r="V77" s="94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6"/>
    </row>
    <row r="78" spans="1:256" s="751" customFormat="1" ht="18" customHeight="1" x14ac:dyDescent="0.2">
      <c r="B78" s="785"/>
      <c r="C78" s="787" t="s">
        <v>738</v>
      </c>
      <c r="D78" s="787"/>
      <c r="E78" s="788"/>
      <c r="F78" s="788"/>
      <c r="G78" s="788"/>
      <c r="H78" s="788"/>
      <c r="I78" s="788"/>
      <c r="J78" s="788"/>
      <c r="K78" s="788"/>
      <c r="L78" s="788"/>
      <c r="M78" s="788"/>
      <c r="N78" s="568"/>
      <c r="O78" s="568"/>
      <c r="P78" s="568"/>
      <c r="Q78" s="568"/>
      <c r="R78" s="568"/>
      <c r="S78" s="568"/>
      <c r="T78" s="756"/>
      <c r="V78" s="94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6"/>
    </row>
    <row r="79" spans="1:256" ht="18" customHeight="1" x14ac:dyDescent="0.2">
      <c r="A79" s="751"/>
      <c r="B79" s="785"/>
      <c r="C79" s="787" t="s">
        <v>739</v>
      </c>
      <c r="D79" s="787"/>
      <c r="E79" s="788"/>
      <c r="F79" s="788"/>
      <c r="G79" s="788"/>
      <c r="H79" s="788"/>
      <c r="I79" s="788"/>
      <c r="J79" s="788"/>
      <c r="K79" s="788"/>
      <c r="L79" s="788"/>
      <c r="M79" s="788"/>
      <c r="N79" s="568"/>
      <c r="O79" s="568"/>
      <c r="P79" s="568"/>
      <c r="Q79" s="568"/>
      <c r="R79" s="568"/>
      <c r="S79" s="568"/>
      <c r="T79" s="756"/>
      <c r="V79" s="94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6"/>
    </row>
    <row r="80" spans="1:256" ht="18" customHeight="1" x14ac:dyDescent="0.2">
      <c r="A80" s="751"/>
      <c r="B80" s="785"/>
      <c r="C80" s="751" t="s">
        <v>740</v>
      </c>
      <c r="D80" s="787"/>
      <c r="E80" s="788"/>
      <c r="F80" s="788"/>
      <c r="G80" s="788"/>
      <c r="H80" s="788"/>
      <c r="I80" s="788"/>
      <c r="J80" s="788"/>
      <c r="K80" s="788"/>
      <c r="L80" s="788"/>
      <c r="M80" s="788"/>
      <c r="N80" s="568"/>
      <c r="O80" s="568"/>
      <c r="P80" s="568"/>
      <c r="Q80" s="568"/>
      <c r="R80" s="568"/>
      <c r="S80" s="568"/>
      <c r="T80" s="756"/>
      <c r="V80" s="94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6"/>
    </row>
    <row r="81" spans="1:35" ht="18" customHeight="1" x14ac:dyDescent="0.2">
      <c r="A81" s="751"/>
      <c r="B81" s="785"/>
      <c r="C81" s="751" t="s">
        <v>741</v>
      </c>
      <c r="D81" s="787"/>
      <c r="E81" s="789"/>
      <c r="F81" s="789"/>
      <c r="G81" s="789"/>
      <c r="H81" s="789"/>
      <c r="I81" s="789"/>
      <c r="J81" s="789"/>
      <c r="K81" s="789"/>
      <c r="L81" s="789"/>
      <c r="M81" s="789"/>
      <c r="N81" s="568"/>
      <c r="O81" s="568"/>
      <c r="P81" s="568"/>
      <c r="Q81" s="568"/>
      <c r="R81" s="568"/>
      <c r="S81" s="568"/>
      <c r="T81" s="756"/>
      <c r="V81" s="94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6"/>
    </row>
    <row r="82" spans="1:35" ht="18" customHeight="1" x14ac:dyDescent="0.2">
      <c r="A82" s="751"/>
      <c r="B82" s="785"/>
      <c r="C82" s="751" t="s">
        <v>742</v>
      </c>
      <c r="D82" s="787"/>
      <c r="E82" s="789"/>
      <c r="F82" s="789"/>
      <c r="G82" s="789"/>
      <c r="H82" s="789"/>
      <c r="I82" s="789"/>
      <c r="J82" s="789"/>
      <c r="K82" s="789"/>
      <c r="L82" s="789"/>
      <c r="M82" s="789"/>
      <c r="N82" s="568"/>
      <c r="O82" s="568"/>
      <c r="P82" s="568"/>
      <c r="Q82" s="568"/>
      <c r="R82" s="568"/>
      <c r="S82" s="568"/>
      <c r="T82" s="756"/>
      <c r="V82" s="94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6"/>
    </row>
    <row r="83" spans="1:35" ht="18" customHeight="1" x14ac:dyDescent="0.2">
      <c r="A83" s="751"/>
      <c r="B83" s="785"/>
      <c r="C83" s="751" t="s">
        <v>743</v>
      </c>
      <c r="D83" s="787"/>
      <c r="E83" s="789"/>
      <c r="F83" s="789"/>
      <c r="G83" s="789"/>
      <c r="H83" s="789"/>
      <c r="I83" s="789"/>
      <c r="J83" s="789"/>
      <c r="K83" s="789"/>
      <c r="L83" s="789"/>
      <c r="M83" s="789"/>
      <c r="N83" s="568"/>
      <c r="O83" s="568"/>
      <c r="P83" s="568"/>
      <c r="Q83" s="568"/>
      <c r="R83" s="568"/>
      <c r="S83" s="568"/>
      <c r="T83" s="756"/>
      <c r="V83" s="94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6"/>
    </row>
    <row r="84" spans="1:35" ht="22.9" customHeight="1" x14ac:dyDescent="0.2">
      <c r="B84" s="613"/>
      <c r="C84" s="996"/>
      <c r="D84" s="996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615"/>
      <c r="V84" s="103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5"/>
    </row>
    <row r="85" spans="1:35" ht="22.9" customHeight="1" x14ac:dyDescent="0.2">
      <c r="C85" s="556"/>
      <c r="D85" s="556"/>
      <c r="E85" s="566"/>
      <c r="F85" s="566"/>
      <c r="G85" s="566"/>
      <c r="H85" s="566"/>
      <c r="I85" s="566"/>
      <c r="J85" s="566"/>
      <c r="K85" s="566"/>
      <c r="L85" s="566"/>
      <c r="M85" s="566"/>
      <c r="N85" s="566"/>
      <c r="O85" s="566"/>
      <c r="P85" s="566"/>
      <c r="Q85" s="566"/>
      <c r="R85" s="566"/>
      <c r="S85" s="566"/>
    </row>
    <row r="86" spans="1:35" ht="15" x14ac:dyDescent="0.2">
      <c r="C86" s="556" t="s">
        <v>55</v>
      </c>
      <c r="D86" s="556"/>
      <c r="E86" s="566"/>
      <c r="F86" s="566"/>
      <c r="G86" s="566"/>
      <c r="H86" s="566"/>
      <c r="I86" s="566"/>
      <c r="J86" s="566"/>
      <c r="K86" s="566"/>
      <c r="L86" s="566"/>
      <c r="M86" s="566"/>
      <c r="N86" s="566"/>
      <c r="O86" s="566"/>
      <c r="P86" s="566"/>
      <c r="Q86" s="566"/>
      <c r="R86" s="566"/>
      <c r="S86" s="558" t="s">
        <v>31</v>
      </c>
    </row>
    <row r="87" spans="1:35" ht="15" x14ac:dyDescent="0.2">
      <c r="C87" s="616" t="s">
        <v>57</v>
      </c>
      <c r="D87" s="556"/>
      <c r="E87" s="566"/>
      <c r="F87" s="566"/>
      <c r="G87" s="566"/>
      <c r="H87" s="566"/>
      <c r="I87" s="566"/>
      <c r="J87" s="566"/>
      <c r="K87" s="566"/>
      <c r="L87" s="566"/>
      <c r="M87" s="566"/>
      <c r="N87" s="566"/>
      <c r="O87" s="566"/>
      <c r="P87" s="566"/>
      <c r="Q87" s="566"/>
      <c r="R87" s="566"/>
      <c r="S87"/>
    </row>
    <row r="88" spans="1:35" ht="15" x14ac:dyDescent="0.2">
      <c r="C88" s="616" t="s">
        <v>58</v>
      </c>
      <c r="D88" s="556"/>
      <c r="E88" s="566"/>
      <c r="F88" s="566"/>
      <c r="G88" s="566"/>
      <c r="H88" s="566"/>
      <c r="I88" s="566"/>
      <c r="J88" s="566"/>
      <c r="K88" s="566"/>
      <c r="L88" s="566"/>
      <c r="M88" s="566"/>
      <c r="N88" s="566"/>
      <c r="O88" s="566"/>
      <c r="P88" s="566"/>
      <c r="Q88" s="566"/>
      <c r="R88" s="566"/>
      <c r="S88" s="566"/>
    </row>
    <row r="89" spans="1:35" ht="15" x14ac:dyDescent="0.2">
      <c r="C89" s="616" t="s">
        <v>59</v>
      </c>
      <c r="D89" s="556"/>
      <c r="E89" s="566"/>
      <c r="F89" s="566"/>
      <c r="G89" s="566"/>
      <c r="H89" s="566"/>
      <c r="I89" s="566"/>
      <c r="J89" s="566"/>
      <c r="K89" s="566"/>
      <c r="L89" s="566"/>
      <c r="M89" s="566"/>
      <c r="N89" s="566"/>
      <c r="O89" s="566"/>
      <c r="P89" s="566"/>
      <c r="Q89" s="566"/>
      <c r="R89" s="566"/>
      <c r="S89" s="566"/>
    </row>
    <row r="90" spans="1:35" ht="15" x14ac:dyDescent="0.2">
      <c r="C90" s="616" t="s">
        <v>60</v>
      </c>
      <c r="D90" s="556"/>
      <c r="E90" s="566"/>
      <c r="F90" s="566"/>
      <c r="G90" s="566"/>
      <c r="H90" s="566"/>
      <c r="I90" s="566"/>
      <c r="J90" s="566"/>
      <c r="K90" s="566"/>
      <c r="L90" s="566"/>
      <c r="M90" s="566"/>
      <c r="N90" s="566"/>
      <c r="O90" s="566"/>
      <c r="P90" s="566"/>
      <c r="Q90" s="566"/>
      <c r="R90" s="566"/>
      <c r="S90" s="566"/>
    </row>
  </sheetData>
  <sheetProtection password="E059" sheet="1" insertRows="0"/>
  <mergeCells count="7">
    <mergeCell ref="C84:D84"/>
    <mergeCell ref="S6:S7"/>
    <mergeCell ref="D9:S9"/>
    <mergeCell ref="C12:D12"/>
    <mergeCell ref="H42:J42"/>
    <mergeCell ref="R47:S47"/>
    <mergeCell ref="H74:J74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27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zoomScale="80" zoomScaleNormal="80" workbookViewId="0">
      <selection activeCell="P34" sqref="P34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15.21875" style="22" customWidth="1"/>
    <col min="5" max="5" width="28.44140625" style="559" customWidth="1"/>
    <col min="6" max="9" width="14.21875" style="559" customWidth="1"/>
    <col min="10" max="10" width="3.21875" style="22" customWidth="1"/>
    <col min="11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3"/>
      <c r="K5"/>
      <c r="L5" s="62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4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981">
        <f>ejercicio</f>
        <v>2018</v>
      </c>
      <c r="J6" s="567"/>
      <c r="K6"/>
      <c r="L6" s="65"/>
      <c r="M6" s="66" t="s">
        <v>93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8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981"/>
      <c r="J7" s="567"/>
      <c r="K7"/>
      <c r="L7" s="65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8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8"/>
      <c r="J8" s="567"/>
      <c r="K8"/>
      <c r="L8" s="65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570"/>
      <c r="L9" s="65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8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7"/>
      <c r="K10"/>
      <c r="L10" s="65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8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744</v>
      </c>
      <c r="D11" s="573"/>
      <c r="E11" s="574"/>
      <c r="F11" s="574"/>
      <c r="G11" s="574"/>
      <c r="H11" s="574"/>
      <c r="I11" s="574"/>
      <c r="J11" s="575"/>
      <c r="L11" s="65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8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7"/>
      <c r="J12" s="575"/>
      <c r="K12"/>
      <c r="L12" s="65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8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6.149999999999999" customHeight="1" x14ac:dyDescent="0.25">
      <c r="A13" s="571"/>
      <c r="B13" s="572"/>
      <c r="C13" s="790"/>
      <c r="D13" s="791"/>
      <c r="E13" s="792"/>
      <c r="F13" s="793" t="s">
        <v>745</v>
      </c>
      <c r="G13" s="1023" t="s">
        <v>746</v>
      </c>
      <c r="H13" s="1023"/>
      <c r="I13" s="1023"/>
      <c r="J13" s="575"/>
      <c r="K13"/>
      <c r="L13" s="65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6.149999999999999" customHeight="1" x14ac:dyDescent="0.25">
      <c r="A14" s="571"/>
      <c r="B14" s="572"/>
      <c r="C14" s="794"/>
      <c r="D14" s="795"/>
      <c r="E14" s="796"/>
      <c r="F14" s="621" t="s">
        <v>747</v>
      </c>
      <c r="G14" s="793" t="s">
        <v>748</v>
      </c>
      <c r="H14" s="793" t="s">
        <v>749</v>
      </c>
      <c r="I14" s="793" t="s">
        <v>750</v>
      </c>
      <c r="J14" s="575"/>
      <c r="K14"/>
      <c r="L14" s="65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8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6.149999999999999" customHeight="1" x14ac:dyDescent="0.25">
      <c r="B15" s="569"/>
      <c r="C15" s="1024" t="s">
        <v>751</v>
      </c>
      <c r="D15" s="1024"/>
      <c r="E15" s="1024"/>
      <c r="F15" s="665">
        <f>ejercicio</f>
        <v>2018</v>
      </c>
      <c r="G15" s="665">
        <f>ejercicio+1</f>
        <v>2019</v>
      </c>
      <c r="H15" s="665">
        <f>ejercicio+1</f>
        <v>2019</v>
      </c>
      <c r="I15" s="665">
        <f>ejercicio+1</f>
        <v>2019</v>
      </c>
      <c r="J15" s="570"/>
      <c r="L15" s="65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1:256" ht="7.9" customHeight="1" x14ac:dyDescent="0.25">
      <c r="B16" s="569"/>
      <c r="C16" s="565"/>
      <c r="D16" s="565"/>
      <c r="E16" s="708"/>
      <c r="F16" s="708"/>
      <c r="G16" s="708"/>
      <c r="H16" s="708"/>
      <c r="I16" s="708"/>
      <c r="J16" s="570"/>
      <c r="K16"/>
      <c r="L16" s="65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8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588" customFormat="1" ht="22.9" customHeight="1" x14ac:dyDescent="0.2">
      <c r="A17" s="22"/>
      <c r="B17" s="569"/>
      <c r="C17" s="644" t="s">
        <v>752</v>
      </c>
      <c r="D17" s="645"/>
      <c r="E17" s="797"/>
      <c r="F17" s="798"/>
      <c r="G17" s="799"/>
      <c r="H17" s="800"/>
      <c r="I17" s="801"/>
      <c r="J17" s="587"/>
      <c r="L17" s="65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</row>
    <row r="18" spans="1:256" ht="9" customHeight="1" x14ac:dyDescent="0.2">
      <c r="B18" s="569"/>
      <c r="C18" s="98"/>
      <c r="D18" s="98"/>
      <c r="E18" s="98"/>
      <c r="F18" s="802"/>
      <c r="G18" s="803"/>
      <c r="H18" s="804"/>
      <c r="I18" s="805"/>
      <c r="J18" s="587"/>
      <c r="K18"/>
      <c r="L18" s="65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B19" s="569"/>
      <c r="C19" s="644" t="s">
        <v>456</v>
      </c>
      <c r="D19" s="645"/>
      <c r="E19" s="797"/>
      <c r="F19" s="646">
        <f>SUM(F20:F24)</f>
        <v>0</v>
      </c>
      <c r="G19" s="806">
        <f>SUM(G20:G24)</f>
        <v>0</v>
      </c>
      <c r="H19" s="773">
        <f>SUM(H20:H24)</f>
        <v>0</v>
      </c>
      <c r="I19" s="774">
        <f>SUM(I20:I24)</f>
        <v>0</v>
      </c>
      <c r="J19" s="587"/>
      <c r="K19"/>
      <c r="L19" s="65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579"/>
      <c r="C20" s="807" t="s">
        <v>753</v>
      </c>
      <c r="D20" s="808"/>
      <c r="E20" s="809"/>
      <c r="F20" s="422"/>
      <c r="G20" s="810"/>
      <c r="H20" s="668"/>
      <c r="I20" s="811"/>
      <c r="J20" s="587"/>
      <c r="K20"/>
      <c r="L20" s="65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579"/>
      <c r="C21" s="807" t="s">
        <v>754</v>
      </c>
      <c r="D21" s="808"/>
      <c r="E21" s="809"/>
      <c r="F21" s="422"/>
      <c r="G21" s="810"/>
      <c r="H21" s="668"/>
      <c r="I21" s="811"/>
      <c r="J21" s="587"/>
      <c r="K21"/>
      <c r="L21" s="65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8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/>
      <c r="B22" s="579"/>
      <c r="C22" s="807" t="s">
        <v>755</v>
      </c>
      <c r="D22" s="808"/>
      <c r="E22" s="809"/>
      <c r="F22" s="422"/>
      <c r="G22" s="810"/>
      <c r="H22" s="668"/>
      <c r="I22" s="811"/>
      <c r="J22" s="587"/>
      <c r="K22"/>
      <c r="L22" s="65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579"/>
      <c r="C23" s="631" t="s">
        <v>756</v>
      </c>
      <c r="D23" s="632"/>
      <c r="E23" s="812"/>
      <c r="F23" s="344"/>
      <c r="G23" s="813"/>
      <c r="H23" s="635"/>
      <c r="I23" s="814"/>
      <c r="J23" s="567"/>
      <c r="K23"/>
      <c r="L23" s="65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8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579"/>
      <c r="C24" s="638" t="s">
        <v>757</v>
      </c>
      <c r="D24" s="639"/>
      <c r="E24" s="815"/>
      <c r="F24" s="354"/>
      <c r="G24" s="816"/>
      <c r="H24" s="641"/>
      <c r="I24" s="817"/>
      <c r="J24" s="567"/>
      <c r="K24"/>
      <c r="L24" s="65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8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7.9" customHeight="1" x14ac:dyDescent="0.25">
      <c r="A25"/>
      <c r="B25" s="564"/>
      <c r="C25" s="1018"/>
      <c r="D25" s="1018"/>
      <c r="E25" s="1018"/>
      <c r="F25" s="1018"/>
      <c r="G25" s="1018"/>
      <c r="H25" s="1018"/>
      <c r="I25" s="1018"/>
      <c r="J25" s="567"/>
      <c r="K25"/>
      <c r="L25" s="65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8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588" customFormat="1" ht="22.9" customHeight="1" x14ac:dyDescent="0.2">
      <c r="A26" s="22"/>
      <c r="B26" s="569"/>
      <c r="C26" s="644" t="s">
        <v>758</v>
      </c>
      <c r="D26" s="645"/>
      <c r="E26" s="797"/>
      <c r="F26" s="646">
        <f>+SUM(F27:F28)</f>
        <v>0</v>
      </c>
      <c r="G26" s="806">
        <f>SUM(G27:G28)</f>
        <v>0</v>
      </c>
      <c r="H26" s="773">
        <f>SUM(H27:H28)</f>
        <v>0</v>
      </c>
      <c r="I26" s="774">
        <f>SUM(I27:I28)</f>
        <v>0</v>
      </c>
      <c r="J26" s="587"/>
      <c r="L26" s="65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8"/>
    </row>
    <row r="27" spans="1:256" ht="22.9" customHeight="1" x14ac:dyDescent="0.2">
      <c r="B27" s="579"/>
      <c r="C27" s="807" t="s">
        <v>759</v>
      </c>
      <c r="D27" s="808"/>
      <c r="E27" s="809"/>
      <c r="F27" s="422"/>
      <c r="G27" s="810"/>
      <c r="H27" s="668"/>
      <c r="I27" s="811"/>
      <c r="J27" s="587"/>
      <c r="L27" s="65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8"/>
    </row>
    <row r="28" spans="1:256" ht="22.9" customHeight="1" x14ac:dyDescent="0.2">
      <c r="B28" s="579"/>
      <c r="C28" s="638" t="s">
        <v>760</v>
      </c>
      <c r="D28" s="639"/>
      <c r="E28" s="815"/>
      <c r="F28" s="354"/>
      <c r="G28" s="818"/>
      <c r="H28" s="819"/>
      <c r="I28" s="817"/>
      <c r="J28" s="567"/>
      <c r="L28" s="65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1:256" ht="7.9" customHeight="1" x14ac:dyDescent="0.25">
      <c r="B29" s="564"/>
      <c r="C29" s="1018"/>
      <c r="D29" s="1018"/>
      <c r="E29" s="1018"/>
      <c r="F29" s="1018"/>
      <c r="G29" s="1018"/>
      <c r="H29" s="1018"/>
      <c r="I29" s="1018"/>
      <c r="J29" s="567"/>
      <c r="L29" s="65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8"/>
    </row>
    <row r="30" spans="1:256" ht="22.9" customHeight="1" x14ac:dyDescent="0.2">
      <c r="B30" s="579"/>
      <c r="C30" s="644" t="s">
        <v>761</v>
      </c>
      <c r="D30" s="645"/>
      <c r="E30" s="797"/>
      <c r="F30" s="646">
        <f>SUM(F31:F32)</f>
        <v>0</v>
      </c>
      <c r="G30" s="806">
        <f>SUM(G31:G32)</f>
        <v>0</v>
      </c>
      <c r="H30" s="773">
        <f>SUM(H31:H32)</f>
        <v>0</v>
      </c>
      <c r="I30" s="774">
        <f>SUM(I31:I32)</f>
        <v>0</v>
      </c>
      <c r="J30" s="567"/>
      <c r="L30" s="65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8"/>
    </row>
    <row r="31" spans="1:256" ht="22.9" customHeight="1" x14ac:dyDescent="0.2">
      <c r="B31" s="579"/>
      <c r="C31" s="807" t="s">
        <v>759</v>
      </c>
      <c r="D31" s="808"/>
      <c r="E31" s="809"/>
      <c r="F31" s="422"/>
      <c r="G31" s="820"/>
      <c r="H31" s="821"/>
      <c r="I31" s="811"/>
      <c r="J31" s="567"/>
      <c r="L31" s="65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</row>
    <row r="32" spans="1:256" ht="22.9" customHeight="1" x14ac:dyDescent="0.2">
      <c r="B32" s="579"/>
      <c r="C32" s="638" t="s">
        <v>760</v>
      </c>
      <c r="D32" s="639"/>
      <c r="E32" s="815"/>
      <c r="F32" s="354"/>
      <c r="G32" s="818"/>
      <c r="H32" s="819"/>
      <c r="I32" s="817"/>
      <c r="J32" s="567"/>
      <c r="L32" s="65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8"/>
    </row>
    <row r="33" spans="2:25" ht="22.9" customHeight="1" x14ac:dyDescent="0.2">
      <c r="B33" s="579"/>
      <c r="C33" s="4"/>
      <c r="D33" s="4"/>
      <c r="E33" s="609"/>
      <c r="F33" s="612"/>
      <c r="G33" s="609"/>
      <c r="H33" s="609"/>
      <c r="I33" s="729"/>
      <c r="J33" s="567"/>
      <c r="L33" s="65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</row>
    <row r="34" spans="2:25" ht="22.9" customHeight="1" x14ac:dyDescent="0.2">
      <c r="B34" s="579"/>
      <c r="C34" s="657" t="s">
        <v>167</v>
      </c>
      <c r="D34" s="658"/>
      <c r="E34" s="659"/>
      <c r="F34" s="659"/>
      <c r="G34" s="659"/>
      <c r="H34" s="659"/>
      <c r="I34" s="577"/>
      <c r="J34" s="567"/>
      <c r="L34" s="65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</row>
    <row r="35" spans="2:25" ht="18" x14ac:dyDescent="0.2">
      <c r="B35" s="579"/>
      <c r="C35" s="822" t="s">
        <v>762</v>
      </c>
      <c r="D35" s="658"/>
      <c r="E35" s="659"/>
      <c r="F35" s="659"/>
      <c r="G35" s="659"/>
      <c r="H35" s="659"/>
      <c r="I35" s="577"/>
      <c r="J35" s="567"/>
      <c r="L35" s="65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</row>
    <row r="36" spans="2:25" ht="22.9" customHeight="1" x14ac:dyDescent="0.2">
      <c r="B36" s="613"/>
      <c r="C36" s="996"/>
      <c r="D36" s="996"/>
      <c r="E36" s="996"/>
      <c r="F36" s="996"/>
      <c r="G36" s="283"/>
      <c r="H36" s="283"/>
      <c r="I36" s="614"/>
      <c r="J36" s="615"/>
      <c r="L36" s="103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5"/>
    </row>
    <row r="37" spans="2:25" ht="22.9" customHeight="1" x14ac:dyDescent="0.2">
      <c r="C37" s="556"/>
      <c r="D37" s="556"/>
      <c r="E37" s="566"/>
      <c r="F37" s="566"/>
      <c r="G37" s="566"/>
      <c r="H37" s="566"/>
      <c r="I37" s="566"/>
    </row>
    <row r="38" spans="2:25" ht="15" x14ac:dyDescent="0.2">
      <c r="C38" s="556" t="s">
        <v>55</v>
      </c>
      <c r="D38" s="556"/>
      <c r="E38" s="566"/>
      <c r="F38" s="566"/>
      <c r="G38" s="566"/>
      <c r="H38" s="566"/>
      <c r="I38" s="558" t="s">
        <v>33</v>
      </c>
    </row>
    <row r="39" spans="2:25" ht="15" x14ac:dyDescent="0.2">
      <c r="C39" s="616" t="s">
        <v>57</v>
      </c>
      <c r="D39" s="556"/>
      <c r="E39" s="566"/>
      <c r="F39" s="566"/>
      <c r="G39" s="566"/>
      <c r="H39" s="566"/>
      <c r="I39" s="566"/>
    </row>
    <row r="40" spans="2:25" ht="15" x14ac:dyDescent="0.2">
      <c r="C40" s="616" t="s">
        <v>58</v>
      </c>
      <c r="D40" s="556"/>
      <c r="E40" s="566"/>
      <c r="F40" s="566"/>
      <c r="G40" s="566"/>
      <c r="H40" s="566"/>
      <c r="I40" s="566"/>
    </row>
    <row r="41" spans="2:25" ht="15" x14ac:dyDescent="0.2">
      <c r="C41" s="616" t="s">
        <v>59</v>
      </c>
      <c r="D41" s="556"/>
      <c r="E41" s="566"/>
      <c r="F41" s="566"/>
      <c r="G41" s="566"/>
      <c r="H41" s="566"/>
      <c r="I41" s="566"/>
    </row>
    <row r="42" spans="2:25" ht="15" x14ac:dyDescent="0.2">
      <c r="C42" s="616" t="s">
        <v>60</v>
      </c>
      <c r="D42" s="556"/>
      <c r="E42" s="566"/>
      <c r="F42" s="566"/>
      <c r="G42" s="566"/>
      <c r="H42" s="566"/>
      <c r="I42" s="566"/>
    </row>
  </sheetData>
  <sheetProtection password="E059" sheet="1"/>
  <mergeCells count="8">
    <mergeCell ref="C29:I29"/>
    <mergeCell ref="C36:F36"/>
    <mergeCell ref="I6:I7"/>
    <mergeCell ref="D9:I9"/>
    <mergeCell ref="C12:D12"/>
    <mergeCell ref="G13:I13"/>
    <mergeCell ref="C15:E15"/>
    <mergeCell ref="C25:I25"/>
  </mergeCells>
  <printOptions horizontalCentered="1" verticalCentered="1"/>
  <pageMargins left="0.35972222222222222" right="0.35972222222222222" top="0.60972222222222228" bottom="0.60972222222222228" header="0.51180555555555551" footer="0.51180555555555551"/>
  <pageSetup paperSize="9" scale="66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zoomScale="80" zoomScaleNormal="80" workbookViewId="0">
      <selection activeCell="P33" sqref="P33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35.5546875" style="22" customWidth="1"/>
    <col min="5" max="14" width="14.21875" style="559" customWidth="1"/>
    <col min="15" max="15" width="3.21875" style="22" customWidth="1"/>
    <col min="16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3"/>
      <c r="P5"/>
      <c r="Q5" s="823"/>
      <c r="R5" s="824"/>
      <c r="S5" s="824"/>
      <c r="T5" s="824"/>
      <c r="U5" s="824"/>
      <c r="V5" s="824"/>
      <c r="W5" s="824"/>
      <c r="X5" s="824"/>
      <c r="Y5" s="824"/>
      <c r="Z5" s="824"/>
      <c r="AA5" s="824"/>
      <c r="AB5" s="824"/>
      <c r="AC5" s="824"/>
      <c r="AD5" s="82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566"/>
      <c r="K6" s="566"/>
      <c r="L6" s="566"/>
      <c r="M6" s="566"/>
      <c r="N6" s="981">
        <f>ejercicio</f>
        <v>2018</v>
      </c>
      <c r="O6" s="567"/>
      <c r="P6"/>
      <c r="Q6" s="826"/>
      <c r="R6" s="827" t="s">
        <v>93</v>
      </c>
      <c r="S6" s="827"/>
      <c r="T6" s="827"/>
      <c r="U6" s="827"/>
      <c r="V6" s="828"/>
      <c r="W6" s="828"/>
      <c r="X6" s="828"/>
      <c r="Y6" s="828"/>
      <c r="Z6" s="828"/>
      <c r="AA6" s="828"/>
      <c r="AB6" s="828"/>
      <c r="AC6" s="828"/>
      <c r="AD6" s="829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566"/>
      <c r="K7" s="566"/>
      <c r="L7" s="566"/>
      <c r="M7" s="566"/>
      <c r="N7" s="981"/>
      <c r="O7" s="567"/>
      <c r="P7"/>
      <c r="Q7" s="826"/>
      <c r="R7" s="828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9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6"/>
      <c r="K8" s="566"/>
      <c r="L8" s="566"/>
      <c r="M8" s="566"/>
      <c r="N8" s="568"/>
      <c r="O8" s="567"/>
      <c r="P8"/>
      <c r="Q8" s="826"/>
      <c r="R8" s="828"/>
      <c r="S8" s="828"/>
      <c r="T8" s="828"/>
      <c r="U8" s="828"/>
      <c r="V8" s="828"/>
      <c r="W8" s="828"/>
      <c r="X8" s="828"/>
      <c r="Y8" s="828"/>
      <c r="Z8" s="828"/>
      <c r="AA8" s="828"/>
      <c r="AB8" s="828"/>
      <c r="AC8" s="828"/>
      <c r="AD8" s="829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995"/>
      <c r="J9" s="995"/>
      <c r="K9" s="995"/>
      <c r="L9" s="995"/>
      <c r="M9" s="995"/>
      <c r="N9" s="995"/>
      <c r="O9" s="570"/>
      <c r="Q9" s="826"/>
      <c r="R9" s="828"/>
      <c r="S9" s="828"/>
      <c r="T9" s="828"/>
      <c r="U9" s="828"/>
      <c r="V9" s="828"/>
      <c r="W9" s="828"/>
      <c r="X9" s="828"/>
      <c r="Y9" s="828"/>
      <c r="Z9" s="828"/>
      <c r="AA9" s="828"/>
      <c r="AB9" s="828"/>
      <c r="AC9" s="828"/>
      <c r="AD9" s="829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7"/>
      <c r="P10"/>
      <c r="Q10" s="826"/>
      <c r="R10" s="828"/>
      <c r="S10" s="828"/>
      <c r="T10" s="828"/>
      <c r="U10" s="828"/>
      <c r="V10" s="828"/>
      <c r="W10" s="828"/>
      <c r="X10" s="828"/>
      <c r="Y10" s="828"/>
      <c r="Z10" s="828"/>
      <c r="AA10" s="828"/>
      <c r="AB10" s="828"/>
      <c r="AC10" s="828"/>
      <c r="AD10" s="829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763</v>
      </c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5"/>
      <c r="Q11" s="826"/>
      <c r="R11" s="828"/>
      <c r="S11" s="828"/>
      <c r="T11" s="828"/>
      <c r="U11" s="828"/>
      <c r="V11" s="828"/>
      <c r="W11" s="828"/>
      <c r="X11" s="828"/>
      <c r="Y11" s="828"/>
      <c r="Z11" s="828"/>
      <c r="AA11" s="828"/>
      <c r="AB11" s="828"/>
      <c r="AC11" s="828"/>
      <c r="AD11" s="829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5"/>
      <c r="P12"/>
      <c r="Q12" s="826"/>
      <c r="R12" s="828"/>
      <c r="S12" s="828"/>
      <c r="T12" s="828"/>
      <c r="U12" s="828"/>
      <c r="V12" s="828"/>
      <c r="W12" s="828"/>
      <c r="X12" s="828"/>
      <c r="Y12" s="828"/>
      <c r="Z12" s="828"/>
      <c r="AA12" s="828"/>
      <c r="AB12" s="828"/>
      <c r="AC12" s="828"/>
      <c r="AD12" s="829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9.149999999999999" customHeight="1" x14ac:dyDescent="0.25">
      <c r="A13" s="571"/>
      <c r="B13" s="572"/>
      <c r="C13" s="790"/>
      <c r="D13" s="791"/>
      <c r="E13" s="1025" t="s">
        <v>764</v>
      </c>
      <c r="F13" s="1025"/>
      <c r="G13" s="1025"/>
      <c r="H13" s="1025"/>
      <c r="I13" s="1025"/>
      <c r="J13" s="1025"/>
      <c r="K13" s="1025"/>
      <c r="L13" s="1025"/>
      <c r="M13" s="1025"/>
      <c r="N13" s="1025"/>
      <c r="O13" s="575"/>
      <c r="P13"/>
      <c r="Q13" s="826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9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9.149999999999999" customHeight="1" x14ac:dyDescent="0.25">
      <c r="B14" s="569"/>
      <c r="C14" s="1026" t="s">
        <v>751</v>
      </c>
      <c r="D14" s="1026"/>
      <c r="E14" s="830">
        <f>ejercicio</f>
        <v>2018</v>
      </c>
      <c r="F14" s="831">
        <f>ejercicio+1</f>
        <v>2019</v>
      </c>
      <c r="G14" s="831">
        <f>ejercicio+2</f>
        <v>2020</v>
      </c>
      <c r="H14" s="831">
        <f>ejercicio+3</f>
        <v>2021</v>
      </c>
      <c r="I14" s="831">
        <f>ejercicio+4</f>
        <v>2022</v>
      </c>
      <c r="J14" s="831">
        <f>ejercicio+5</f>
        <v>2023</v>
      </c>
      <c r="K14" s="831">
        <f>ejercicio+6</f>
        <v>2024</v>
      </c>
      <c r="L14" s="831">
        <f>ejercicio+7</f>
        <v>2025</v>
      </c>
      <c r="M14" s="831">
        <f>ejercicio+8</f>
        <v>2026</v>
      </c>
      <c r="N14" s="832">
        <f>ejercicio+9</f>
        <v>2027</v>
      </c>
      <c r="O14" s="570"/>
      <c r="Q14" s="826"/>
      <c r="R14" s="828"/>
      <c r="S14" s="828"/>
      <c r="T14" s="828"/>
      <c r="U14" s="828"/>
      <c r="V14" s="828"/>
      <c r="W14" s="828"/>
      <c r="X14" s="828"/>
      <c r="Y14" s="828"/>
      <c r="Z14" s="828"/>
      <c r="AA14" s="828"/>
      <c r="AB14" s="828"/>
      <c r="AC14" s="828"/>
      <c r="AD14" s="829"/>
    </row>
    <row r="15" spans="1:256" s="588" customFormat="1" ht="22.9" customHeight="1" x14ac:dyDescent="0.2">
      <c r="B15" s="579"/>
      <c r="C15" s="807" t="s">
        <v>753</v>
      </c>
      <c r="D15" s="808"/>
      <c r="E15" s="627"/>
      <c r="F15" s="628"/>
      <c r="G15" s="628"/>
      <c r="H15" s="628"/>
      <c r="I15" s="628"/>
      <c r="J15" s="628"/>
      <c r="K15" s="628"/>
      <c r="L15" s="628"/>
      <c r="M15" s="628"/>
      <c r="N15" s="833"/>
      <c r="O15" s="587"/>
      <c r="Q15" s="826"/>
      <c r="R15" s="828"/>
      <c r="S15" s="828"/>
      <c r="T15" s="828"/>
      <c r="U15" s="828"/>
      <c r="V15" s="828"/>
      <c r="W15" s="828"/>
      <c r="X15" s="828"/>
      <c r="Y15" s="828"/>
      <c r="Z15" s="828"/>
      <c r="AA15" s="828"/>
      <c r="AB15" s="828"/>
      <c r="AC15" s="828"/>
      <c r="AD15" s="829"/>
    </row>
    <row r="16" spans="1:256" ht="22.9" customHeight="1" x14ac:dyDescent="0.2">
      <c r="A16" s="588"/>
      <c r="B16" s="579"/>
      <c r="C16" s="807" t="s">
        <v>754</v>
      </c>
      <c r="D16" s="808"/>
      <c r="E16" s="667"/>
      <c r="F16" s="668"/>
      <c r="G16" s="668"/>
      <c r="H16" s="668"/>
      <c r="I16" s="668"/>
      <c r="J16" s="668"/>
      <c r="K16" s="668"/>
      <c r="L16" s="668"/>
      <c r="M16" s="668"/>
      <c r="N16" s="811"/>
      <c r="O16" s="587"/>
      <c r="P16"/>
      <c r="Q16" s="826"/>
      <c r="R16" s="828"/>
      <c r="S16" s="828"/>
      <c r="T16" s="828"/>
      <c r="U16" s="828"/>
      <c r="V16" s="828"/>
      <c r="W16" s="828"/>
      <c r="X16" s="828"/>
      <c r="Y16" s="828"/>
      <c r="Z16" s="828"/>
      <c r="AA16" s="828"/>
      <c r="AB16" s="828"/>
      <c r="AC16" s="828"/>
      <c r="AD16" s="829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 s="588"/>
      <c r="B17" s="579"/>
      <c r="C17" s="807" t="s">
        <v>755</v>
      </c>
      <c r="D17" s="808"/>
      <c r="E17" s="667"/>
      <c r="F17" s="668"/>
      <c r="G17" s="668"/>
      <c r="H17" s="668"/>
      <c r="I17" s="668"/>
      <c r="J17" s="668"/>
      <c r="K17" s="668"/>
      <c r="L17" s="668"/>
      <c r="M17" s="668"/>
      <c r="N17" s="811"/>
      <c r="O17" s="587"/>
      <c r="P17"/>
      <c r="Q17" s="826"/>
      <c r="R17" s="828"/>
      <c r="S17" s="828"/>
      <c r="T17" s="828"/>
      <c r="U17" s="828"/>
      <c r="V17" s="828"/>
      <c r="W17" s="828"/>
      <c r="X17" s="828"/>
      <c r="Y17" s="828"/>
      <c r="Z17" s="828"/>
      <c r="AA17" s="828"/>
      <c r="AB17" s="828"/>
      <c r="AC17" s="828"/>
      <c r="AD17" s="829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579"/>
      <c r="C18" s="631" t="s">
        <v>756</v>
      </c>
      <c r="D18" s="632"/>
      <c r="E18" s="634"/>
      <c r="F18" s="635"/>
      <c r="G18" s="635"/>
      <c r="H18" s="635"/>
      <c r="I18" s="635"/>
      <c r="J18" s="635"/>
      <c r="K18" s="635"/>
      <c r="L18" s="635"/>
      <c r="M18" s="635"/>
      <c r="N18" s="814"/>
      <c r="O18" s="567"/>
      <c r="P18"/>
      <c r="Q18" s="826"/>
      <c r="R18" s="828"/>
      <c r="S18" s="828"/>
      <c r="T18" s="828"/>
      <c r="U18" s="828"/>
      <c r="V18" s="828"/>
      <c r="W18" s="828"/>
      <c r="X18" s="828"/>
      <c r="Y18" s="828"/>
      <c r="Z18" s="828"/>
      <c r="AA18" s="828"/>
      <c r="AB18" s="828"/>
      <c r="AC18" s="828"/>
      <c r="AD18" s="829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579"/>
      <c r="C19" s="638" t="s">
        <v>757</v>
      </c>
      <c r="D19" s="639"/>
      <c r="E19" s="640"/>
      <c r="F19" s="641"/>
      <c r="G19" s="641"/>
      <c r="H19" s="641"/>
      <c r="I19" s="641"/>
      <c r="J19" s="641"/>
      <c r="K19" s="641"/>
      <c r="L19" s="641"/>
      <c r="M19" s="641"/>
      <c r="N19" s="817"/>
      <c r="O19" s="567"/>
      <c r="P19"/>
      <c r="Q19" s="826"/>
      <c r="R19" s="828"/>
      <c r="S19" s="828"/>
      <c r="T19" s="828"/>
      <c r="U19" s="828"/>
      <c r="V19" s="828"/>
      <c r="W19" s="828"/>
      <c r="X19" s="828"/>
      <c r="Y19" s="828"/>
      <c r="Z19" s="828"/>
      <c r="AA19" s="828"/>
      <c r="AB19" s="828"/>
      <c r="AC19" s="828"/>
      <c r="AD19" s="82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588" customFormat="1" ht="22.9" customHeight="1" x14ac:dyDescent="0.2">
      <c r="A20" s="22"/>
      <c r="B20" s="569"/>
      <c r="C20" s="644" t="s">
        <v>765</v>
      </c>
      <c r="D20" s="645"/>
      <c r="E20" s="772">
        <f t="shared" ref="E20:N20" si="0">SUM(E15:E19)</f>
        <v>0</v>
      </c>
      <c r="F20" s="773">
        <f t="shared" si="0"/>
        <v>0</v>
      </c>
      <c r="G20" s="773">
        <f t="shared" si="0"/>
        <v>0</v>
      </c>
      <c r="H20" s="773">
        <f t="shared" si="0"/>
        <v>0</v>
      </c>
      <c r="I20" s="773">
        <f t="shared" si="0"/>
        <v>0</v>
      </c>
      <c r="J20" s="773">
        <f t="shared" si="0"/>
        <v>0</v>
      </c>
      <c r="K20" s="773">
        <f t="shared" si="0"/>
        <v>0</v>
      </c>
      <c r="L20" s="773">
        <f t="shared" si="0"/>
        <v>0</v>
      </c>
      <c r="M20" s="773">
        <f t="shared" si="0"/>
        <v>0</v>
      </c>
      <c r="N20" s="774">
        <f t="shared" si="0"/>
        <v>0</v>
      </c>
      <c r="O20" s="587"/>
      <c r="Q20" s="826"/>
      <c r="R20" s="828"/>
      <c r="S20" s="828"/>
      <c r="T20" s="828"/>
      <c r="U20" s="828"/>
      <c r="V20" s="828"/>
      <c r="W20" s="828"/>
      <c r="X20" s="828"/>
      <c r="Y20" s="828"/>
      <c r="Z20" s="828"/>
      <c r="AA20" s="828"/>
      <c r="AB20" s="828"/>
      <c r="AC20" s="828"/>
      <c r="AD20" s="829"/>
    </row>
    <row r="21" spans="1:256" ht="22.9" customHeight="1" x14ac:dyDescent="0.2">
      <c r="B21" s="579"/>
      <c r="C21" s="4"/>
      <c r="D21" s="4"/>
      <c r="E21" s="609"/>
      <c r="F21" s="609"/>
      <c r="G21" s="609"/>
      <c r="H21" s="609"/>
      <c r="I21" s="609"/>
      <c r="J21" s="609"/>
      <c r="K21" s="609"/>
      <c r="L21" s="609"/>
      <c r="M21" s="609"/>
      <c r="N21" s="729"/>
      <c r="O21" s="567"/>
      <c r="Q21" s="826"/>
      <c r="R21" s="828"/>
      <c r="S21" s="828"/>
      <c r="T21" s="828"/>
      <c r="U21" s="828"/>
      <c r="V21" s="828"/>
      <c r="W21" s="828"/>
      <c r="X21" s="828"/>
      <c r="Y21" s="828"/>
      <c r="Z21" s="828"/>
      <c r="AA21" s="828"/>
      <c r="AB21" s="828"/>
      <c r="AC21" s="828"/>
      <c r="AD21" s="829"/>
    </row>
    <row r="22" spans="1:256" ht="22.9" customHeight="1" x14ac:dyDescent="0.2">
      <c r="B22" s="579"/>
      <c r="C22" s="657" t="s">
        <v>766</v>
      </c>
      <c r="D22" s="658"/>
      <c r="E22" s="659"/>
      <c r="F22" s="659"/>
      <c r="G22" s="659"/>
      <c r="H22" s="659"/>
      <c r="I22" s="659"/>
      <c r="J22" s="659"/>
      <c r="K22" s="659"/>
      <c r="L22" s="659"/>
      <c r="M22" s="659"/>
      <c r="N22" s="577"/>
      <c r="O22" s="567"/>
      <c r="Q22" s="826"/>
      <c r="R22" s="828"/>
      <c r="S22" s="828"/>
      <c r="T22" s="828"/>
      <c r="U22" s="828"/>
      <c r="V22" s="828"/>
      <c r="W22" s="828"/>
      <c r="X22" s="828"/>
      <c r="Y22" s="828"/>
      <c r="Z22" s="828"/>
      <c r="AA22" s="828"/>
      <c r="AB22" s="828"/>
      <c r="AC22" s="828"/>
      <c r="AD22" s="829"/>
    </row>
    <row r="23" spans="1:256" ht="18" x14ac:dyDescent="0.2">
      <c r="B23" s="579"/>
      <c r="C23" s="822" t="s">
        <v>762</v>
      </c>
      <c r="D23" s="658"/>
      <c r="E23" s="659"/>
      <c r="F23" s="659"/>
      <c r="G23" s="659"/>
      <c r="H23" s="659"/>
      <c r="I23" s="659"/>
      <c r="J23" s="659"/>
      <c r="K23" s="659"/>
      <c r="L23" s="659"/>
      <c r="M23" s="659"/>
      <c r="N23" s="577"/>
      <c r="O23" s="567"/>
      <c r="Q23" s="826"/>
      <c r="R23" s="828"/>
      <c r="S23" s="828"/>
      <c r="T23" s="828"/>
      <c r="U23" s="828"/>
      <c r="V23" s="828"/>
      <c r="W23" s="828"/>
      <c r="X23" s="828"/>
      <c r="Y23" s="828"/>
      <c r="Z23" s="828"/>
      <c r="AA23" s="828"/>
      <c r="AB23" s="828"/>
      <c r="AC23" s="828"/>
      <c r="AD23" s="829"/>
    </row>
    <row r="24" spans="1:256" ht="22.9" customHeight="1" x14ac:dyDescent="0.2">
      <c r="B24" s="613"/>
      <c r="C24" s="996"/>
      <c r="D24" s="996"/>
      <c r="E24" s="283"/>
      <c r="F24" s="283"/>
      <c r="G24" s="283"/>
      <c r="H24" s="283"/>
      <c r="I24" s="283"/>
      <c r="J24" s="283"/>
      <c r="K24" s="283"/>
      <c r="L24" s="283"/>
      <c r="M24" s="283"/>
      <c r="N24" s="614"/>
      <c r="O24" s="615"/>
      <c r="Q24" s="834"/>
      <c r="R24" s="835"/>
      <c r="S24" s="835"/>
      <c r="T24" s="835"/>
      <c r="U24" s="835"/>
      <c r="V24" s="835"/>
      <c r="W24" s="835"/>
      <c r="X24" s="835"/>
      <c r="Y24" s="835"/>
      <c r="Z24" s="835"/>
      <c r="AA24" s="835"/>
      <c r="AB24" s="835"/>
      <c r="AC24" s="835"/>
      <c r="AD24" s="836"/>
    </row>
    <row r="25" spans="1:256" ht="22.9" customHeight="1" x14ac:dyDescent="0.2">
      <c r="C25" s="556"/>
      <c r="D25" s="556"/>
      <c r="E25" s="566"/>
      <c r="F25" s="566"/>
      <c r="G25" s="566"/>
      <c r="H25" s="566"/>
      <c r="I25" s="566"/>
      <c r="J25" s="566"/>
      <c r="K25" s="566"/>
      <c r="L25" s="566"/>
      <c r="M25" s="566"/>
      <c r="N25" s="566"/>
    </row>
    <row r="26" spans="1:256" ht="15" x14ac:dyDescent="0.2">
      <c r="C26" s="556" t="s">
        <v>55</v>
      </c>
      <c r="D26" s="556"/>
      <c r="E26" s="566"/>
      <c r="F26" s="566"/>
      <c r="G26" s="566"/>
      <c r="H26" s="566"/>
      <c r="I26" s="566"/>
      <c r="J26" s="566"/>
      <c r="K26" s="566"/>
      <c r="L26" s="566"/>
      <c r="M26" s="566"/>
      <c r="N26" s="558" t="s">
        <v>35</v>
      </c>
    </row>
    <row r="27" spans="1:256" ht="15" x14ac:dyDescent="0.2">
      <c r="C27" s="616" t="s">
        <v>57</v>
      </c>
      <c r="D27" s="556"/>
      <c r="E27" s="566"/>
      <c r="F27" s="566"/>
      <c r="G27" s="566"/>
      <c r="H27" s="566"/>
      <c r="I27" s="566"/>
      <c r="J27" s="566"/>
      <c r="K27" s="566"/>
      <c r="L27" s="566"/>
      <c r="M27" s="566"/>
      <c r="N27" s="566"/>
    </row>
    <row r="28" spans="1:256" ht="15" x14ac:dyDescent="0.2">
      <c r="C28" s="616" t="s">
        <v>58</v>
      </c>
      <c r="D28" s="556"/>
      <c r="E28" s="566"/>
      <c r="F28" s="566"/>
      <c r="G28" s="566"/>
      <c r="H28" s="566"/>
      <c r="I28" s="566"/>
      <c r="J28" s="566"/>
      <c r="K28" s="566"/>
      <c r="L28" s="566"/>
      <c r="M28" s="566"/>
      <c r="N28" s="566"/>
    </row>
    <row r="29" spans="1:256" ht="15" x14ac:dyDescent="0.2">
      <c r="C29" s="616" t="s">
        <v>59</v>
      </c>
      <c r="D29" s="556"/>
      <c r="E29" s="566"/>
      <c r="F29" s="566"/>
      <c r="G29" s="566"/>
      <c r="H29" s="566"/>
      <c r="I29" s="566"/>
      <c r="J29" s="566"/>
      <c r="K29" s="566"/>
      <c r="L29" s="566"/>
      <c r="M29" s="566"/>
      <c r="N29" s="566"/>
    </row>
    <row r="30" spans="1:256" ht="15" x14ac:dyDescent="0.2">
      <c r="C30" s="616" t="s">
        <v>60</v>
      </c>
      <c r="D30" s="556"/>
      <c r="E30" s="566"/>
      <c r="F30" s="566"/>
      <c r="G30" s="566"/>
      <c r="H30" s="566"/>
      <c r="I30" s="566"/>
      <c r="J30" s="566"/>
      <c r="K30" s="566"/>
      <c r="L30" s="566"/>
      <c r="M30" s="566"/>
      <c r="N30" s="566"/>
    </row>
  </sheetData>
  <sheetProtection password="E059" sheet="1"/>
  <mergeCells count="6">
    <mergeCell ref="C24:D24"/>
    <mergeCell ref="N6:N7"/>
    <mergeCell ref="D9:N9"/>
    <mergeCell ref="C12:D12"/>
    <mergeCell ref="E13:N13"/>
    <mergeCell ref="C14:D14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40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1"/>
  <sheetViews>
    <sheetView zoomScale="55" zoomScaleNormal="55" workbookViewId="0">
      <selection activeCell="W42" sqref="W42"/>
    </sheetView>
  </sheetViews>
  <sheetFormatPr baseColWidth="10" defaultColWidth="11.44140625" defaultRowHeight="22.9" customHeight="1" x14ac:dyDescent="0.2"/>
  <cols>
    <col min="1" max="2" width="3.21875" style="22" customWidth="1"/>
    <col min="3" max="3" width="5.5546875" style="22" customWidth="1"/>
    <col min="4" max="4" width="19.77734375" style="22" customWidth="1"/>
    <col min="5" max="5" width="14" style="22" customWidth="1"/>
    <col min="6" max="10" width="19.77734375" style="559" customWidth="1"/>
    <col min="11" max="11" width="3.21875" style="22" customWidth="1"/>
    <col min="12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/>
      <c r="E2" s="4" t="s">
        <v>293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/>
      <c r="E3" s="4" t="s">
        <v>294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1"/>
      <c r="F5" s="562"/>
      <c r="G5" s="562"/>
      <c r="H5" s="562"/>
      <c r="I5" s="562"/>
      <c r="J5" s="562"/>
      <c r="K5" s="563"/>
      <c r="L5"/>
      <c r="M5" s="823"/>
      <c r="N5" s="824"/>
      <c r="O5" s="824"/>
      <c r="P5" s="824"/>
      <c r="Q5" s="824"/>
      <c r="R5" s="824"/>
      <c r="S5" s="824"/>
      <c r="T5" s="824"/>
      <c r="U5" s="824"/>
      <c r="V5" s="824"/>
      <c r="W5" s="824"/>
      <c r="X5" s="824"/>
      <c r="Y5" s="824"/>
      <c r="Z5" s="82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566"/>
      <c r="I6" s="566"/>
      <c r="J6" s="981">
        <f>ejercicio</f>
        <v>2018</v>
      </c>
      <c r="K6" s="567"/>
      <c r="L6"/>
      <c r="M6" s="826"/>
      <c r="N6" s="827" t="s">
        <v>93</v>
      </c>
      <c r="O6" s="827"/>
      <c r="P6" s="827"/>
      <c r="Q6" s="827"/>
      <c r="R6" s="828"/>
      <c r="S6" s="828"/>
      <c r="T6" s="828"/>
      <c r="U6" s="828"/>
      <c r="V6" s="828"/>
      <c r="W6" s="828"/>
      <c r="X6" s="828"/>
      <c r="Y6" s="828"/>
      <c r="Z6" s="82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566"/>
      <c r="I7" s="566"/>
      <c r="J7" s="981"/>
      <c r="K7" s="567"/>
      <c r="L7"/>
      <c r="M7" s="826"/>
      <c r="N7" s="828"/>
      <c r="O7" s="828"/>
      <c r="P7" s="828"/>
      <c r="Q7" s="828"/>
      <c r="R7" s="828"/>
      <c r="S7" s="828"/>
      <c r="T7" s="828"/>
      <c r="U7" s="828"/>
      <c r="V7" s="828"/>
      <c r="W7" s="828"/>
      <c r="X7" s="828"/>
      <c r="Y7" s="828"/>
      <c r="Z7" s="829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6"/>
      <c r="I8" s="566"/>
      <c r="J8" s="568"/>
      <c r="K8" s="567"/>
      <c r="L8"/>
      <c r="M8" s="826"/>
      <c r="N8" s="828"/>
      <c r="O8" s="828"/>
      <c r="P8" s="828"/>
      <c r="Q8" s="828"/>
      <c r="R8" s="828"/>
      <c r="S8" s="828"/>
      <c r="T8" s="828"/>
      <c r="U8" s="828"/>
      <c r="V8" s="828"/>
      <c r="W8" s="828"/>
      <c r="X8" s="828"/>
      <c r="Y8" s="828"/>
      <c r="Z8" s="82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837"/>
      <c r="E9" s="995" t="str">
        <f>Entidad</f>
        <v>BALSAS DE TENERIFE (BALTEN), EPEL</v>
      </c>
      <c r="F9" s="995"/>
      <c r="G9" s="995"/>
      <c r="H9" s="995"/>
      <c r="I9" s="995"/>
      <c r="J9" s="995"/>
      <c r="K9" s="567"/>
      <c r="M9" s="826"/>
      <c r="N9" s="828"/>
      <c r="O9" s="828"/>
      <c r="P9" s="828"/>
      <c r="Q9" s="828"/>
      <c r="R9" s="828"/>
      <c r="S9" s="828"/>
      <c r="T9" s="828"/>
      <c r="U9" s="828"/>
      <c r="V9" s="828"/>
      <c r="W9" s="828"/>
      <c r="X9" s="828"/>
      <c r="Y9" s="828"/>
      <c r="Z9" s="829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6"/>
      <c r="J10" s="556"/>
      <c r="K10" s="567"/>
      <c r="L10"/>
      <c r="M10" s="826"/>
      <c r="N10" s="828"/>
      <c r="O10" s="828"/>
      <c r="P10" s="828"/>
      <c r="Q10" s="828"/>
      <c r="R10" s="828"/>
      <c r="S10" s="828"/>
      <c r="T10" s="828"/>
      <c r="U10" s="828"/>
      <c r="V10" s="828"/>
      <c r="W10" s="828"/>
      <c r="X10" s="828"/>
      <c r="Y10" s="828"/>
      <c r="Z10" s="82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767</v>
      </c>
      <c r="D11" s="573"/>
      <c r="E11" s="574"/>
      <c r="F11" s="574"/>
      <c r="G11" s="574"/>
      <c r="H11" s="574"/>
      <c r="I11" s="574"/>
      <c r="J11" s="574"/>
      <c r="K11" s="567"/>
      <c r="M11" s="826"/>
      <c r="N11" s="828"/>
      <c r="O11" s="828"/>
      <c r="P11" s="828"/>
      <c r="Q11" s="828"/>
      <c r="R11" s="828"/>
      <c r="S11" s="828"/>
      <c r="T11" s="828"/>
      <c r="U11" s="828"/>
      <c r="V11" s="828"/>
      <c r="W11" s="828"/>
      <c r="X11" s="828"/>
      <c r="Y11" s="828"/>
      <c r="Z11" s="829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7"/>
      <c r="J12" s="838"/>
      <c r="K12" s="567"/>
      <c r="L12"/>
      <c r="M12" s="826"/>
      <c r="N12" s="828"/>
      <c r="O12" s="828"/>
      <c r="P12" s="828"/>
      <c r="Q12" s="828"/>
      <c r="R12" s="828"/>
      <c r="S12" s="828"/>
      <c r="T12" s="828"/>
      <c r="U12" s="828"/>
      <c r="V12" s="828"/>
      <c r="W12" s="828"/>
      <c r="X12" s="828"/>
      <c r="Y12" s="828"/>
      <c r="Z12" s="82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8.9" customHeight="1" x14ac:dyDescent="0.2">
      <c r="A13"/>
      <c r="B13" s="579"/>
      <c r="C13" s="233" t="s">
        <v>768</v>
      </c>
      <c r="D13" s="660"/>
      <c r="E13" s="577"/>
      <c r="F13" s="577"/>
      <c r="G13" s="577"/>
      <c r="H13" s="577"/>
      <c r="I13" s="577"/>
      <c r="J13" s="556"/>
      <c r="K13" s="567"/>
      <c r="L13"/>
      <c r="M13" s="826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15" customHeight="1" x14ac:dyDescent="0.2">
      <c r="A14"/>
      <c r="B14" s="579"/>
      <c r="C14" s="839" t="s">
        <v>769</v>
      </c>
      <c r="D14" s="840"/>
      <c r="E14" s="660"/>
      <c r="F14" s="577"/>
      <c r="G14" s="577"/>
      <c r="H14" s="577"/>
      <c r="I14" s="577"/>
      <c r="J14" s="577"/>
      <c r="K14" s="567"/>
      <c r="L14"/>
      <c r="M14" s="826"/>
      <c r="N14" s="828"/>
      <c r="O14" s="828"/>
      <c r="P14" s="828"/>
      <c r="Q14" s="828"/>
      <c r="R14" s="828"/>
      <c r="S14" s="828"/>
      <c r="T14" s="828"/>
      <c r="U14" s="828"/>
      <c r="V14" s="828"/>
      <c r="W14" s="828"/>
      <c r="X14" s="828"/>
      <c r="Y14" s="828"/>
      <c r="Z14" s="82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">
      <c r="A15"/>
      <c r="B15" s="579"/>
      <c r="C15" s="841" t="s">
        <v>770</v>
      </c>
      <c r="D15" s="4" t="s">
        <v>771</v>
      </c>
      <c r="E15"/>
      <c r="F15" s="577"/>
      <c r="G15" s="577"/>
      <c r="H15" s="577"/>
      <c r="I15" s="577"/>
      <c r="J15" s="577"/>
      <c r="K15" s="567"/>
      <c r="L15"/>
      <c r="M15" s="826"/>
      <c r="N15" s="828"/>
      <c r="O15" s="828"/>
      <c r="P15" s="828"/>
      <c r="Q15" s="828"/>
      <c r="R15" s="828"/>
      <c r="S15" s="828"/>
      <c r="T15" s="828"/>
      <c r="U15" s="828"/>
      <c r="V15" s="828"/>
      <c r="W15" s="828"/>
      <c r="X15" s="828"/>
      <c r="Y15" s="828"/>
      <c r="Z15" s="82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9" customHeight="1" x14ac:dyDescent="0.2">
      <c r="A16"/>
      <c r="B16" s="579"/>
      <c r="C16" s="842"/>
      <c r="D16" s="4"/>
      <c r="E16"/>
      <c r="F16" s="577"/>
      <c r="G16" s="577"/>
      <c r="H16" s="577"/>
      <c r="I16" s="577"/>
      <c r="J16" s="577"/>
      <c r="K16" s="567"/>
      <c r="L16"/>
      <c r="M16" s="826"/>
      <c r="N16" s="828"/>
      <c r="O16" s="828"/>
      <c r="P16" s="828"/>
      <c r="Q16" s="828"/>
      <c r="R16" s="828"/>
      <c r="S16" s="828"/>
      <c r="T16" s="828"/>
      <c r="U16" s="828"/>
      <c r="V16" s="828"/>
      <c r="W16" s="828"/>
      <c r="X16" s="828"/>
      <c r="Y16" s="828"/>
      <c r="Z16" s="82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/>
      <c r="B17" s="579"/>
      <c r="C17" s="841"/>
      <c r="D17" s="4" t="s">
        <v>772</v>
      </c>
      <c r="E17"/>
      <c r="F17" s="577"/>
      <c r="G17" s="577"/>
      <c r="H17" s="577"/>
      <c r="I17" s="577"/>
      <c r="J17" s="577"/>
      <c r="K17" s="567"/>
      <c r="L17"/>
      <c r="M17" s="826"/>
      <c r="N17" s="828"/>
      <c r="O17" s="828"/>
      <c r="P17" s="828"/>
      <c r="Q17" s="828"/>
      <c r="R17" s="828"/>
      <c r="S17" s="828"/>
      <c r="T17" s="828"/>
      <c r="U17" s="828"/>
      <c r="V17" s="828"/>
      <c r="W17" s="828"/>
      <c r="X17" s="828"/>
      <c r="Y17" s="828"/>
      <c r="Z17" s="82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0.15" customHeight="1" x14ac:dyDescent="0.2">
      <c r="A18"/>
      <c r="B18" s="579"/>
      <c r="C18" s="842"/>
      <c r="D18" s="4"/>
      <c r="E18"/>
      <c r="F18" s="577"/>
      <c r="G18" s="577"/>
      <c r="H18" s="577"/>
      <c r="I18" s="577"/>
      <c r="J18" s="577"/>
      <c r="K18" s="567"/>
      <c r="L18"/>
      <c r="M18" s="826"/>
      <c r="N18" s="828"/>
      <c r="O18" s="828"/>
      <c r="P18" s="828"/>
      <c r="Q18" s="828"/>
      <c r="R18" s="828"/>
      <c r="S18" s="828"/>
      <c r="T18" s="828"/>
      <c r="U18" s="828"/>
      <c r="V18" s="828"/>
      <c r="W18" s="828"/>
      <c r="X18" s="828"/>
      <c r="Y18" s="828"/>
      <c r="Z18" s="82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579"/>
      <c r="C19" s="841"/>
      <c r="D19" s="4" t="s">
        <v>773</v>
      </c>
      <c r="E19"/>
      <c r="F19" s="577"/>
      <c r="G19" s="577"/>
      <c r="H19" s="577"/>
      <c r="I19" s="577"/>
      <c r="J19" s="577"/>
      <c r="K19" s="567"/>
      <c r="L19"/>
      <c r="M19" s="826"/>
      <c r="N19" s="828"/>
      <c r="O19" s="828"/>
      <c r="P19" s="828"/>
      <c r="Q19" s="828"/>
      <c r="R19" s="828"/>
      <c r="S19" s="828"/>
      <c r="T19" s="828"/>
      <c r="U19" s="828"/>
      <c r="V19" s="828"/>
      <c r="W19" s="828"/>
      <c r="X19" s="828"/>
      <c r="Y19" s="828"/>
      <c r="Z19" s="82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9" customHeight="1" x14ac:dyDescent="0.2">
      <c r="A20"/>
      <c r="B20" s="579"/>
      <c r="C20" s="842"/>
      <c r="D20" s="4"/>
      <c r="E20"/>
      <c r="F20" s="577"/>
      <c r="G20" s="577"/>
      <c r="H20" s="577"/>
      <c r="I20" s="577"/>
      <c r="J20" s="577"/>
      <c r="K20" s="567"/>
      <c r="L20"/>
      <c r="M20" s="826"/>
      <c r="N20" s="828"/>
      <c r="O20" s="828"/>
      <c r="P20" s="828"/>
      <c r="Q20" s="828"/>
      <c r="R20" s="828"/>
      <c r="S20" s="828"/>
      <c r="T20" s="828"/>
      <c r="U20" s="828"/>
      <c r="V20" s="828"/>
      <c r="W20" s="828"/>
      <c r="X20" s="828"/>
      <c r="Y20" s="828"/>
      <c r="Z20" s="82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579"/>
      <c r="C21" s="841"/>
      <c r="D21" s="4" t="s">
        <v>774</v>
      </c>
      <c r="E21"/>
      <c r="F21" s="577"/>
      <c r="G21" s="577"/>
      <c r="H21" s="577"/>
      <c r="I21" s="577"/>
      <c r="J21" s="577"/>
      <c r="K21" s="567"/>
      <c r="L21"/>
      <c r="M21" s="826"/>
      <c r="N21" s="828"/>
      <c r="O21" s="828"/>
      <c r="P21" s="828"/>
      <c r="Q21" s="828"/>
      <c r="R21" s="828"/>
      <c r="S21" s="828"/>
      <c r="T21" s="828"/>
      <c r="U21" s="828"/>
      <c r="V21" s="828"/>
      <c r="W21" s="828"/>
      <c r="X21" s="828"/>
      <c r="Y21" s="828"/>
      <c r="Z21" s="82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9" customHeight="1" x14ac:dyDescent="0.2">
      <c r="A22"/>
      <c r="B22" s="579"/>
      <c r="C22" s="842"/>
      <c r="D22" s="4"/>
      <c r="E22"/>
      <c r="F22" s="577"/>
      <c r="G22" s="577"/>
      <c r="H22" s="577"/>
      <c r="I22" s="577"/>
      <c r="J22" s="577"/>
      <c r="K22" s="567"/>
      <c r="L22"/>
      <c r="M22" s="826"/>
      <c r="N22" s="828"/>
      <c r="O22" s="828"/>
      <c r="P22" s="828"/>
      <c r="Q22" s="828"/>
      <c r="R22" s="828"/>
      <c r="S22" s="828"/>
      <c r="T22" s="828"/>
      <c r="U22" s="828"/>
      <c r="V22" s="828"/>
      <c r="W22" s="828"/>
      <c r="X22" s="828"/>
      <c r="Y22" s="828"/>
      <c r="Z22" s="82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579"/>
      <c r="C23" s="841"/>
      <c r="D23" s="4" t="s">
        <v>775</v>
      </c>
      <c r="E23"/>
      <c r="F23" s="577"/>
      <c r="G23" s="577"/>
      <c r="H23" s="577"/>
      <c r="I23" s="577"/>
      <c r="J23" s="577"/>
      <c r="K23" s="567"/>
      <c r="L23"/>
      <c r="M23" s="826"/>
      <c r="N23" s="828"/>
      <c r="O23" s="828"/>
      <c r="P23" s="828"/>
      <c r="Q23" s="828"/>
      <c r="R23" s="828"/>
      <c r="S23" s="828"/>
      <c r="T23" s="828"/>
      <c r="U23" s="828"/>
      <c r="V23" s="828"/>
      <c r="W23" s="828"/>
      <c r="X23" s="828"/>
      <c r="Y23" s="828"/>
      <c r="Z23" s="82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579"/>
      <c r="C24" s="842"/>
      <c r="D24" s="4"/>
      <c r="E24"/>
      <c r="F24" s="577"/>
      <c r="G24" s="577"/>
      <c r="H24" s="577"/>
      <c r="I24" s="577"/>
      <c r="J24" s="577"/>
      <c r="K24" s="567"/>
      <c r="L24"/>
      <c r="M24" s="826"/>
      <c r="N24" s="828"/>
      <c r="O24" s="828"/>
      <c r="P24" s="828"/>
      <c r="Q24" s="828"/>
      <c r="R24" s="828"/>
      <c r="S24" s="828"/>
      <c r="T24" s="828"/>
      <c r="U24" s="828"/>
      <c r="V24" s="828"/>
      <c r="W24" s="828"/>
      <c r="X24" s="828"/>
      <c r="Y24" s="828"/>
      <c r="Z24" s="82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579"/>
      <c r="C25" s="98"/>
      <c r="D25" s="660"/>
      <c r="E25" s="660"/>
      <c r="F25" s="577"/>
      <c r="G25" s="577"/>
      <c r="H25" s="577"/>
      <c r="I25" s="577"/>
      <c r="J25" s="577"/>
      <c r="K25" s="567"/>
      <c r="L25"/>
      <c r="M25" s="826"/>
      <c r="N25" s="828"/>
      <c r="O25" s="828"/>
      <c r="P25" s="828"/>
      <c r="Q25" s="828"/>
      <c r="R25" s="828"/>
      <c r="S25" s="828"/>
      <c r="T25" s="828"/>
      <c r="U25" s="828"/>
      <c r="V25" s="828"/>
      <c r="W25" s="828"/>
      <c r="X25" s="828"/>
      <c r="Y25" s="828"/>
      <c r="Z25" s="82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579"/>
      <c r="C26" s="233" t="s">
        <v>776</v>
      </c>
      <c r="D26"/>
      <c r="E26" s="660"/>
      <c r="F26" s="577"/>
      <c r="G26" s="577"/>
      <c r="H26" s="577"/>
      <c r="I26" s="577"/>
      <c r="J26" s="577"/>
      <c r="K26" s="567"/>
      <c r="L26"/>
      <c r="M26" s="826"/>
      <c r="N26" s="828"/>
      <c r="O26" s="828"/>
      <c r="P26" s="828"/>
      <c r="Q26" s="828"/>
      <c r="R26" s="828"/>
      <c r="S26" s="828"/>
      <c r="T26" s="828"/>
      <c r="U26" s="828"/>
      <c r="V26" s="828"/>
      <c r="W26" s="828"/>
      <c r="X26" s="828"/>
      <c r="Y26" s="828"/>
      <c r="Z26" s="829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9" customHeight="1" x14ac:dyDescent="0.2">
      <c r="A27"/>
      <c r="B27" s="579"/>
      <c r="C27" s="233"/>
      <c r="D27"/>
      <c r="E27" s="660"/>
      <c r="F27" s="577"/>
      <c r="G27" s="577"/>
      <c r="H27" s="577"/>
      <c r="I27" s="577"/>
      <c r="J27" s="577"/>
      <c r="K27" s="567"/>
      <c r="L27"/>
      <c r="M27" s="826"/>
      <c r="N27" s="828"/>
      <c r="O27" s="828"/>
      <c r="P27" s="828"/>
      <c r="Q27" s="828"/>
      <c r="R27" s="828"/>
      <c r="S27" s="828"/>
      <c r="T27" s="828"/>
      <c r="U27" s="828"/>
      <c r="V27" s="828"/>
      <c r="W27" s="828"/>
      <c r="X27" s="828"/>
      <c r="Y27" s="828"/>
      <c r="Z27" s="82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579"/>
      <c r="C28" s="843" t="str">
        <f>IF(VLOOKUP("X",C15:D23,2,0)="#N/A",VLOOKUP("x",C15:D23,2,0),VLOOKUP("X",C15:D23,2,0))</f>
        <v xml:space="preserve">  Administracion General y Resto de sectores</v>
      </c>
      <c r="D28" s="844"/>
      <c r="E28" s="844"/>
      <c r="F28" s="844"/>
      <c r="G28" s="844"/>
      <c r="H28" s="845"/>
      <c r="I28" s="577"/>
      <c r="J28" s="577"/>
      <c r="K28" s="567"/>
      <c r="L28"/>
      <c r="M28" s="826"/>
      <c r="N28" s="828"/>
      <c r="O28" s="828"/>
      <c r="P28" s="828"/>
      <c r="Q28" s="828"/>
      <c r="R28" s="828"/>
      <c r="S28" s="828"/>
      <c r="T28" s="828"/>
      <c r="U28" s="828"/>
      <c r="V28" s="828"/>
      <c r="W28" s="828"/>
      <c r="X28" s="828"/>
      <c r="Y28" s="828"/>
      <c r="Z28" s="82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579"/>
      <c r="C29" s="98"/>
      <c r="D29" s="660"/>
      <c r="E29" s="660"/>
      <c r="F29" s="577"/>
      <c r="G29" s="577"/>
      <c r="H29" s="577"/>
      <c r="I29" s="577"/>
      <c r="J29" s="577"/>
      <c r="K29" s="567"/>
      <c r="L29"/>
      <c r="M29" s="826"/>
      <c r="N29" s="828"/>
      <c r="O29" s="828"/>
      <c r="P29" s="828"/>
      <c r="Q29" s="828"/>
      <c r="R29" s="828"/>
      <c r="S29" s="828"/>
      <c r="T29" s="828"/>
      <c r="U29" s="828"/>
      <c r="V29" s="828"/>
      <c r="W29" s="828"/>
      <c r="X29" s="828"/>
      <c r="Y29" s="828"/>
      <c r="Z29" s="8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603" customFormat="1" ht="22.9" customHeight="1" x14ac:dyDescent="0.25">
      <c r="B30" s="846"/>
      <c r="C30" s="843" t="s">
        <v>777</v>
      </c>
      <c r="D30" s="847"/>
      <c r="E30" s="848"/>
      <c r="F30" s="849">
        <f>E45</f>
        <v>51</v>
      </c>
      <c r="G30" s="577"/>
      <c r="H30" s="577"/>
      <c r="I30" s="577"/>
      <c r="J30" s="577"/>
      <c r="K30" s="606"/>
      <c r="M30" s="826"/>
      <c r="N30" s="828"/>
      <c r="O30" s="828"/>
      <c r="P30" s="828"/>
      <c r="Q30" s="828"/>
      <c r="R30" s="828"/>
      <c r="S30" s="828"/>
      <c r="T30" s="828"/>
      <c r="U30" s="828"/>
      <c r="V30" s="828"/>
      <c r="W30" s="828"/>
      <c r="X30" s="828"/>
      <c r="Y30" s="828"/>
      <c r="Z30" s="829"/>
    </row>
    <row r="31" spans="1:256" ht="22.9" customHeight="1" x14ac:dyDescent="0.25">
      <c r="A31" s="603"/>
      <c r="B31" s="846"/>
      <c r="C31" s="850" t="s">
        <v>778</v>
      </c>
      <c r="D31" s="851"/>
      <c r="E31" s="852"/>
      <c r="F31" s="849">
        <f>J45+F53</f>
        <v>1678656.25</v>
      </c>
      <c r="G31" s="577"/>
      <c r="H31" s="577"/>
      <c r="I31" s="577"/>
      <c r="J31" s="577"/>
      <c r="K31" s="606"/>
      <c r="L31"/>
      <c r="M31" s="826"/>
      <c r="N31" s="828"/>
      <c r="O31" s="958"/>
      <c r="P31" s="828"/>
      <c r="Q31" s="828"/>
      <c r="R31" s="828"/>
      <c r="S31" s="828"/>
      <c r="T31" s="828"/>
      <c r="U31" s="828"/>
      <c r="V31" s="828"/>
      <c r="W31" s="828"/>
      <c r="X31" s="828"/>
      <c r="Y31" s="828"/>
      <c r="Z31" s="82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579"/>
      <c r="C32"/>
      <c r="D32" s="4"/>
      <c r="E32" s="660"/>
      <c r="F32" s="609"/>
      <c r="G32" s="577"/>
      <c r="H32" s="577"/>
      <c r="I32" s="577"/>
      <c r="J32" s="577"/>
      <c r="K32" s="567"/>
      <c r="L32"/>
      <c r="M32" s="826"/>
      <c r="N32" s="828"/>
      <c r="O32" s="828"/>
      <c r="P32" s="828"/>
      <c r="Q32" s="828"/>
      <c r="R32" s="828"/>
      <c r="S32" s="828"/>
      <c r="T32" s="828"/>
      <c r="U32" s="828"/>
      <c r="V32" s="828"/>
      <c r="W32" s="828"/>
      <c r="X32" s="828"/>
      <c r="Y32" s="828"/>
      <c r="Z32" s="829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579"/>
      <c r="C33" s="98"/>
      <c r="D33" s="660"/>
      <c r="E33" s="660"/>
      <c r="F33" s="577"/>
      <c r="G33" s="577"/>
      <c r="H33" s="577"/>
      <c r="I33" s="577"/>
      <c r="J33" s="577"/>
      <c r="K33" s="567"/>
      <c r="L33"/>
      <c r="M33" s="826"/>
      <c r="N33" s="828"/>
      <c r="O33" s="828"/>
      <c r="P33" s="828"/>
      <c r="Q33" s="828"/>
      <c r="R33" s="828"/>
      <c r="S33" s="828"/>
      <c r="T33" s="828"/>
      <c r="U33" s="828"/>
      <c r="V33" s="828"/>
      <c r="W33" s="828"/>
      <c r="X33" s="828"/>
      <c r="Y33" s="828"/>
      <c r="Z33" s="82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579"/>
      <c r="C34" s="233" t="s">
        <v>779</v>
      </c>
      <c r="D34"/>
      <c r="E34" s="660"/>
      <c r="F34" s="577"/>
      <c r="G34" s="577"/>
      <c r="H34" s="577"/>
      <c r="I34" s="577"/>
      <c r="J34" s="577"/>
      <c r="K34" s="567"/>
      <c r="L34"/>
      <c r="M34" s="826"/>
      <c r="N34" s="828"/>
      <c r="O34" s="828"/>
      <c r="P34" s="828"/>
      <c r="Q34" s="828"/>
      <c r="R34" s="828"/>
      <c r="S34" s="828"/>
      <c r="T34" s="828"/>
      <c r="U34" s="828"/>
      <c r="V34" s="828"/>
      <c r="W34" s="828"/>
      <c r="X34" s="828"/>
      <c r="Y34" s="828"/>
      <c r="Z34" s="829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579"/>
      <c r="C35" s="98"/>
      <c r="D35" s="660"/>
      <c r="E35" s="660"/>
      <c r="F35" s="577"/>
      <c r="G35" s="577"/>
      <c r="H35" s="577"/>
      <c r="I35" s="577"/>
      <c r="J35" s="577"/>
      <c r="K35" s="567"/>
      <c r="L35"/>
      <c r="M35" s="826"/>
      <c r="N35" s="828"/>
      <c r="O35" s="828"/>
      <c r="P35" s="828"/>
      <c r="Q35" s="828"/>
      <c r="R35" s="828"/>
      <c r="S35" s="828"/>
      <c r="T35" s="828"/>
      <c r="U35" s="828"/>
      <c r="V35" s="828"/>
      <c r="W35" s="828"/>
      <c r="X35" s="828"/>
      <c r="Y35" s="828"/>
      <c r="Z35" s="829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751" customFormat="1" ht="22.9" customHeight="1" x14ac:dyDescent="0.2">
      <c r="B36" s="752"/>
      <c r="C36" s="853"/>
      <c r="D36" s="854"/>
      <c r="E36" s="753"/>
      <c r="F36" s="1005" t="s">
        <v>780</v>
      </c>
      <c r="G36" s="1005"/>
      <c r="H36" s="1005"/>
      <c r="I36" s="1005"/>
      <c r="J36" s="1005"/>
      <c r="K36" s="756"/>
      <c r="M36" s="826"/>
      <c r="N36" s="828"/>
      <c r="O36" s="828"/>
      <c r="P36" s="828"/>
      <c r="Q36" s="828"/>
      <c r="R36" s="828"/>
      <c r="S36" s="828"/>
      <c r="T36" s="828"/>
      <c r="U36" s="828"/>
      <c r="V36" s="828"/>
      <c r="W36" s="828"/>
      <c r="X36" s="828"/>
      <c r="Y36" s="828"/>
      <c r="Z36" s="829"/>
    </row>
    <row r="37" spans="1:256" ht="24" customHeight="1" x14ac:dyDescent="0.2">
      <c r="A37" s="751"/>
      <c r="B37" s="752"/>
      <c r="C37" s="1029" t="s">
        <v>781</v>
      </c>
      <c r="D37" s="1029"/>
      <c r="E37" s="856" t="s">
        <v>782</v>
      </c>
      <c r="F37" s="855" t="s">
        <v>783</v>
      </c>
      <c r="G37" s="855" t="s">
        <v>784</v>
      </c>
      <c r="H37" s="855" t="s">
        <v>785</v>
      </c>
      <c r="I37" s="855" t="s">
        <v>786</v>
      </c>
      <c r="J37" s="857" t="s">
        <v>787</v>
      </c>
      <c r="K37" s="756"/>
      <c r="L37"/>
      <c r="M37" s="826"/>
      <c r="N37" s="828"/>
      <c r="O37" s="828"/>
      <c r="P37" s="828"/>
      <c r="Q37" s="828"/>
      <c r="R37" s="828"/>
      <c r="S37" s="828"/>
      <c r="T37" s="828"/>
      <c r="U37" s="828"/>
      <c r="V37" s="828"/>
      <c r="W37" s="828"/>
      <c r="X37" s="828"/>
      <c r="Y37" s="828"/>
      <c r="Z37" s="829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4" customHeight="1" x14ac:dyDescent="0.2">
      <c r="A38" s="751"/>
      <c r="B38" s="752"/>
      <c r="C38" s="1016" t="s">
        <v>38</v>
      </c>
      <c r="D38" s="1016"/>
      <c r="E38" s="757" t="s">
        <v>788</v>
      </c>
      <c r="F38" s="705" t="s">
        <v>789</v>
      </c>
      <c r="G38" s="705" t="s">
        <v>790</v>
      </c>
      <c r="H38" s="705" t="s">
        <v>791</v>
      </c>
      <c r="I38" s="705" t="s">
        <v>792</v>
      </c>
      <c r="J38" s="858" t="s">
        <v>792</v>
      </c>
      <c r="K38" s="756"/>
      <c r="L38"/>
      <c r="M38" s="826"/>
      <c r="N38" s="828"/>
      <c r="O38" s="828"/>
      <c r="P38" s="828"/>
      <c r="Q38" s="828"/>
      <c r="R38" s="828"/>
      <c r="S38" s="828"/>
      <c r="T38" s="828"/>
      <c r="U38" s="828"/>
      <c r="V38" s="828"/>
      <c r="W38" s="828"/>
      <c r="X38" s="828"/>
      <c r="Y38" s="828"/>
      <c r="Z38" s="829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579"/>
      <c r="C39" s="807" t="s">
        <v>793</v>
      </c>
      <c r="D39" s="859"/>
      <c r="E39" s="860"/>
      <c r="F39" s="434"/>
      <c r="G39" s="434"/>
      <c r="H39" s="434"/>
      <c r="I39" s="434"/>
      <c r="J39" s="861">
        <f t="shared" ref="J39:J44" si="0">SUM(F39:I39)</f>
        <v>0</v>
      </c>
      <c r="K39" s="567"/>
      <c r="L39"/>
      <c r="M39" s="826"/>
      <c r="N39" s="828"/>
      <c r="O39" s="828"/>
      <c r="P39" s="828"/>
      <c r="Q39" s="828"/>
      <c r="R39" s="828"/>
      <c r="S39" s="828"/>
      <c r="T39" s="828"/>
      <c r="U39" s="828"/>
      <c r="V39" s="828"/>
      <c r="W39" s="828"/>
      <c r="X39" s="828"/>
      <c r="Y39" s="828"/>
      <c r="Z39" s="82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/>
      <c r="B40" s="579"/>
      <c r="C40" s="807" t="s">
        <v>794</v>
      </c>
      <c r="D40" s="859"/>
      <c r="E40" s="860">
        <v>1</v>
      </c>
      <c r="F40" s="434">
        <v>61416.24</v>
      </c>
      <c r="G40" s="434">
        <v>0</v>
      </c>
      <c r="H40" s="434">
        <v>0</v>
      </c>
      <c r="I40" s="434">
        <v>13115.74</v>
      </c>
      <c r="J40" s="861">
        <f t="shared" si="0"/>
        <v>74531.98</v>
      </c>
      <c r="K40" s="567"/>
      <c r="L40"/>
      <c r="M40" s="826"/>
      <c r="N40" s="828"/>
      <c r="O40" s="828"/>
      <c r="P40" s="828"/>
      <c r="Q40" s="828"/>
      <c r="R40" s="828"/>
      <c r="S40" s="828"/>
      <c r="T40" s="828"/>
      <c r="U40" s="828"/>
      <c r="V40" s="828"/>
      <c r="W40" s="828"/>
      <c r="X40" s="828"/>
      <c r="Y40" s="828"/>
      <c r="Z40" s="829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579"/>
      <c r="C41" s="807" t="s">
        <v>795</v>
      </c>
      <c r="D41" s="859"/>
      <c r="E41" s="860"/>
      <c r="F41" s="434"/>
      <c r="G41" s="434"/>
      <c r="H41" s="434"/>
      <c r="I41" s="434"/>
      <c r="J41" s="861">
        <f t="shared" si="0"/>
        <v>0</v>
      </c>
      <c r="K41" s="567"/>
      <c r="L41"/>
      <c r="M41" s="826"/>
      <c r="N41" s="828"/>
      <c r="O41" s="828"/>
      <c r="P41" s="828"/>
      <c r="Q41" s="828"/>
      <c r="R41" s="828"/>
      <c r="S41" s="828"/>
      <c r="T41" s="828"/>
      <c r="U41" s="828"/>
      <c r="V41" s="828"/>
      <c r="W41" s="828"/>
      <c r="X41" s="828"/>
      <c r="Y41" s="828"/>
      <c r="Z41" s="829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579"/>
      <c r="C42" s="807" t="s">
        <v>796</v>
      </c>
      <c r="D42" s="859"/>
      <c r="E42" s="860">
        <v>47</v>
      </c>
      <c r="F42" s="434">
        <v>294287.17</v>
      </c>
      <c r="G42" s="434">
        <v>100484.42</v>
      </c>
      <c r="H42" s="434">
        <v>0</v>
      </c>
      <c r="I42" s="976">
        <f>682612.66-11480.23</f>
        <v>671132.43</v>
      </c>
      <c r="J42" s="861">
        <f t="shared" si="0"/>
        <v>1065904.02</v>
      </c>
      <c r="K42" s="567"/>
      <c r="L42"/>
      <c r="M42" s="826"/>
      <c r="N42" s="828"/>
      <c r="O42" s="828"/>
      <c r="P42" s="828"/>
      <c r="Q42" s="828"/>
      <c r="R42" s="828"/>
      <c r="S42" s="828"/>
      <c r="T42" s="828"/>
      <c r="U42" s="828"/>
      <c r="V42" s="828"/>
      <c r="W42" s="828"/>
      <c r="X42" s="828"/>
      <c r="Y42" s="828"/>
      <c r="Z42" s="829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 s="579"/>
      <c r="C43" s="807" t="s">
        <v>797</v>
      </c>
      <c r="D43" s="859"/>
      <c r="E43" s="860">
        <v>3</v>
      </c>
      <c r="F43" s="434">
        <v>19742.669999999998</v>
      </c>
      <c r="G43" s="434">
        <v>6009.44</v>
      </c>
      <c r="H43" s="434">
        <v>0</v>
      </c>
      <c r="I43" s="434">
        <v>34753.22</v>
      </c>
      <c r="J43" s="861">
        <f t="shared" si="0"/>
        <v>60505.33</v>
      </c>
      <c r="K43" s="567"/>
      <c r="L43"/>
      <c r="M43" s="826"/>
      <c r="N43" s="828"/>
      <c r="O43" s="828"/>
      <c r="P43" s="828"/>
      <c r="Q43" s="828"/>
      <c r="R43" s="828"/>
      <c r="S43" s="828"/>
      <c r="T43" s="828"/>
      <c r="U43" s="828"/>
      <c r="V43" s="828"/>
      <c r="W43" s="828"/>
      <c r="X43" s="828"/>
      <c r="Y43" s="828"/>
      <c r="Z43" s="829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/>
      <c r="B44" s="579"/>
      <c r="C44" s="638" t="s">
        <v>798</v>
      </c>
      <c r="D44" s="862"/>
      <c r="E44" s="863"/>
      <c r="F44" s="405"/>
      <c r="G44" s="405"/>
      <c r="H44" s="405"/>
      <c r="I44" s="405"/>
      <c r="J44" s="861">
        <f t="shared" si="0"/>
        <v>0</v>
      </c>
      <c r="K44" s="567"/>
      <c r="L44"/>
      <c r="M44" s="826"/>
      <c r="N44" s="828"/>
      <c r="O44" s="828"/>
      <c r="P44" s="828"/>
      <c r="Q44" s="828"/>
      <c r="R44" s="828"/>
      <c r="S44" s="828"/>
      <c r="T44" s="828"/>
      <c r="U44" s="828"/>
      <c r="V44" s="828"/>
      <c r="W44" s="828"/>
      <c r="X44" s="828"/>
      <c r="Y44" s="828"/>
      <c r="Z44" s="829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5">
      <c r="A45"/>
      <c r="B45" s="579"/>
      <c r="C45" s="1027" t="s">
        <v>799</v>
      </c>
      <c r="D45" s="1027"/>
      <c r="E45" s="864">
        <f t="shared" ref="E45:J45" si="1">SUM(E39:E44)</f>
        <v>51</v>
      </c>
      <c r="F45" s="864">
        <f t="shared" si="1"/>
        <v>375446.07999999996</v>
      </c>
      <c r="G45" s="864">
        <f t="shared" si="1"/>
        <v>106493.86</v>
      </c>
      <c r="H45" s="864">
        <f t="shared" si="1"/>
        <v>0</v>
      </c>
      <c r="I45" s="864">
        <f t="shared" si="1"/>
        <v>719001.39</v>
      </c>
      <c r="J45" s="864">
        <f t="shared" si="1"/>
        <v>1200941.33</v>
      </c>
      <c r="K45" s="567"/>
      <c r="L45"/>
      <c r="M45" s="826"/>
      <c r="N45" s="828"/>
      <c r="O45" s="828"/>
      <c r="P45" s="828"/>
      <c r="Q45" s="828"/>
      <c r="R45" s="828"/>
      <c r="S45" s="828"/>
      <c r="T45" s="828"/>
      <c r="U45" s="828"/>
      <c r="V45" s="828"/>
      <c r="W45" s="828"/>
      <c r="X45" s="828"/>
      <c r="Y45" s="828"/>
      <c r="Z45" s="829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579"/>
      <c r="C46" s="98"/>
      <c r="D46" s="4"/>
      <c r="E46" s="4"/>
      <c r="F46" s="609"/>
      <c r="G46" s="609"/>
      <c r="H46" s="609"/>
      <c r="I46" s="609"/>
      <c r="J46" s="577"/>
      <c r="K46" s="567"/>
      <c r="L46"/>
      <c r="M46" s="826"/>
      <c r="N46" s="828"/>
      <c r="O46" s="828"/>
      <c r="P46" s="828"/>
      <c r="Q46" s="828"/>
      <c r="R46" s="828"/>
      <c r="S46" s="828"/>
      <c r="T46" s="828"/>
      <c r="U46" s="828"/>
      <c r="V46" s="828"/>
      <c r="W46" s="828"/>
      <c r="X46" s="828"/>
      <c r="Y46" s="828"/>
      <c r="Z46" s="829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">
      <c r="A47"/>
      <c r="B47" s="579"/>
      <c r="C47" s="98"/>
      <c r="D47" s="4"/>
      <c r="E47" s="4"/>
      <c r="F47" s="609"/>
      <c r="G47" s="609"/>
      <c r="H47" s="609"/>
      <c r="I47" s="609"/>
      <c r="J47" s="577"/>
      <c r="K47" s="567"/>
      <c r="L47"/>
      <c r="M47" s="826"/>
      <c r="N47" s="828"/>
      <c r="O47" s="828"/>
      <c r="P47" s="828"/>
      <c r="Q47" s="828"/>
      <c r="R47" s="828"/>
      <c r="S47" s="828"/>
      <c r="T47" s="828"/>
      <c r="U47" s="828"/>
      <c r="V47" s="828"/>
      <c r="W47" s="828"/>
      <c r="X47" s="828"/>
      <c r="Y47" s="828"/>
      <c r="Z47" s="829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">
      <c r="A48"/>
      <c r="B48" s="579"/>
      <c r="C48" s="233" t="s">
        <v>800</v>
      </c>
      <c r="D48" s="4"/>
      <c r="E48" s="4"/>
      <c r="F48" s="609"/>
      <c r="G48" s="609"/>
      <c r="H48" s="609"/>
      <c r="I48" s="609"/>
      <c r="J48" s="577"/>
      <c r="K48" s="567"/>
      <c r="L48"/>
      <c r="M48" s="826"/>
      <c r="N48" s="828"/>
      <c r="O48" s="828"/>
      <c r="P48" s="828"/>
      <c r="Q48" s="828"/>
      <c r="R48" s="828"/>
      <c r="S48" s="828"/>
      <c r="T48" s="828"/>
      <c r="U48" s="828"/>
      <c r="V48" s="828"/>
      <c r="W48" s="828"/>
      <c r="X48" s="828"/>
      <c r="Y48" s="828"/>
      <c r="Z48" s="829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">
      <c r="A49"/>
      <c r="B49" s="579"/>
      <c r="C49" s="233"/>
      <c r="D49" s="4"/>
      <c r="E49" s="4"/>
      <c r="F49" s="609"/>
      <c r="G49" s="609"/>
      <c r="H49" s="609"/>
      <c r="I49" s="609"/>
      <c r="J49" s="577"/>
      <c r="K49" s="567"/>
      <c r="L49"/>
      <c r="M49" s="826"/>
      <c r="N49" s="828"/>
      <c r="O49" s="828"/>
      <c r="P49" s="828"/>
      <c r="Q49" s="828"/>
      <c r="R49" s="828"/>
      <c r="S49" s="828"/>
      <c r="T49" s="828"/>
      <c r="U49" s="828"/>
      <c r="V49" s="828"/>
      <c r="W49" s="828"/>
      <c r="X49" s="828"/>
      <c r="Y49" s="828"/>
      <c r="Z49" s="82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2.9" customHeight="1" x14ac:dyDescent="0.2">
      <c r="A50"/>
      <c r="B50" s="579"/>
      <c r="C50" s="1005" t="s">
        <v>751</v>
      </c>
      <c r="D50" s="1005"/>
      <c r="E50" s="1005"/>
      <c r="F50" s="618" t="s">
        <v>717</v>
      </c>
      <c r="G50" s="609"/>
      <c r="H50" s="609"/>
      <c r="I50" s="609"/>
      <c r="J50" s="577"/>
      <c r="K50" s="567"/>
      <c r="L50"/>
      <c r="M50" s="826"/>
      <c r="N50" s="828"/>
      <c r="O50" s="828"/>
      <c r="P50" s="828"/>
      <c r="Q50" s="828"/>
      <c r="R50" s="828"/>
      <c r="S50" s="828"/>
      <c r="T50" s="828"/>
      <c r="U50" s="828"/>
      <c r="V50" s="828"/>
      <c r="W50" s="828"/>
      <c r="X50" s="828"/>
      <c r="Y50" s="828"/>
      <c r="Z50" s="829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2.9" customHeight="1" x14ac:dyDescent="0.2">
      <c r="B51" s="569"/>
      <c r="C51" s="865" t="s">
        <v>801</v>
      </c>
      <c r="D51" s="866"/>
      <c r="E51" s="866"/>
      <c r="F51" s="959">
        <f>86719.97-1605.5</f>
        <v>85114.47</v>
      </c>
      <c r="G51" s="609"/>
      <c r="H51" s="609"/>
      <c r="I51" s="609"/>
      <c r="J51" s="868"/>
      <c r="K51" s="570"/>
      <c r="M51" s="826"/>
      <c r="N51" s="828"/>
      <c r="O51" s="828"/>
      <c r="P51" s="828"/>
      <c r="Q51" s="828"/>
      <c r="R51" s="828"/>
      <c r="S51" s="828"/>
      <c r="T51" s="828"/>
      <c r="U51" s="828"/>
      <c r="V51" s="828"/>
      <c r="W51" s="828"/>
      <c r="X51" s="828"/>
      <c r="Y51" s="828"/>
      <c r="Z51" s="829"/>
    </row>
    <row r="52" spans="1:256" ht="22.9" customHeight="1" x14ac:dyDescent="0.2">
      <c r="B52" s="569"/>
      <c r="C52" s="865" t="s">
        <v>802</v>
      </c>
      <c r="D52" s="866"/>
      <c r="E52" s="866"/>
      <c r="F52" s="867">
        <v>392600.45</v>
      </c>
      <c r="G52" s="609"/>
      <c r="H52" s="609"/>
      <c r="I52" s="609"/>
      <c r="J52" s="868"/>
      <c r="K52" s="570"/>
      <c r="M52" s="826"/>
      <c r="N52" s="828"/>
      <c r="O52" s="828"/>
      <c r="P52" s="828"/>
      <c r="Q52" s="828"/>
      <c r="R52" s="828"/>
      <c r="S52" s="828"/>
      <c r="T52" s="828"/>
      <c r="U52" s="828"/>
      <c r="V52" s="828"/>
      <c r="W52" s="828"/>
      <c r="X52" s="828"/>
      <c r="Y52" s="828"/>
      <c r="Z52" s="829"/>
    </row>
    <row r="53" spans="1:256" ht="22.9" customHeight="1" x14ac:dyDescent="0.25">
      <c r="B53" s="579"/>
      <c r="C53" s="1028" t="s">
        <v>799</v>
      </c>
      <c r="D53" s="1028"/>
      <c r="E53" s="869"/>
      <c r="F53" s="864">
        <f>SUM(F51:F52)</f>
        <v>477714.92000000004</v>
      </c>
      <c r="G53" s="609"/>
      <c r="H53" s="609"/>
      <c r="I53" s="609"/>
      <c r="J53" s="868"/>
      <c r="K53" s="567"/>
      <c r="M53" s="826"/>
      <c r="N53" s="828"/>
      <c r="O53" s="828"/>
      <c r="P53" s="828"/>
      <c r="Q53" s="828"/>
      <c r="R53" s="828"/>
      <c r="S53" s="828"/>
      <c r="T53" s="828"/>
      <c r="U53" s="828"/>
      <c r="V53" s="828"/>
      <c r="W53" s="828"/>
      <c r="X53" s="828"/>
      <c r="Y53" s="828"/>
      <c r="Z53" s="829"/>
    </row>
    <row r="54" spans="1:256" ht="22.9" customHeight="1" x14ac:dyDescent="0.2">
      <c r="B54" s="579"/>
      <c r="C54" s="98"/>
      <c r="D54" s="4"/>
      <c r="E54" s="4"/>
      <c r="F54" s="609"/>
      <c r="G54" s="609"/>
      <c r="H54" s="609"/>
      <c r="I54" s="609"/>
      <c r="J54" s="868"/>
      <c r="K54" s="567"/>
      <c r="M54" s="826"/>
      <c r="N54" s="828"/>
      <c r="O54" s="828"/>
      <c r="P54" s="828"/>
      <c r="Q54" s="828"/>
      <c r="R54" s="828"/>
      <c r="S54" s="828"/>
      <c r="T54" s="828"/>
      <c r="U54" s="828"/>
      <c r="V54" s="828"/>
      <c r="W54" s="828"/>
      <c r="X54" s="828"/>
      <c r="Y54" s="828"/>
      <c r="Z54" s="829"/>
    </row>
    <row r="55" spans="1:256" ht="22.9" customHeight="1" x14ac:dyDescent="0.2">
      <c r="B55" s="579"/>
      <c r="C55" s="98"/>
      <c r="D55" s="4"/>
      <c r="E55" s="4"/>
      <c r="F55" s="609"/>
      <c r="G55" s="609"/>
      <c r="H55" s="609"/>
      <c r="I55" s="609"/>
      <c r="J55" s="868"/>
      <c r="K55" s="567"/>
      <c r="M55" s="826"/>
      <c r="N55" s="828"/>
      <c r="O55" s="828"/>
      <c r="P55" s="828"/>
      <c r="Q55" s="828"/>
      <c r="R55" s="828"/>
      <c r="S55" s="828"/>
      <c r="T55" s="828"/>
      <c r="U55" s="828"/>
      <c r="V55" s="828"/>
      <c r="W55" s="828"/>
      <c r="X55" s="828"/>
      <c r="Y55" s="828"/>
      <c r="Z55" s="829"/>
    </row>
    <row r="56" spans="1:256" ht="22.9" customHeight="1" x14ac:dyDescent="0.2">
      <c r="B56" s="579"/>
      <c r="C56" s="233" t="s">
        <v>803</v>
      </c>
      <c r="D56" s="4"/>
      <c r="E56" s="4"/>
      <c r="F56" s="609"/>
      <c r="G56" s="609"/>
      <c r="H56" s="609"/>
      <c r="I56" s="609"/>
      <c r="J56" s="577"/>
      <c r="K56" s="567"/>
      <c r="M56" s="826"/>
      <c r="N56" s="828"/>
      <c r="O56" s="828"/>
      <c r="P56" s="828"/>
      <c r="Q56" s="828"/>
      <c r="R56" s="828"/>
      <c r="S56" s="828"/>
      <c r="T56" s="828"/>
      <c r="U56" s="828"/>
      <c r="V56" s="828"/>
      <c r="W56" s="828"/>
      <c r="X56" s="828"/>
      <c r="Y56" s="828"/>
      <c r="Z56" s="829"/>
    </row>
    <row r="57" spans="1:256" ht="22.9" customHeight="1" x14ac:dyDescent="0.2">
      <c r="B57" s="579"/>
      <c r="C57" s="870"/>
      <c r="D57" s="871"/>
      <c r="E57" s="871"/>
      <c r="F57" s="871"/>
      <c r="G57" s="871"/>
      <c r="H57" s="871"/>
      <c r="I57" s="871"/>
      <c r="J57" s="872"/>
      <c r="K57" s="567"/>
      <c r="M57" s="826"/>
      <c r="N57" s="828"/>
      <c r="O57" s="828"/>
      <c r="P57" s="828"/>
      <c r="Q57" s="828"/>
      <c r="R57" s="828"/>
      <c r="S57" s="828"/>
      <c r="T57" s="828"/>
      <c r="U57" s="828"/>
      <c r="V57" s="828"/>
      <c r="W57" s="828"/>
      <c r="X57" s="828"/>
      <c r="Y57" s="828"/>
      <c r="Z57" s="829"/>
    </row>
    <row r="58" spans="1:256" ht="22.9" customHeight="1" x14ac:dyDescent="0.2">
      <c r="B58" s="579"/>
      <c r="C58" s="873"/>
      <c r="D58" s="874"/>
      <c r="E58" s="874"/>
      <c r="F58" s="874"/>
      <c r="G58" s="874"/>
      <c r="H58" s="874"/>
      <c r="I58" s="874"/>
      <c r="J58" s="875"/>
      <c r="K58" s="567"/>
      <c r="M58" s="826"/>
      <c r="N58" s="828"/>
      <c r="O58" s="828"/>
      <c r="P58" s="828"/>
      <c r="Q58" s="828"/>
      <c r="R58" s="828"/>
      <c r="S58" s="828"/>
      <c r="T58" s="828"/>
      <c r="U58" s="828"/>
      <c r="V58" s="828"/>
      <c r="W58" s="828"/>
      <c r="X58" s="828"/>
      <c r="Y58" s="828"/>
      <c r="Z58" s="829"/>
    </row>
    <row r="59" spans="1:256" ht="22.9" customHeight="1" x14ac:dyDescent="0.2">
      <c r="B59" s="579"/>
      <c r="C59" s="873"/>
      <c r="D59" s="874"/>
      <c r="E59" s="874"/>
      <c r="F59" s="874"/>
      <c r="G59" s="874"/>
      <c r="H59" s="874"/>
      <c r="I59" s="874"/>
      <c r="J59" s="875"/>
      <c r="K59" s="567"/>
      <c r="M59" s="826"/>
      <c r="N59" s="828"/>
      <c r="O59" s="828"/>
      <c r="P59" s="828"/>
      <c r="Q59" s="828"/>
      <c r="R59" s="828"/>
      <c r="S59" s="828"/>
      <c r="T59" s="828"/>
      <c r="U59" s="828"/>
      <c r="V59" s="828"/>
      <c r="W59" s="828"/>
      <c r="X59" s="828"/>
      <c r="Y59" s="828"/>
      <c r="Z59" s="829"/>
    </row>
    <row r="60" spans="1:256" ht="22.9" customHeight="1" x14ac:dyDescent="0.2">
      <c r="B60" s="579"/>
      <c r="C60" s="876"/>
      <c r="D60" s="877"/>
      <c r="E60" s="877"/>
      <c r="F60" s="877"/>
      <c r="G60" s="877"/>
      <c r="H60" s="877"/>
      <c r="I60" s="877"/>
      <c r="J60" s="878"/>
      <c r="K60" s="567"/>
      <c r="M60" s="826"/>
      <c r="N60" s="828"/>
      <c r="O60" s="828"/>
      <c r="P60" s="828"/>
      <c r="Q60" s="828"/>
      <c r="R60" s="828"/>
      <c r="S60" s="828"/>
      <c r="T60" s="828"/>
      <c r="U60" s="828"/>
      <c r="V60" s="828"/>
      <c r="W60" s="828"/>
      <c r="X60" s="828"/>
      <c r="Y60" s="828"/>
      <c r="Z60" s="829"/>
    </row>
    <row r="61" spans="1:256" ht="22.9" customHeight="1" x14ac:dyDescent="0.2">
      <c r="B61" s="579"/>
      <c r="C61" s="879"/>
      <c r="D61" s="879"/>
      <c r="E61" s="879"/>
      <c r="F61" s="879"/>
      <c r="G61" s="879"/>
      <c r="H61" s="879"/>
      <c r="I61" s="879"/>
      <c r="J61" s="879"/>
      <c r="K61" s="567"/>
      <c r="M61" s="826"/>
      <c r="N61" s="828"/>
      <c r="O61" s="828"/>
      <c r="P61" s="828"/>
      <c r="Q61" s="828"/>
      <c r="R61" s="828"/>
      <c r="S61" s="828"/>
      <c r="T61" s="828"/>
      <c r="U61" s="828"/>
      <c r="V61" s="828"/>
      <c r="W61" s="828"/>
      <c r="X61" s="828"/>
      <c r="Y61" s="828"/>
      <c r="Z61" s="829"/>
    </row>
    <row r="62" spans="1:256" ht="22.9" customHeight="1" x14ac:dyDescent="0.2">
      <c r="B62" s="579"/>
      <c r="C62" s="880" t="s">
        <v>690</v>
      </c>
      <c r="D62" s="879"/>
      <c r="E62" s="879"/>
      <c r="F62" s="879"/>
      <c r="G62" s="879"/>
      <c r="H62" s="879"/>
      <c r="I62" s="879"/>
      <c r="J62" s="879"/>
      <c r="K62" s="567"/>
      <c r="M62" s="826"/>
      <c r="N62" s="828"/>
      <c r="O62" s="828"/>
      <c r="P62" s="828"/>
      <c r="Q62" s="828"/>
      <c r="R62" s="828"/>
      <c r="S62" s="828"/>
      <c r="T62" s="828"/>
      <c r="U62" s="828"/>
      <c r="V62" s="828"/>
      <c r="W62" s="828"/>
      <c r="X62" s="828"/>
      <c r="Y62" s="828"/>
      <c r="Z62" s="829"/>
    </row>
    <row r="63" spans="1:256" ht="22.9" customHeight="1" x14ac:dyDescent="0.2">
      <c r="B63" s="579"/>
      <c r="C63" s="881" t="s">
        <v>804</v>
      </c>
      <c r="D63" s="879"/>
      <c r="E63" s="879"/>
      <c r="F63" s="879"/>
      <c r="G63" s="879"/>
      <c r="H63" s="879"/>
      <c r="I63" s="879"/>
      <c r="J63" s="879"/>
      <c r="K63" s="567"/>
      <c r="M63" s="826"/>
      <c r="N63" s="828"/>
      <c r="O63" s="828"/>
      <c r="P63" s="828"/>
      <c r="Q63" s="828"/>
      <c r="R63" s="828"/>
      <c r="S63" s="828"/>
      <c r="T63" s="828"/>
      <c r="U63" s="828"/>
      <c r="V63" s="828"/>
      <c r="W63" s="828"/>
      <c r="X63" s="828"/>
      <c r="Y63" s="828"/>
      <c r="Z63" s="829"/>
    </row>
    <row r="64" spans="1:256" ht="22.9" customHeight="1" x14ac:dyDescent="0.2">
      <c r="B64" s="579"/>
      <c r="C64" s="879"/>
      <c r="D64" s="879"/>
      <c r="E64" s="879"/>
      <c r="F64" s="879"/>
      <c r="G64" s="879"/>
      <c r="H64" s="879"/>
      <c r="I64" s="879"/>
      <c r="J64" s="879"/>
      <c r="K64" s="567"/>
      <c r="M64" s="826"/>
      <c r="N64" s="828"/>
      <c r="O64" s="828"/>
      <c r="P64" s="828"/>
      <c r="Q64" s="828"/>
      <c r="R64" s="828"/>
      <c r="S64" s="828"/>
      <c r="T64" s="828"/>
      <c r="U64" s="828"/>
      <c r="V64" s="828"/>
      <c r="W64" s="828"/>
      <c r="X64" s="828"/>
      <c r="Y64" s="828"/>
      <c r="Z64" s="829"/>
    </row>
    <row r="65" spans="2:26" ht="22.9" customHeight="1" x14ac:dyDescent="0.2">
      <c r="B65" s="613"/>
      <c r="C65" s="283"/>
      <c r="D65" s="996"/>
      <c r="E65" s="996"/>
      <c r="F65" s="283"/>
      <c r="G65" s="283"/>
      <c r="H65" s="283"/>
      <c r="I65" s="283"/>
      <c r="J65" s="614"/>
      <c r="K65" s="615"/>
      <c r="M65" s="834"/>
      <c r="N65" s="835"/>
      <c r="O65" s="835"/>
      <c r="P65" s="835"/>
      <c r="Q65" s="835"/>
      <c r="R65" s="835"/>
      <c r="S65" s="835"/>
      <c r="T65" s="835"/>
      <c r="U65" s="835"/>
      <c r="V65" s="835"/>
      <c r="W65" s="835"/>
      <c r="X65" s="835"/>
      <c r="Y65" s="835"/>
      <c r="Z65" s="836"/>
    </row>
    <row r="66" spans="2:26" ht="22.9" customHeight="1" x14ac:dyDescent="0.2">
      <c r="D66" s="556"/>
      <c r="E66" s="556"/>
      <c r="F66" s="566"/>
      <c r="G66" s="566"/>
      <c r="H66" s="566"/>
      <c r="I66" s="566"/>
      <c r="J66" s="566"/>
    </row>
    <row r="67" spans="2:26" ht="15" x14ac:dyDescent="0.2">
      <c r="D67" s="556" t="s">
        <v>55</v>
      </c>
      <c r="E67" s="556"/>
      <c r="F67" s="566"/>
      <c r="G67" s="566"/>
      <c r="H67" s="566"/>
      <c r="I67" s="566"/>
      <c r="J67" s="558" t="s">
        <v>37</v>
      </c>
    </row>
    <row r="68" spans="2:26" ht="15" x14ac:dyDescent="0.2">
      <c r="D68" s="616" t="s">
        <v>57</v>
      </c>
      <c r="E68" s="556"/>
      <c r="F68" s="566"/>
      <c r="G68" s="566"/>
      <c r="H68" s="566"/>
      <c r="I68" s="566"/>
      <c r="J68" s="566"/>
    </row>
    <row r="69" spans="2:26" ht="15" x14ac:dyDescent="0.2">
      <c r="D69" s="616" t="s">
        <v>58</v>
      </c>
      <c r="E69" s="556"/>
      <c r="F69" s="566"/>
      <c r="G69" s="566"/>
      <c r="H69" s="566"/>
      <c r="I69" s="566"/>
      <c r="J69" s="566"/>
    </row>
    <row r="70" spans="2:26" ht="15" x14ac:dyDescent="0.2">
      <c r="D70" s="616" t="s">
        <v>59</v>
      </c>
      <c r="E70" s="556"/>
      <c r="F70" s="566"/>
      <c r="G70" s="566"/>
      <c r="H70" s="566"/>
      <c r="I70" s="566"/>
      <c r="J70" s="566"/>
    </row>
    <row r="71" spans="2:26" ht="15" x14ac:dyDescent="0.2">
      <c r="D71" s="616" t="s">
        <v>60</v>
      </c>
      <c r="E71" s="556"/>
      <c r="F71" s="566"/>
      <c r="G71" s="566"/>
      <c r="H71" s="566"/>
      <c r="I71" s="566"/>
      <c r="J71" s="566"/>
    </row>
  </sheetData>
  <sheetProtection password="E059" sheet="1" objects="1" scenarios="1"/>
  <mergeCells count="10">
    <mergeCell ref="C45:D45"/>
    <mergeCell ref="C50:E50"/>
    <mergeCell ref="C53:D53"/>
    <mergeCell ref="D65:E65"/>
    <mergeCell ref="J6:J7"/>
    <mergeCell ref="E9:J9"/>
    <mergeCell ref="C12:D12"/>
    <mergeCell ref="F36:J36"/>
    <mergeCell ref="C37:D37"/>
    <mergeCell ref="C38:D38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49" firstPageNumber="0" orientation="portrait" horizontalDpi="300" verticalDpi="300" r:id="rId1"/>
  <headerFooter alignWithMargins="0"/>
  <ignoredErrors>
    <ignoredError sqref="I42 F51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1"/>
  <sheetViews>
    <sheetView topLeftCell="A46" zoomScale="70" zoomScaleNormal="70" workbookViewId="0">
      <selection activeCell="G77" sqref="G77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70.21875" style="22" customWidth="1"/>
    <col min="5" max="5" width="15.21875" style="559" customWidth="1"/>
    <col min="6" max="6" width="2.77734375" style="559" customWidth="1"/>
    <col min="7" max="7" width="84.21875" style="559" customWidth="1"/>
    <col min="8" max="8" width="15.21875" style="559" customWidth="1"/>
    <col min="9" max="9" width="3.21875" style="22" customWidth="1"/>
    <col min="10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2"/>
      <c r="I5" s="563"/>
      <c r="J5"/>
      <c r="K5" s="823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4"/>
      <c r="X5" s="82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566"/>
      <c r="H6" s="981">
        <f>ejercicio</f>
        <v>2018</v>
      </c>
      <c r="I6" s="567"/>
      <c r="J6"/>
      <c r="K6" s="826"/>
      <c r="L6" s="827" t="s">
        <v>93</v>
      </c>
      <c r="M6" s="827"/>
      <c r="N6" s="827"/>
      <c r="O6" s="827"/>
      <c r="P6" s="828"/>
      <c r="Q6" s="828"/>
      <c r="R6" s="828"/>
      <c r="S6" s="828"/>
      <c r="T6" s="828"/>
      <c r="U6" s="828"/>
      <c r="V6" s="828"/>
      <c r="W6" s="828"/>
      <c r="X6" s="829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566"/>
      <c r="H7" s="981"/>
      <c r="I7" s="567"/>
      <c r="J7"/>
      <c r="K7" s="826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8"/>
      <c r="W7" s="828"/>
      <c r="X7" s="829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6"/>
      <c r="H8" s="568"/>
      <c r="I8" s="567"/>
      <c r="J8"/>
      <c r="K8" s="826"/>
      <c r="L8" s="828"/>
      <c r="M8" s="828"/>
      <c r="N8" s="828"/>
      <c r="O8" s="828"/>
      <c r="P8" s="828"/>
      <c r="Q8" s="828"/>
      <c r="R8" s="828"/>
      <c r="S8" s="828"/>
      <c r="T8" s="828"/>
      <c r="U8" s="828"/>
      <c r="V8" s="828"/>
      <c r="W8" s="828"/>
      <c r="X8" s="829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995"/>
      <c r="I9" s="570"/>
      <c r="K9" s="826"/>
      <c r="L9" s="828"/>
      <c r="M9" s="828"/>
      <c r="N9" s="828"/>
      <c r="O9" s="828"/>
      <c r="P9" s="828"/>
      <c r="Q9" s="828"/>
      <c r="R9" s="828"/>
      <c r="S9" s="828"/>
      <c r="T9" s="828"/>
      <c r="U9" s="828"/>
      <c r="V9" s="828"/>
      <c r="W9" s="828"/>
      <c r="X9" s="829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6"/>
      <c r="I10" s="567"/>
      <c r="J10"/>
      <c r="K10" s="826"/>
      <c r="L10" s="828"/>
      <c r="M10" s="828"/>
      <c r="N10" s="828"/>
      <c r="O10" s="828"/>
      <c r="P10" s="828"/>
      <c r="Q10" s="828"/>
      <c r="R10" s="828"/>
      <c r="S10" s="828"/>
      <c r="T10" s="828"/>
      <c r="U10" s="828"/>
      <c r="V10" s="828"/>
      <c r="W10" s="828"/>
      <c r="X10" s="829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805</v>
      </c>
      <c r="D11" s="573"/>
      <c r="E11" s="574"/>
      <c r="F11" s="574"/>
      <c r="G11" s="574"/>
      <c r="H11" s="574"/>
      <c r="I11" s="575"/>
      <c r="K11" s="826"/>
      <c r="L11" s="828"/>
      <c r="M11" s="828"/>
      <c r="N11" s="828"/>
      <c r="O11" s="828"/>
      <c r="P11" s="828"/>
      <c r="Q11" s="828"/>
      <c r="R11" s="828"/>
      <c r="S11" s="828"/>
      <c r="T11" s="828"/>
      <c r="U11" s="828"/>
      <c r="V11" s="828"/>
      <c r="W11" s="828"/>
      <c r="X11" s="829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7"/>
      <c r="I12" s="575"/>
      <c r="J12"/>
      <c r="K12" s="826"/>
      <c r="L12" s="828"/>
      <c r="M12" s="828"/>
      <c r="N12" s="828"/>
      <c r="O12" s="828"/>
      <c r="P12" s="828"/>
      <c r="Q12" s="828"/>
      <c r="R12" s="828"/>
      <c r="S12" s="828"/>
      <c r="T12" s="828"/>
      <c r="U12" s="828"/>
      <c r="V12" s="828"/>
      <c r="W12" s="828"/>
      <c r="X12" s="829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8.9" customHeight="1" x14ac:dyDescent="0.2">
      <c r="A13"/>
      <c r="B13" s="579"/>
      <c r="C13" s="1030" t="s">
        <v>806</v>
      </c>
      <c r="D13" s="1030"/>
      <c r="E13" s="1030"/>
      <c r="F13" s="1030"/>
      <c r="G13" s="1030"/>
      <c r="H13" s="1030"/>
      <c r="I13" s="567"/>
      <c r="J13"/>
      <c r="K13" s="826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9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9" customHeight="1" x14ac:dyDescent="0.2">
      <c r="A14"/>
      <c r="B14" s="579"/>
      <c r="C14" s="660"/>
      <c r="D14" s="660"/>
      <c r="E14" s="577"/>
      <c r="F14" s="577"/>
      <c r="G14" s="577"/>
      <c r="H14" s="577"/>
      <c r="I14" s="567"/>
      <c r="J14"/>
      <c r="K14" s="826"/>
      <c r="L14" s="828"/>
      <c r="M14" s="828"/>
      <c r="N14" s="828"/>
      <c r="O14" s="828"/>
      <c r="P14" s="828"/>
      <c r="Q14" s="828"/>
      <c r="R14" s="828"/>
      <c r="S14" s="828"/>
      <c r="T14" s="828"/>
      <c r="U14" s="828"/>
      <c r="V14" s="828"/>
      <c r="W14" s="828"/>
      <c r="X14" s="829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882" customFormat="1" ht="22.9" customHeight="1" x14ac:dyDescent="0.2">
      <c r="B15" s="883"/>
      <c r="C15" s="1005" t="s">
        <v>807</v>
      </c>
      <c r="D15" s="1005"/>
      <c r="E15" s="1005"/>
      <c r="F15" s="868"/>
      <c r="G15" s="1005" t="s">
        <v>808</v>
      </c>
      <c r="H15" s="1005"/>
      <c r="I15" s="884"/>
      <c r="K15" s="826"/>
      <c r="L15" s="828"/>
      <c r="M15" s="828"/>
      <c r="N15" s="828"/>
      <c r="O15" s="828"/>
      <c r="P15" s="828"/>
      <c r="Q15" s="828"/>
      <c r="R15" s="828"/>
      <c r="S15" s="828"/>
      <c r="T15" s="828"/>
      <c r="U15" s="828"/>
      <c r="V15" s="828"/>
      <c r="W15" s="828"/>
      <c r="X15" s="829"/>
    </row>
    <row r="16" spans="1:256" ht="24" customHeight="1" x14ac:dyDescent="0.2">
      <c r="A16" s="882"/>
      <c r="B16" s="883"/>
      <c r="C16" s="1005" t="s">
        <v>661</v>
      </c>
      <c r="D16" s="1005"/>
      <c r="E16" s="618" t="s">
        <v>717</v>
      </c>
      <c r="F16" s="868"/>
      <c r="G16" s="618" t="s">
        <v>661</v>
      </c>
      <c r="H16" s="885" t="s">
        <v>717</v>
      </c>
      <c r="I16" s="884"/>
      <c r="J16"/>
      <c r="K16" s="826"/>
      <c r="L16" s="828"/>
      <c r="M16" s="828"/>
      <c r="N16" s="828"/>
      <c r="O16" s="828"/>
      <c r="P16" s="828"/>
      <c r="Q16" s="828"/>
      <c r="R16" s="828"/>
      <c r="S16" s="828"/>
      <c r="T16" s="828"/>
      <c r="U16" s="828"/>
      <c r="V16" s="828"/>
      <c r="W16" s="828"/>
      <c r="X16" s="829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588" customFormat="1" ht="22.9" customHeight="1" x14ac:dyDescent="0.2">
      <c r="B17" s="579"/>
      <c r="C17" s="886" t="s">
        <v>809</v>
      </c>
      <c r="D17" s="887"/>
      <c r="E17" s="888">
        <v>50050.49</v>
      </c>
      <c r="F17" s="889"/>
      <c r="G17" s="890" t="str">
        <f t="shared" ref="G17:G55" si="0">C17</f>
        <v>CABILDO INSULAR DE TENERIFE</v>
      </c>
      <c r="H17" s="888"/>
      <c r="I17" s="587"/>
      <c r="K17" s="826"/>
      <c r="L17" s="828"/>
      <c r="M17" s="828"/>
      <c r="N17" s="828"/>
      <c r="O17" s="828"/>
      <c r="P17" s="828"/>
      <c r="Q17" s="828"/>
      <c r="R17" s="828"/>
      <c r="S17" s="828"/>
      <c r="T17" s="828"/>
      <c r="U17" s="828"/>
      <c r="V17" s="828"/>
      <c r="W17" s="828"/>
      <c r="X17" s="829"/>
    </row>
    <row r="18" spans="1:256" ht="22.9" customHeight="1" x14ac:dyDescent="0.2">
      <c r="A18" s="588"/>
      <c r="B18" s="579"/>
      <c r="C18" s="891" t="s">
        <v>810</v>
      </c>
      <c r="D18" s="892"/>
      <c r="E18" s="888">
        <v>2915.2</v>
      </c>
      <c r="F18" s="889"/>
      <c r="G18" s="890" t="str">
        <f t="shared" si="0"/>
        <v>O.A. DE MUSEOS Y CENTROS</v>
      </c>
      <c r="H18" s="888"/>
      <c r="I18" s="587"/>
      <c r="J18"/>
      <c r="K18" s="826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8"/>
      <c r="W18" s="828"/>
      <c r="X18" s="829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 s="588"/>
      <c r="B19" s="579"/>
      <c r="C19" s="891" t="s">
        <v>811</v>
      </c>
      <c r="D19" s="892"/>
      <c r="E19" s="888">
        <v>7896</v>
      </c>
      <c r="F19" s="889"/>
      <c r="G19" s="890" t="str">
        <f t="shared" si="0"/>
        <v>O.A. INST. INS. ATENCIÓN SOC. Y SOCIOSAN.</v>
      </c>
      <c r="H19" s="888"/>
      <c r="I19" s="587"/>
      <c r="J19"/>
      <c r="K19" s="826"/>
      <c r="L19" s="828"/>
      <c r="M19" s="828"/>
      <c r="N19" s="828"/>
      <c r="O19" s="828"/>
      <c r="P19" s="828"/>
      <c r="Q19" s="828"/>
      <c r="R19" s="828"/>
      <c r="S19" s="828"/>
      <c r="T19" s="828"/>
      <c r="U19" s="828"/>
      <c r="V19" s="828"/>
      <c r="W19" s="828"/>
      <c r="X19" s="82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 s="588"/>
      <c r="B20" s="579"/>
      <c r="C20" s="891" t="s">
        <v>812</v>
      </c>
      <c r="D20" s="892"/>
      <c r="E20" s="888"/>
      <c r="F20" s="889"/>
      <c r="G20" s="890" t="str">
        <f t="shared" si="0"/>
        <v>O.A. PATRONATO INSULAR DE MUSICA</v>
      </c>
      <c r="H20" s="888"/>
      <c r="I20" s="587"/>
      <c r="J20"/>
      <c r="K20" s="826"/>
      <c r="L20" s="828"/>
      <c r="M20" s="828"/>
      <c r="N20" s="828"/>
      <c r="O20" s="828"/>
      <c r="P20" s="828"/>
      <c r="Q20" s="828"/>
      <c r="R20" s="828"/>
      <c r="S20" s="828"/>
      <c r="T20" s="828"/>
      <c r="U20" s="828"/>
      <c r="V20" s="828"/>
      <c r="W20" s="828"/>
      <c r="X20" s="829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 s="588"/>
      <c r="B21" s="579"/>
      <c r="C21" s="891" t="s">
        <v>813</v>
      </c>
      <c r="D21" s="892"/>
      <c r="E21" s="888"/>
      <c r="F21" s="889"/>
      <c r="G21" s="890" t="str">
        <f t="shared" si="0"/>
        <v>O.A. CONSEJO INSULAR DE AGUAS</v>
      </c>
      <c r="H21" s="888">
        <v>2558337.7200000002</v>
      </c>
      <c r="I21" s="587"/>
      <c r="J21"/>
      <c r="K21" s="826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828"/>
      <c r="W21" s="828"/>
      <c r="X21" s="829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 s="588"/>
      <c r="B22" s="579"/>
      <c r="C22" s="891" t="s">
        <v>814</v>
      </c>
      <c r="D22" s="892"/>
      <c r="E22" s="888"/>
      <c r="F22" s="889"/>
      <c r="G22" s="890" t="str">
        <f t="shared" si="0"/>
        <v>EPEL. BALSAS DE TENERIFE</v>
      </c>
      <c r="H22" s="888"/>
      <c r="I22" s="587"/>
      <c r="J22"/>
      <c r="K22" s="826"/>
      <c r="L22" s="828"/>
      <c r="M22" s="828"/>
      <c r="N22" s="828"/>
      <c r="O22" s="828"/>
      <c r="P22" s="828"/>
      <c r="Q22" s="828"/>
      <c r="R22" s="828"/>
      <c r="S22" s="828"/>
      <c r="T22" s="828"/>
      <c r="U22" s="828"/>
      <c r="V22" s="828"/>
      <c r="W22" s="828"/>
      <c r="X22" s="829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 s="588"/>
      <c r="B23" s="579"/>
      <c r="C23" s="891" t="s">
        <v>815</v>
      </c>
      <c r="D23" s="892"/>
      <c r="E23" s="888"/>
      <c r="F23" s="889"/>
      <c r="G23" s="890" t="str">
        <f t="shared" si="0"/>
        <v>EPEL TEA, TENERFE ESPACIO DE LAS ARTES</v>
      </c>
      <c r="H23" s="888"/>
      <c r="I23" s="587"/>
      <c r="J23"/>
      <c r="K23" s="826"/>
      <c r="L23" s="828"/>
      <c r="M23" s="828"/>
      <c r="N23" s="828"/>
      <c r="O23" s="828"/>
      <c r="P23" s="828"/>
      <c r="Q23" s="828"/>
      <c r="R23" s="828"/>
      <c r="S23" s="828"/>
      <c r="T23" s="828"/>
      <c r="U23" s="828"/>
      <c r="V23" s="828"/>
      <c r="W23" s="828"/>
      <c r="X23" s="829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 s="588"/>
      <c r="B24" s="579"/>
      <c r="C24" s="891" t="s">
        <v>816</v>
      </c>
      <c r="D24" s="892"/>
      <c r="E24" s="888"/>
      <c r="F24" s="889"/>
      <c r="G24" s="890" t="str">
        <f t="shared" si="0"/>
        <v>EPEL AGROTEIDE ENTIDAD INSULAR DESARROLLO AGRICOLA Y GANADERO</v>
      </c>
      <c r="H24" s="888"/>
      <c r="I24" s="587"/>
      <c r="J24"/>
      <c r="K24" s="826"/>
      <c r="L24" s="828"/>
      <c r="M24" s="828"/>
      <c r="N24" s="828"/>
      <c r="O24" s="828"/>
      <c r="P24" s="828"/>
      <c r="Q24" s="828"/>
      <c r="R24" s="828"/>
      <c r="S24" s="828"/>
      <c r="T24" s="828"/>
      <c r="U24" s="828"/>
      <c r="V24" s="828"/>
      <c r="W24" s="828"/>
      <c r="X24" s="829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 s="588"/>
      <c r="B25" s="579"/>
      <c r="C25" s="891" t="s">
        <v>817</v>
      </c>
      <c r="D25" s="892"/>
      <c r="E25" s="888"/>
      <c r="F25" s="889"/>
      <c r="G25" s="890" t="str">
        <f t="shared" si="0"/>
        <v>CASINO DE TAORO, SA</v>
      </c>
      <c r="H25" s="888"/>
      <c r="I25" s="587"/>
      <c r="J25"/>
      <c r="K25" s="826"/>
      <c r="L25" s="828"/>
      <c r="M25" s="828"/>
      <c r="N25" s="828"/>
      <c r="O25" s="828"/>
      <c r="P25" s="828"/>
      <c r="Q25" s="828"/>
      <c r="R25" s="828"/>
      <c r="S25" s="828"/>
      <c r="T25" s="828"/>
      <c r="U25" s="828"/>
      <c r="V25" s="828"/>
      <c r="W25" s="828"/>
      <c r="X25" s="829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 s="588"/>
      <c r="B26" s="579"/>
      <c r="C26" s="891" t="s">
        <v>818</v>
      </c>
      <c r="D26" s="892"/>
      <c r="E26" s="888"/>
      <c r="F26" s="889"/>
      <c r="G26" s="890" t="str">
        <f t="shared" si="0"/>
        <v>CASINO DE PLAYA DE LAS AMÉRICAS, SA</v>
      </c>
      <c r="H26" s="888"/>
      <c r="I26" s="587"/>
      <c r="J26"/>
      <c r="K26" s="826"/>
      <c r="L26" s="828"/>
      <c r="M26" s="828"/>
      <c r="N26" s="828"/>
      <c r="O26" s="828"/>
      <c r="P26" s="828"/>
      <c r="Q26" s="828"/>
      <c r="R26" s="828"/>
      <c r="S26" s="828"/>
      <c r="T26" s="828"/>
      <c r="U26" s="828"/>
      <c r="V26" s="828"/>
      <c r="W26" s="828"/>
      <c r="X26" s="829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 s="588"/>
      <c r="B27" s="579"/>
      <c r="C27" s="891" t="s">
        <v>819</v>
      </c>
      <c r="D27" s="892"/>
      <c r="E27" s="888"/>
      <c r="F27" s="889"/>
      <c r="G27" s="890" t="str">
        <f t="shared" si="0"/>
        <v>CASINO DE SANTA CRUZ, SA</v>
      </c>
      <c r="H27" s="888"/>
      <c r="I27" s="587"/>
      <c r="J27"/>
      <c r="K27" s="826"/>
      <c r="L27" s="828"/>
      <c r="M27" s="828"/>
      <c r="N27" s="828"/>
      <c r="O27" s="828"/>
      <c r="P27" s="828"/>
      <c r="Q27" s="828"/>
      <c r="R27" s="828"/>
      <c r="S27" s="828"/>
      <c r="T27" s="828"/>
      <c r="U27" s="828"/>
      <c r="V27" s="828"/>
      <c r="W27" s="828"/>
      <c r="X27" s="829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 s="588"/>
      <c r="B28" s="579"/>
      <c r="C28" s="891" t="s">
        <v>820</v>
      </c>
      <c r="D28" s="892"/>
      <c r="E28" s="888"/>
      <c r="F28" s="889"/>
      <c r="G28" s="890" t="str">
        <f t="shared" si="0"/>
        <v>INSTIT.FERIAL DE TENERIFE, SA</v>
      </c>
      <c r="H28" s="888"/>
      <c r="I28" s="587"/>
      <c r="J28"/>
      <c r="K28" s="826"/>
      <c r="L28" s="828"/>
      <c r="M28" s="828"/>
      <c r="N28" s="828"/>
      <c r="O28" s="828"/>
      <c r="P28" s="828"/>
      <c r="Q28" s="828"/>
      <c r="R28" s="828"/>
      <c r="S28" s="828"/>
      <c r="T28" s="828"/>
      <c r="U28" s="828"/>
      <c r="V28" s="828"/>
      <c r="W28" s="828"/>
      <c r="X28" s="829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 s="588"/>
      <c r="B29" s="579"/>
      <c r="C29" s="891" t="s">
        <v>821</v>
      </c>
      <c r="D29" s="892"/>
      <c r="E29" s="888"/>
      <c r="F29" s="889"/>
      <c r="G29" s="890" t="str">
        <f t="shared" si="0"/>
        <v>EMPRESA INSULAR DE ARTESANÍA, SA</v>
      </c>
      <c r="H29" s="888"/>
      <c r="I29" s="587"/>
      <c r="J29"/>
      <c r="K29" s="826"/>
      <c r="L29" s="828"/>
      <c r="M29" s="828"/>
      <c r="N29" s="828"/>
      <c r="O29" s="828"/>
      <c r="P29" s="828"/>
      <c r="Q29" s="828"/>
      <c r="R29" s="828"/>
      <c r="S29" s="828"/>
      <c r="T29" s="828"/>
      <c r="U29" s="828"/>
      <c r="V29" s="828"/>
      <c r="W29" s="828"/>
      <c r="X29" s="8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 s="588"/>
      <c r="B30" s="579"/>
      <c r="C30" s="891" t="s">
        <v>822</v>
      </c>
      <c r="D30" s="892"/>
      <c r="E30" s="888"/>
      <c r="F30" s="889"/>
      <c r="G30" s="890" t="str">
        <f t="shared" si="0"/>
        <v>SINPROMI.S.L.</v>
      </c>
      <c r="H30" s="888">
        <v>1095.23</v>
      </c>
      <c r="I30" s="587"/>
      <c r="J30"/>
      <c r="K30" s="826"/>
      <c r="L30" s="828"/>
      <c r="M30" s="828"/>
      <c r="N30" s="828"/>
      <c r="O30" s="828"/>
      <c r="P30" s="828"/>
      <c r="Q30" s="828"/>
      <c r="R30" s="828"/>
      <c r="S30" s="828"/>
      <c r="T30" s="828"/>
      <c r="U30" s="828"/>
      <c r="V30" s="828"/>
      <c r="W30" s="828"/>
      <c r="X30" s="829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 s="588"/>
      <c r="B31" s="579"/>
      <c r="C31" s="891" t="s">
        <v>823</v>
      </c>
      <c r="D31" s="892"/>
      <c r="E31" s="888"/>
      <c r="F31" s="889"/>
      <c r="G31" s="890" t="str">
        <f t="shared" si="0"/>
        <v>AUDITORIO DE TENERIFE, SA</v>
      </c>
      <c r="H31" s="888"/>
      <c r="I31" s="587"/>
      <c r="J31"/>
      <c r="K31" s="826"/>
      <c r="L31" s="828"/>
      <c r="M31" s="828"/>
      <c r="N31" s="828"/>
      <c r="O31" s="828"/>
      <c r="P31" s="828"/>
      <c r="Q31" s="828"/>
      <c r="R31" s="828"/>
      <c r="S31" s="828"/>
      <c r="T31" s="828"/>
      <c r="U31" s="828"/>
      <c r="V31" s="828"/>
      <c r="W31" s="828"/>
      <c r="X31" s="829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 s="588"/>
      <c r="B32" s="579"/>
      <c r="C32" s="891" t="s">
        <v>824</v>
      </c>
      <c r="D32" s="892"/>
      <c r="E32" s="888">
        <v>7268</v>
      </c>
      <c r="F32" s="889"/>
      <c r="G32" s="890" t="str">
        <f t="shared" si="0"/>
        <v>GEST. INS. DEPORTE, CULT.Y OCIO, SA (IDECO)</v>
      </c>
      <c r="H32" s="888"/>
      <c r="I32" s="587"/>
      <c r="J32"/>
      <c r="K32" s="826"/>
      <c r="L32" s="828"/>
      <c r="M32" s="828"/>
      <c r="N32" s="828"/>
      <c r="O32" s="828"/>
      <c r="P32" s="828"/>
      <c r="Q32" s="828"/>
      <c r="R32" s="828"/>
      <c r="S32" s="828"/>
      <c r="T32" s="828"/>
      <c r="U32" s="828"/>
      <c r="V32" s="828"/>
      <c r="W32" s="828"/>
      <c r="X32" s="829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 s="588"/>
      <c r="B33" s="579"/>
      <c r="C33" s="891" t="s">
        <v>825</v>
      </c>
      <c r="D33" s="892"/>
      <c r="E33" s="888"/>
      <c r="F33" s="889"/>
      <c r="G33" s="890" t="str">
        <f t="shared" si="0"/>
        <v>TITSA</v>
      </c>
      <c r="H33" s="888"/>
      <c r="I33" s="587"/>
      <c r="J33"/>
      <c r="K33" s="826"/>
      <c r="L33" s="828"/>
      <c r="M33" s="828"/>
      <c r="N33" s="828"/>
      <c r="O33" s="828"/>
      <c r="P33" s="828"/>
      <c r="Q33" s="828"/>
      <c r="R33" s="828"/>
      <c r="S33" s="828"/>
      <c r="T33" s="828"/>
      <c r="U33" s="828"/>
      <c r="V33" s="828"/>
      <c r="W33" s="828"/>
      <c r="X33" s="829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 s="588"/>
      <c r="B34" s="579"/>
      <c r="C34" s="891" t="s">
        <v>826</v>
      </c>
      <c r="D34" s="892"/>
      <c r="E34" s="888"/>
      <c r="F34" s="889"/>
      <c r="G34" s="890" t="str">
        <f t="shared" si="0"/>
        <v>SPET, TURISMO DE TENERIFE, S.A.</v>
      </c>
      <c r="H34" s="888"/>
      <c r="I34" s="587"/>
      <c r="J34"/>
      <c r="K34" s="826"/>
      <c r="L34" s="828"/>
      <c r="M34" s="828"/>
      <c r="N34" s="828"/>
      <c r="O34" s="828"/>
      <c r="P34" s="828"/>
      <c r="Q34" s="828"/>
      <c r="R34" s="828"/>
      <c r="S34" s="828"/>
      <c r="T34" s="828"/>
      <c r="U34" s="828"/>
      <c r="V34" s="828"/>
      <c r="W34" s="828"/>
      <c r="X34" s="829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 s="588"/>
      <c r="B35" s="579"/>
      <c r="C35" s="891" t="s">
        <v>827</v>
      </c>
      <c r="D35" s="892"/>
      <c r="E35" s="888"/>
      <c r="F35" s="889"/>
      <c r="G35" s="890" t="str">
        <f t="shared" si="0"/>
        <v>INSTITUTO MEDICO TINERFEÑO, S.A. (IMETISA)</v>
      </c>
      <c r="H35" s="888"/>
      <c r="I35" s="587"/>
      <c r="J35"/>
      <c r="K35" s="826"/>
      <c r="L35" s="828"/>
      <c r="M35" s="828"/>
      <c r="N35" s="828"/>
      <c r="O35" s="828"/>
      <c r="P35" s="828"/>
      <c r="Q35" s="828"/>
      <c r="R35" s="828"/>
      <c r="S35" s="828"/>
      <c r="T35" s="828"/>
      <c r="U35" s="828"/>
      <c r="V35" s="828"/>
      <c r="W35" s="828"/>
      <c r="X35" s="829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 s="588"/>
      <c r="B36" s="579"/>
      <c r="C36" s="891" t="s">
        <v>828</v>
      </c>
      <c r="D36" s="892"/>
      <c r="E36" s="888">
        <v>37688.639999999999</v>
      </c>
      <c r="F36" s="889"/>
      <c r="G36" s="890" t="str">
        <f t="shared" si="0"/>
        <v>METROPOLITANO DE TENERIFE, S.A.</v>
      </c>
      <c r="H36" s="888"/>
      <c r="I36" s="587"/>
      <c r="J36"/>
      <c r="K36" s="826"/>
      <c r="L36" s="828"/>
      <c r="M36" s="828"/>
      <c r="N36" s="828"/>
      <c r="O36" s="828"/>
      <c r="P36" s="828"/>
      <c r="Q36" s="828"/>
      <c r="R36" s="828"/>
      <c r="S36" s="828"/>
      <c r="T36" s="828"/>
      <c r="U36" s="828"/>
      <c r="V36" s="828"/>
      <c r="W36" s="828"/>
      <c r="X36" s="829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 s="588"/>
      <c r="B37" s="579"/>
      <c r="C37" s="891" t="s">
        <v>829</v>
      </c>
      <c r="D37" s="892"/>
      <c r="E37" s="888"/>
      <c r="F37" s="889"/>
      <c r="G37" s="890" t="str">
        <f t="shared" si="0"/>
        <v>INST. TECNOL. Y DE ENERGIAS RENOVABLES, S.A. (ITER)</v>
      </c>
      <c r="H37" s="888">
        <v>5568.21</v>
      </c>
      <c r="I37" s="587"/>
      <c r="J37"/>
      <c r="K37" s="826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8"/>
      <c r="W37" s="828"/>
      <c r="X37" s="829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 s="588"/>
      <c r="B38" s="579"/>
      <c r="C38" s="891" t="s">
        <v>830</v>
      </c>
      <c r="D38" s="892"/>
      <c r="E38" s="888">
        <v>18306.14</v>
      </c>
      <c r="F38" s="889"/>
      <c r="G38" s="890" t="str">
        <f t="shared" si="0"/>
        <v>CULTIVOS Y TECNOLOGÍAS AGRARIAS DE TENERIFE, S.A (CULTESA)</v>
      </c>
      <c r="H38" s="888"/>
      <c r="I38" s="587"/>
      <c r="J38"/>
      <c r="K38" s="826"/>
      <c r="L38" s="828"/>
      <c r="M38" s="828"/>
      <c r="N38" s="828"/>
      <c r="O38" s="828"/>
      <c r="P38" s="828"/>
      <c r="Q38" s="828"/>
      <c r="R38" s="828"/>
      <c r="S38" s="828"/>
      <c r="T38" s="828"/>
      <c r="U38" s="828"/>
      <c r="V38" s="828"/>
      <c r="W38" s="828"/>
      <c r="X38" s="829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 s="588"/>
      <c r="B39" s="579"/>
      <c r="C39" s="891" t="s">
        <v>831</v>
      </c>
      <c r="D39" s="892"/>
      <c r="E39" s="888"/>
      <c r="F39" s="889"/>
      <c r="G39" s="890" t="str">
        <f t="shared" si="0"/>
        <v>BUENAVISTA GOLF, S.A.</v>
      </c>
      <c r="H39" s="888"/>
      <c r="I39" s="587"/>
      <c r="J39"/>
      <c r="K39" s="826"/>
      <c r="L39" s="828"/>
      <c r="M39" s="828"/>
      <c r="N39" s="828"/>
      <c r="O39" s="828"/>
      <c r="P39" s="828"/>
      <c r="Q39" s="828"/>
      <c r="R39" s="828"/>
      <c r="S39" s="828"/>
      <c r="T39" s="828"/>
      <c r="U39" s="828"/>
      <c r="V39" s="828"/>
      <c r="W39" s="828"/>
      <c r="X39" s="82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 s="588"/>
      <c r="B40" s="579"/>
      <c r="C40" s="891" t="s">
        <v>832</v>
      </c>
      <c r="D40" s="892"/>
      <c r="E40" s="888">
        <v>4074.47</v>
      </c>
      <c r="F40" s="889"/>
      <c r="G40" s="890" t="str">
        <f t="shared" si="0"/>
        <v>PARQUE CIENTÍFICO Y TECNOLÓGICO DE TENERIFE, S.A.</v>
      </c>
      <c r="H40" s="888"/>
      <c r="I40" s="587"/>
      <c r="J40"/>
      <c r="K40" s="826"/>
      <c r="L40" s="828"/>
      <c r="M40" s="828"/>
      <c r="N40" s="828"/>
      <c r="O40" s="828"/>
      <c r="P40" s="828"/>
      <c r="Q40" s="828"/>
      <c r="R40" s="828"/>
      <c r="S40" s="828"/>
      <c r="T40" s="828"/>
      <c r="U40" s="828"/>
      <c r="V40" s="828"/>
      <c r="W40" s="828"/>
      <c r="X40" s="82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 s="588"/>
      <c r="B41" s="579"/>
      <c r="C41" s="891" t="s">
        <v>833</v>
      </c>
      <c r="D41" s="892"/>
      <c r="E41" s="888"/>
      <c r="F41" s="889"/>
      <c r="G41" s="890" t="str">
        <f t="shared" si="0"/>
        <v>INSTITUTO TECNOLÓGICO Y DE COMUNICACIONES DE TENERIFE, S.L. (IT3)</v>
      </c>
      <c r="H41" s="888"/>
      <c r="I41" s="587"/>
      <c r="J41"/>
      <c r="K41" s="826"/>
      <c r="L41" s="828"/>
      <c r="M41" s="828"/>
      <c r="N41" s="828"/>
      <c r="O41" s="828"/>
      <c r="P41" s="828"/>
      <c r="Q41" s="828"/>
      <c r="R41" s="828"/>
      <c r="S41" s="828"/>
      <c r="T41" s="828"/>
      <c r="U41" s="828"/>
      <c r="V41" s="828"/>
      <c r="W41" s="828"/>
      <c r="X41" s="829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 s="588"/>
      <c r="B42" s="579"/>
      <c r="C42" s="891" t="s">
        <v>834</v>
      </c>
      <c r="D42" s="892"/>
      <c r="E42" s="888"/>
      <c r="F42" s="889"/>
      <c r="G42" s="890" t="str">
        <f t="shared" si="0"/>
        <v>INSTITUTO VULCANOLÓGICO DE CANARIAS S.A.</v>
      </c>
      <c r="H42" s="888"/>
      <c r="I42" s="587"/>
      <c r="J42"/>
      <c r="K42" s="826"/>
      <c r="L42" s="828"/>
      <c r="M42" s="828"/>
      <c r="N42" s="828"/>
      <c r="O42" s="828"/>
      <c r="P42" s="828"/>
      <c r="Q42" s="828"/>
      <c r="R42" s="828"/>
      <c r="S42" s="828"/>
      <c r="T42" s="828"/>
      <c r="U42" s="828"/>
      <c r="V42" s="828"/>
      <c r="W42" s="828"/>
      <c r="X42" s="829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 s="588"/>
      <c r="B43" s="579"/>
      <c r="C43" s="891" t="s">
        <v>835</v>
      </c>
      <c r="D43" s="892"/>
      <c r="E43" s="888"/>
      <c r="F43" s="889"/>
      <c r="G43" s="890" t="str">
        <f t="shared" si="0"/>
        <v>CANARIAS SUBMARINE LINK, S.L. (Canalink)</v>
      </c>
      <c r="H43" s="888"/>
      <c r="I43" s="587"/>
      <c r="J43"/>
      <c r="K43" s="826"/>
      <c r="L43" s="828"/>
      <c r="M43" s="828"/>
      <c r="N43" s="828"/>
      <c r="O43" s="828"/>
      <c r="P43" s="828"/>
      <c r="Q43" s="828"/>
      <c r="R43" s="828"/>
      <c r="S43" s="828"/>
      <c r="T43" s="828"/>
      <c r="U43" s="828"/>
      <c r="V43" s="828"/>
      <c r="W43" s="828"/>
      <c r="X43" s="829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 s="588"/>
      <c r="B44" s="579"/>
      <c r="C44" s="891" t="s">
        <v>836</v>
      </c>
      <c r="D44" s="892"/>
      <c r="E44" s="888"/>
      <c r="F44" s="889"/>
      <c r="G44" s="890" t="str">
        <f t="shared" si="0"/>
        <v>CANALINK AFRICA, S.L.</v>
      </c>
      <c r="H44" s="888"/>
      <c r="I44" s="587"/>
      <c r="J44"/>
      <c r="K44" s="826"/>
      <c r="L44" s="828"/>
      <c r="M44" s="828"/>
      <c r="N44" s="828"/>
      <c r="O44" s="828"/>
      <c r="P44" s="828"/>
      <c r="Q44" s="828"/>
      <c r="R44" s="828"/>
      <c r="S44" s="828"/>
      <c r="T44" s="828"/>
      <c r="U44" s="828"/>
      <c r="V44" s="828"/>
      <c r="W44" s="828"/>
      <c r="X44" s="829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 s="588"/>
      <c r="B45" s="579"/>
      <c r="C45" s="891" t="s">
        <v>837</v>
      </c>
      <c r="D45" s="892"/>
      <c r="E45" s="888"/>
      <c r="F45" s="889"/>
      <c r="G45" s="890" t="str">
        <f t="shared" si="0"/>
        <v>CANALINK BAHARICOM, S.L.</v>
      </c>
      <c r="H45" s="888"/>
      <c r="I45" s="587"/>
      <c r="J45"/>
      <c r="K45" s="826"/>
      <c r="L45" s="828"/>
      <c r="M45" s="828"/>
      <c r="N45" s="828"/>
      <c r="O45" s="828"/>
      <c r="P45" s="828"/>
      <c r="Q45" s="828"/>
      <c r="R45" s="828"/>
      <c r="S45" s="828"/>
      <c r="T45" s="828"/>
      <c r="U45" s="828"/>
      <c r="V45" s="828"/>
      <c r="W45" s="828"/>
      <c r="X45" s="829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 s="588"/>
      <c r="B46" s="579"/>
      <c r="C46" s="891" t="s">
        <v>838</v>
      </c>
      <c r="D46" s="892"/>
      <c r="E46" s="888"/>
      <c r="F46" s="889"/>
      <c r="G46" s="890" t="str">
        <f t="shared" si="0"/>
        <v>GESTIÓN INSULAR DE AGUAS DE TENERIFE, S.A. (GESTA)</v>
      </c>
      <c r="H46" s="888"/>
      <c r="I46" s="587"/>
      <c r="J46"/>
      <c r="K46" s="826"/>
      <c r="L46" s="828"/>
      <c r="M46" s="828"/>
      <c r="N46" s="828"/>
      <c r="O46" s="828"/>
      <c r="P46" s="828"/>
      <c r="Q46" s="828"/>
      <c r="R46" s="828"/>
      <c r="S46" s="828"/>
      <c r="T46" s="828"/>
      <c r="U46" s="828"/>
      <c r="V46" s="828"/>
      <c r="W46" s="828"/>
      <c r="X46" s="829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">
      <c r="A47" s="588"/>
      <c r="B47" s="579"/>
      <c r="C47" s="891" t="s">
        <v>839</v>
      </c>
      <c r="D47" s="892"/>
      <c r="E47" s="888"/>
      <c r="F47" s="889"/>
      <c r="G47" s="890" t="str">
        <f t="shared" si="0"/>
        <v>FUNDACION TENERIFE RURAL</v>
      </c>
      <c r="H47" s="888"/>
      <c r="I47" s="587"/>
      <c r="J47"/>
      <c r="K47" s="826"/>
      <c r="L47" s="828"/>
      <c r="M47" s="828"/>
      <c r="N47" s="828"/>
      <c r="O47" s="828"/>
      <c r="P47" s="828"/>
      <c r="Q47" s="828"/>
      <c r="R47" s="828"/>
      <c r="S47" s="828"/>
      <c r="T47" s="828"/>
      <c r="U47" s="828"/>
      <c r="V47" s="828"/>
      <c r="W47" s="828"/>
      <c r="X47" s="829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">
      <c r="A48" s="588"/>
      <c r="B48" s="579"/>
      <c r="C48" s="891" t="s">
        <v>840</v>
      </c>
      <c r="D48" s="892"/>
      <c r="E48" s="888"/>
      <c r="F48" s="889"/>
      <c r="G48" s="890" t="str">
        <f t="shared" si="0"/>
        <v>FUNDACIÓN  ITB</v>
      </c>
      <c r="H48" s="888"/>
      <c r="I48" s="587"/>
      <c r="J48"/>
      <c r="K48" s="826"/>
      <c r="L48" s="828"/>
      <c r="M48" s="828"/>
      <c r="N48" s="828"/>
      <c r="O48" s="828"/>
      <c r="P48" s="828"/>
      <c r="Q48" s="828"/>
      <c r="R48" s="828"/>
      <c r="S48" s="828"/>
      <c r="T48" s="828"/>
      <c r="U48" s="828"/>
      <c r="V48" s="828"/>
      <c r="W48" s="828"/>
      <c r="X48" s="829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">
      <c r="A49" s="588"/>
      <c r="B49" s="579"/>
      <c r="C49" s="891" t="s">
        <v>841</v>
      </c>
      <c r="D49" s="892"/>
      <c r="E49" s="888"/>
      <c r="F49" s="889"/>
      <c r="G49" s="890" t="str">
        <f t="shared" si="0"/>
        <v>FIFEDE</v>
      </c>
      <c r="H49" s="888"/>
      <c r="I49" s="587"/>
      <c r="J49"/>
      <c r="K49" s="826"/>
      <c r="L49" s="828"/>
      <c r="M49" s="828"/>
      <c r="N49" s="828"/>
      <c r="O49" s="828"/>
      <c r="P49" s="828"/>
      <c r="Q49" s="828"/>
      <c r="R49" s="828"/>
      <c r="S49" s="828"/>
      <c r="T49" s="828"/>
      <c r="U49" s="828"/>
      <c r="V49" s="828"/>
      <c r="W49" s="828"/>
      <c r="X49" s="82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2.9" customHeight="1" x14ac:dyDescent="0.2">
      <c r="A50" s="588"/>
      <c r="B50" s="579"/>
      <c r="C50" s="891" t="s">
        <v>842</v>
      </c>
      <c r="D50" s="892"/>
      <c r="E50" s="888"/>
      <c r="F50" s="889"/>
      <c r="G50" s="890" t="str">
        <f t="shared" si="0"/>
        <v>AGENCIA INSULAR DE LA ENERGIA</v>
      </c>
      <c r="H50" s="888"/>
      <c r="I50" s="587"/>
      <c r="J50"/>
      <c r="K50" s="826"/>
      <c r="L50" s="828"/>
      <c r="M50" s="828"/>
      <c r="N50" s="828"/>
      <c r="O50" s="828"/>
      <c r="P50" s="828"/>
      <c r="Q50" s="828"/>
      <c r="R50" s="828"/>
      <c r="S50" s="828"/>
      <c r="T50" s="828"/>
      <c r="U50" s="828"/>
      <c r="V50" s="828"/>
      <c r="W50" s="828"/>
      <c r="X50" s="829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2.9" customHeight="1" x14ac:dyDescent="0.2">
      <c r="A51" s="588"/>
      <c r="B51" s="579"/>
      <c r="C51" s="891" t="s">
        <v>843</v>
      </c>
      <c r="D51" s="892"/>
      <c r="E51" s="888"/>
      <c r="F51" s="889"/>
      <c r="G51" s="890" t="str">
        <f t="shared" si="0"/>
        <v>FUNDACIÓN CANARIAS FACTORÍA DE LA INNOVACIÓN TURÍSTICA</v>
      </c>
      <c r="H51" s="888"/>
      <c r="I51" s="587"/>
      <c r="J51"/>
      <c r="K51" s="826"/>
      <c r="L51" s="828"/>
      <c r="M51" s="828"/>
      <c r="N51" s="828"/>
      <c r="O51" s="828"/>
      <c r="P51" s="828"/>
      <c r="Q51" s="828"/>
      <c r="R51" s="828"/>
      <c r="S51" s="828"/>
      <c r="T51" s="828"/>
      <c r="U51" s="828"/>
      <c r="V51" s="828"/>
      <c r="W51" s="828"/>
      <c r="X51" s="829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2.9" customHeight="1" x14ac:dyDescent="0.2">
      <c r="A52" s="588"/>
      <c r="B52" s="579"/>
      <c r="C52" s="891" t="s">
        <v>844</v>
      </c>
      <c r="D52" s="892"/>
      <c r="E52" s="888"/>
      <c r="F52" s="889"/>
      <c r="G52" s="890" t="str">
        <f t="shared" si="0"/>
        <v>CONSORCIO PREVENSIÓN, EXTINCIÓN INCENDIOS Y SALVAMENTO DE LA ISLA DE TENERIFE</v>
      </c>
      <c r="H52" s="888"/>
      <c r="I52" s="587"/>
      <c r="J52"/>
      <c r="K52" s="826"/>
      <c r="L52" s="828"/>
      <c r="M52" s="828"/>
      <c r="N52" s="828"/>
      <c r="O52" s="828"/>
      <c r="P52" s="828"/>
      <c r="Q52" s="828"/>
      <c r="R52" s="828"/>
      <c r="S52" s="828"/>
      <c r="T52" s="828"/>
      <c r="U52" s="828"/>
      <c r="V52" s="828"/>
      <c r="W52" s="828"/>
      <c r="X52" s="829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2.9" customHeight="1" x14ac:dyDescent="0.2">
      <c r="A53" s="588"/>
      <c r="B53" s="579"/>
      <c r="C53" s="891" t="s">
        <v>845</v>
      </c>
      <c r="D53" s="892"/>
      <c r="E53" s="888"/>
      <c r="F53" s="889"/>
      <c r="G53" s="890" t="str">
        <f t="shared" si="0"/>
        <v>CONSORCIO DE TRIBUTOS DE LA ISLA DE TENERIFE</v>
      </c>
      <c r="H53" s="888">
        <v>8815.67</v>
      </c>
      <c r="I53" s="587"/>
      <c r="J53"/>
      <c r="K53" s="826"/>
      <c r="L53" s="828"/>
      <c r="M53" s="828"/>
      <c r="N53" s="828"/>
      <c r="O53" s="828"/>
      <c r="P53" s="828"/>
      <c r="Q53" s="828"/>
      <c r="R53" s="828"/>
      <c r="S53" s="828"/>
      <c r="T53" s="828"/>
      <c r="U53" s="828"/>
      <c r="V53" s="828"/>
      <c r="W53" s="828"/>
      <c r="X53" s="829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2.9" customHeight="1" x14ac:dyDescent="0.2">
      <c r="A54" s="588"/>
      <c r="B54" s="579"/>
      <c r="C54" s="891" t="s">
        <v>846</v>
      </c>
      <c r="D54" s="892"/>
      <c r="E54" s="888"/>
      <c r="F54" s="889"/>
      <c r="G54" s="890" t="str">
        <f t="shared" si="0"/>
        <v>CONSORCIO ISLA BAJA</v>
      </c>
      <c r="H54" s="888"/>
      <c r="I54" s="587"/>
      <c r="J54"/>
      <c r="K54" s="826"/>
      <c r="L54" s="828"/>
      <c r="M54" s="828"/>
      <c r="N54" s="828"/>
      <c r="O54" s="828"/>
      <c r="P54" s="828"/>
      <c r="Q54" s="828"/>
      <c r="R54" s="828"/>
      <c r="S54" s="828"/>
      <c r="T54" s="828"/>
      <c r="U54" s="828"/>
      <c r="V54" s="828"/>
      <c r="W54" s="828"/>
      <c r="X54" s="829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2.9" customHeight="1" x14ac:dyDescent="0.2">
      <c r="A55" s="588"/>
      <c r="B55" s="579"/>
      <c r="C55" s="893" t="s">
        <v>847</v>
      </c>
      <c r="D55" s="894"/>
      <c r="E55" s="895"/>
      <c r="F55" s="889"/>
      <c r="G55" s="890" t="str">
        <f t="shared" si="0"/>
        <v>CONSORCIO URBANÍSTICO PARA LA REHABILITACIÓN DEL PTO. DE LA CRUZ</v>
      </c>
      <c r="H55" s="895"/>
      <c r="I55" s="587"/>
      <c r="J55"/>
      <c r="K55" s="826"/>
      <c r="L55" s="828"/>
      <c r="M55" s="828"/>
      <c r="N55" s="828"/>
      <c r="O55" s="828"/>
      <c r="P55" s="828"/>
      <c r="Q55" s="828"/>
      <c r="R55" s="828"/>
      <c r="S55" s="828"/>
      <c r="T55" s="828"/>
      <c r="U55" s="828"/>
      <c r="V55" s="828"/>
      <c r="W55" s="828"/>
      <c r="X55" s="829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2.9" customHeight="1" x14ac:dyDescent="0.2">
      <c r="B56" s="569"/>
      <c r="C56" s="1022" t="s">
        <v>732</v>
      </c>
      <c r="D56" s="1022"/>
      <c r="E56" s="646">
        <f>SUM(E17:E55)</f>
        <v>128198.94</v>
      </c>
      <c r="F56" s="868"/>
      <c r="G56" s="896" t="s">
        <v>732</v>
      </c>
      <c r="H56" s="646">
        <f>SUM(H17:H55)</f>
        <v>2573816.83</v>
      </c>
      <c r="I56" s="570"/>
      <c r="K56" s="826"/>
      <c r="L56" s="828"/>
      <c r="M56" s="828"/>
      <c r="N56" s="828"/>
      <c r="O56" s="828"/>
      <c r="P56" s="828"/>
      <c r="Q56" s="828"/>
      <c r="R56" s="828"/>
      <c r="S56" s="828"/>
      <c r="T56" s="828"/>
      <c r="U56" s="828"/>
      <c r="V56" s="828"/>
      <c r="W56" s="828"/>
      <c r="X56" s="829"/>
    </row>
    <row r="57" spans="1:256" ht="22.9" customHeight="1" x14ac:dyDescent="0.2">
      <c r="A57"/>
      <c r="B57" s="579"/>
      <c r="C57" s="4"/>
      <c r="D57" s="4"/>
      <c r="E57" s="609"/>
      <c r="F57" s="577"/>
      <c r="G57" s="609"/>
      <c r="H57" s="577"/>
      <c r="I57" s="567"/>
      <c r="J57"/>
      <c r="K57" s="826"/>
      <c r="L57" s="828"/>
      <c r="M57" s="828"/>
      <c r="N57" s="828"/>
      <c r="O57" s="828"/>
      <c r="P57" s="828"/>
      <c r="Q57" s="828"/>
      <c r="R57" s="828"/>
      <c r="S57" s="828"/>
      <c r="T57" s="828"/>
      <c r="U57" s="828"/>
      <c r="V57" s="828"/>
      <c r="W57" s="828"/>
      <c r="X57" s="829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2.9" customHeight="1" x14ac:dyDescent="0.2">
      <c r="A58"/>
      <c r="B58" s="579"/>
      <c r="C58" s="1030" t="s">
        <v>848</v>
      </c>
      <c r="D58" s="1030"/>
      <c r="E58" s="1030"/>
      <c r="F58" s="1030"/>
      <c r="G58" s="1030"/>
      <c r="H58" s="1030"/>
      <c r="I58" s="567"/>
      <c r="J58"/>
      <c r="K58" s="826"/>
      <c r="L58" s="828"/>
      <c r="M58" s="828"/>
      <c r="N58" s="828"/>
      <c r="O58" s="828"/>
      <c r="P58" s="828"/>
      <c r="Q58" s="828"/>
      <c r="R58" s="828"/>
      <c r="S58" s="828"/>
      <c r="T58" s="828"/>
      <c r="U58" s="828"/>
      <c r="V58" s="828"/>
      <c r="W58" s="828"/>
      <c r="X58" s="829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556" customFormat="1" ht="9" customHeight="1" x14ac:dyDescent="0.2">
      <c r="B59" s="579"/>
      <c r="C59" s="98"/>
      <c r="D59" s="98"/>
      <c r="E59" s="98"/>
      <c r="F59" s="98"/>
      <c r="G59" s="98"/>
      <c r="H59" s="98"/>
      <c r="I59" s="567"/>
      <c r="K59" s="826"/>
      <c r="L59" s="828"/>
      <c r="M59" s="828"/>
      <c r="N59" s="828"/>
      <c r="O59" s="828"/>
      <c r="P59" s="828"/>
      <c r="Q59" s="828"/>
      <c r="R59" s="828"/>
      <c r="S59" s="828"/>
      <c r="T59" s="828"/>
      <c r="U59" s="828"/>
      <c r="V59" s="828"/>
      <c r="W59" s="828"/>
      <c r="X59" s="829"/>
    </row>
    <row r="60" spans="1:256" ht="22.9" customHeight="1" x14ac:dyDescent="0.2">
      <c r="A60"/>
      <c r="B60" s="579"/>
      <c r="C60" s="1030" t="s">
        <v>806</v>
      </c>
      <c r="D60" s="1030"/>
      <c r="E60" s="1030"/>
      <c r="F60" s="1030"/>
      <c r="G60" s="1030"/>
      <c r="H60" s="1030"/>
      <c r="I60" s="567"/>
      <c r="J60"/>
      <c r="K60" s="826"/>
      <c r="L60" s="828"/>
      <c r="M60" s="828"/>
      <c r="N60" s="828"/>
      <c r="O60" s="828"/>
      <c r="P60" s="828"/>
      <c r="Q60" s="828"/>
      <c r="R60" s="828"/>
      <c r="S60" s="828"/>
      <c r="T60" s="828"/>
      <c r="U60" s="828"/>
      <c r="V60" s="828"/>
      <c r="W60" s="828"/>
      <c r="X60" s="829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556" customFormat="1" ht="9" customHeight="1" x14ac:dyDescent="0.2">
      <c r="B61" s="579"/>
      <c r="C61" s="98"/>
      <c r="D61" s="98"/>
      <c r="E61" s="98"/>
      <c r="F61" s="98"/>
      <c r="G61" s="98"/>
      <c r="H61" s="98"/>
      <c r="I61" s="567"/>
      <c r="K61" s="826"/>
      <c r="L61" s="828"/>
      <c r="M61" s="828"/>
      <c r="N61" s="828"/>
      <c r="O61" s="828"/>
      <c r="P61" s="828"/>
      <c r="Q61" s="828"/>
      <c r="R61" s="828"/>
      <c r="S61" s="828"/>
      <c r="T61" s="828"/>
      <c r="U61" s="828"/>
      <c r="V61" s="828"/>
      <c r="W61" s="828"/>
      <c r="X61" s="829"/>
    </row>
    <row r="62" spans="1:256" ht="22.9" customHeight="1" x14ac:dyDescent="0.2">
      <c r="A62"/>
      <c r="B62" s="579"/>
      <c r="C62" s="1005" t="s">
        <v>807</v>
      </c>
      <c r="D62" s="1005"/>
      <c r="E62" s="1005"/>
      <c r="F62" s="868"/>
      <c r="G62" s="1005" t="s">
        <v>808</v>
      </c>
      <c r="H62" s="1005"/>
      <c r="I62" s="567"/>
      <c r="J62"/>
      <c r="K62" s="826"/>
      <c r="L62" s="828"/>
      <c r="M62" s="828"/>
      <c r="N62" s="828"/>
      <c r="O62" s="828"/>
      <c r="P62" s="828"/>
      <c r="Q62" s="828"/>
      <c r="R62" s="828"/>
      <c r="S62" s="828"/>
      <c r="T62" s="828"/>
      <c r="U62" s="828"/>
      <c r="V62" s="828"/>
      <c r="W62" s="828"/>
      <c r="X62" s="829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2.9" customHeight="1" x14ac:dyDescent="0.2">
      <c r="A63"/>
      <c r="B63" s="579"/>
      <c r="C63" s="1005" t="s">
        <v>661</v>
      </c>
      <c r="D63" s="1005"/>
      <c r="E63" s="618" t="s">
        <v>717</v>
      </c>
      <c r="F63" s="868"/>
      <c r="G63" s="618" t="s">
        <v>661</v>
      </c>
      <c r="H63" s="885" t="s">
        <v>717</v>
      </c>
      <c r="I63" s="567"/>
      <c r="J63"/>
      <c r="K63" s="826"/>
      <c r="L63" s="828"/>
      <c r="M63" s="828"/>
      <c r="N63" s="828"/>
      <c r="O63" s="828"/>
      <c r="P63" s="828"/>
      <c r="Q63" s="828"/>
      <c r="R63" s="828"/>
      <c r="S63" s="828"/>
      <c r="T63" s="828"/>
      <c r="U63" s="828"/>
      <c r="V63" s="828"/>
      <c r="W63" s="828"/>
      <c r="X63" s="829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2.9" customHeight="1" x14ac:dyDescent="0.2">
      <c r="A64"/>
      <c r="B64" s="579"/>
      <c r="C64" s="886" t="s">
        <v>849</v>
      </c>
      <c r="D64" s="887"/>
      <c r="E64" s="888"/>
      <c r="F64" s="889"/>
      <c r="G64" s="890" t="str">
        <f>C64</f>
        <v>A.M.C. POLÍGONO INDUSTRIAL DE GÜIMAR</v>
      </c>
      <c r="H64" s="888"/>
      <c r="I64" s="567"/>
      <c r="J64"/>
      <c r="K64" s="826"/>
      <c r="L64" s="828"/>
      <c r="M64" s="828"/>
      <c r="N64" s="828"/>
      <c r="O64" s="828"/>
      <c r="P64" s="828"/>
      <c r="Q64" s="828"/>
      <c r="R64" s="828"/>
      <c r="S64" s="828"/>
      <c r="T64" s="828"/>
      <c r="U64" s="828"/>
      <c r="V64" s="828"/>
      <c r="W64" s="828"/>
      <c r="X64" s="829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2.9" customHeight="1" x14ac:dyDescent="0.2">
      <c r="A65"/>
      <c r="B65" s="579"/>
      <c r="C65" s="891" t="s">
        <v>850</v>
      </c>
      <c r="D65" s="892"/>
      <c r="E65" s="888"/>
      <c r="F65" s="889"/>
      <c r="G65" s="890" t="str">
        <f>C65</f>
        <v>MERCATENERIFE, S.A.</v>
      </c>
      <c r="H65" s="888"/>
      <c r="I65" s="567"/>
      <c r="J65"/>
      <c r="K65" s="826"/>
      <c r="L65" s="828"/>
      <c r="M65" s="828"/>
      <c r="N65" s="828"/>
      <c r="O65" s="828"/>
      <c r="P65" s="828"/>
      <c r="Q65" s="828"/>
      <c r="R65" s="828"/>
      <c r="S65" s="828"/>
      <c r="T65" s="828"/>
      <c r="U65" s="828"/>
      <c r="V65" s="828"/>
      <c r="W65" s="828"/>
      <c r="X65" s="829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2.9" customHeight="1" x14ac:dyDescent="0.2">
      <c r="A66"/>
      <c r="B66" s="579"/>
      <c r="C66" s="891" t="s">
        <v>851</v>
      </c>
      <c r="D66" s="892"/>
      <c r="E66" s="888"/>
      <c r="F66" s="889"/>
      <c r="G66" s="890" t="str">
        <f>C66</f>
        <v>POLÍGONO INDUSTRIAL DE GRANADILLA-PARQUE TECNOLÓGICO DE TENERIFE, S.A.</v>
      </c>
      <c r="H66" s="888"/>
      <c r="I66" s="567"/>
      <c r="J66"/>
      <c r="K66" s="826"/>
      <c r="L66" s="828"/>
      <c r="M66" s="828"/>
      <c r="N66" s="828"/>
      <c r="O66" s="828"/>
      <c r="P66" s="828"/>
      <c r="Q66" s="828"/>
      <c r="R66" s="828"/>
      <c r="S66" s="828"/>
      <c r="T66" s="828"/>
      <c r="U66" s="828"/>
      <c r="V66" s="828"/>
      <c r="W66" s="828"/>
      <c r="X66" s="829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2.9" customHeight="1" x14ac:dyDescent="0.2">
      <c r="A67"/>
      <c r="B67" s="579"/>
      <c r="C67" s="891" t="s">
        <v>852</v>
      </c>
      <c r="D67" s="892"/>
      <c r="E67" s="888"/>
      <c r="F67" s="889"/>
      <c r="G67" s="890" t="str">
        <f>C67</f>
        <v>PARQUES EÓLICOS DE GRANADILLA, A.I.E.</v>
      </c>
      <c r="H67" s="888"/>
      <c r="I67" s="567"/>
      <c r="J67"/>
      <c r="K67" s="826"/>
      <c r="L67" s="828"/>
      <c r="M67" s="828"/>
      <c r="N67" s="828"/>
      <c r="O67" s="828"/>
      <c r="P67" s="828"/>
      <c r="Q67" s="828"/>
      <c r="R67" s="828"/>
      <c r="S67" s="828"/>
      <c r="T67" s="828"/>
      <c r="U67" s="828"/>
      <c r="V67" s="828"/>
      <c r="W67" s="828"/>
      <c r="X67" s="829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2.9" customHeight="1" x14ac:dyDescent="0.2">
      <c r="A68"/>
      <c r="B68" s="579"/>
      <c r="C68" s="891" t="s">
        <v>853</v>
      </c>
      <c r="D68" s="892"/>
      <c r="E68" s="888"/>
      <c r="F68" s="889"/>
      <c r="G68" s="890" t="str">
        <f>C68</f>
        <v>EÓLICAS DE TENERIFE, A.I.E.</v>
      </c>
      <c r="H68" s="888"/>
      <c r="I68" s="567"/>
      <c r="J68"/>
      <c r="K68" s="826"/>
      <c r="L68" s="828"/>
      <c r="M68" s="828"/>
      <c r="N68" s="828"/>
      <c r="O68" s="828"/>
      <c r="P68" s="828"/>
      <c r="Q68" s="828"/>
      <c r="R68" s="828"/>
      <c r="S68" s="828"/>
      <c r="T68" s="828"/>
      <c r="U68" s="828"/>
      <c r="V68" s="828"/>
      <c r="W68" s="828"/>
      <c r="X68" s="829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2.9" customHeight="1" x14ac:dyDescent="0.2">
      <c r="B69" s="569"/>
      <c r="C69" s="1022" t="s">
        <v>732</v>
      </c>
      <c r="D69" s="1022"/>
      <c r="E69" s="646">
        <f>SUM(E64:E68)</f>
        <v>0</v>
      </c>
      <c r="F69" s="868"/>
      <c r="G69" s="896" t="s">
        <v>732</v>
      </c>
      <c r="H69" s="646">
        <f>SUM(H64:H68)</f>
        <v>0</v>
      </c>
      <c r="I69" s="570"/>
      <c r="K69" s="826"/>
      <c r="L69" s="828"/>
      <c r="M69" s="828"/>
      <c r="N69" s="828"/>
      <c r="O69" s="828"/>
      <c r="P69" s="828"/>
      <c r="Q69" s="828"/>
      <c r="R69" s="828"/>
      <c r="S69" s="828"/>
      <c r="T69" s="828"/>
      <c r="U69" s="828"/>
      <c r="V69" s="828"/>
      <c r="W69" s="828"/>
      <c r="X69" s="829"/>
    </row>
    <row r="70" spans="1:256" ht="22.9" customHeight="1" x14ac:dyDescent="0.2">
      <c r="B70" s="579"/>
      <c r="C70" s="4"/>
      <c r="D70" s="4"/>
      <c r="E70" s="609"/>
      <c r="F70" s="577"/>
      <c r="G70" s="609"/>
      <c r="H70" s="577"/>
      <c r="I70" s="567"/>
      <c r="K70" s="826"/>
      <c r="L70" s="828"/>
      <c r="M70" s="828"/>
      <c r="N70" s="828"/>
      <c r="O70" s="828"/>
      <c r="P70" s="828"/>
      <c r="Q70" s="828"/>
      <c r="R70" s="828"/>
      <c r="S70" s="828"/>
      <c r="T70" s="828"/>
      <c r="U70" s="828"/>
      <c r="V70" s="828"/>
      <c r="W70" s="828"/>
      <c r="X70" s="829"/>
    </row>
    <row r="71" spans="1:256" ht="22.9" customHeight="1" x14ac:dyDescent="0.2">
      <c r="B71" s="579"/>
      <c r="C71" s="657" t="s">
        <v>167</v>
      </c>
      <c r="D71" s="4"/>
      <c r="E71" s="609"/>
      <c r="F71" s="577"/>
      <c r="G71" s="609"/>
      <c r="H71" s="577"/>
      <c r="I71" s="567"/>
      <c r="K71" s="826"/>
      <c r="L71" s="828"/>
      <c r="M71" s="828"/>
      <c r="N71" s="828"/>
      <c r="O71" s="828"/>
      <c r="P71" s="828"/>
      <c r="Q71" s="828"/>
      <c r="R71" s="828"/>
      <c r="S71" s="828"/>
      <c r="T71" s="828"/>
      <c r="U71" s="828"/>
      <c r="V71" s="828"/>
      <c r="W71" s="828"/>
      <c r="X71" s="829"/>
    </row>
    <row r="72" spans="1:256" ht="16.149999999999999" customHeight="1" x14ac:dyDescent="0.2">
      <c r="B72" s="579"/>
      <c r="C72" s="658" t="s">
        <v>854</v>
      </c>
      <c r="D72" s="4"/>
      <c r="E72" s="609"/>
      <c r="F72" s="577"/>
      <c r="G72" s="609"/>
      <c r="H72" s="577"/>
      <c r="I72" s="567"/>
      <c r="K72" s="826"/>
      <c r="L72" s="828"/>
      <c r="M72" s="828"/>
      <c r="N72" s="828"/>
      <c r="O72" s="828"/>
      <c r="P72" s="828"/>
      <c r="Q72" s="828"/>
      <c r="R72" s="828"/>
      <c r="S72" s="828"/>
      <c r="T72" s="828"/>
      <c r="U72" s="828"/>
      <c r="V72" s="828"/>
      <c r="W72" s="828"/>
      <c r="X72" s="829"/>
    </row>
    <row r="73" spans="1:256" ht="16.149999999999999" customHeight="1" x14ac:dyDescent="0.2">
      <c r="B73" s="579"/>
      <c r="C73" s="897"/>
      <c r="D73" s="4"/>
      <c r="E73" s="609"/>
      <c r="F73" s="609"/>
      <c r="G73" s="609"/>
      <c r="H73" s="577"/>
      <c r="I73" s="567"/>
      <c r="K73" s="826"/>
      <c r="L73" s="828"/>
      <c r="M73" s="828"/>
      <c r="N73" s="828"/>
      <c r="O73" s="828"/>
      <c r="P73" s="828"/>
      <c r="Q73" s="828"/>
      <c r="R73" s="828"/>
      <c r="S73" s="828"/>
      <c r="T73" s="828"/>
      <c r="U73" s="828"/>
      <c r="V73" s="828"/>
      <c r="W73" s="828"/>
      <c r="X73" s="829"/>
    </row>
    <row r="74" spans="1:256" ht="16.149999999999999" customHeight="1" x14ac:dyDescent="0.2">
      <c r="B74" s="579"/>
      <c r="C74" s="741"/>
      <c r="D74" s="658"/>
      <c r="E74" s="659"/>
      <c r="F74" s="659"/>
      <c r="G74" s="659"/>
      <c r="H74" s="577"/>
      <c r="I74" s="567"/>
      <c r="K74" s="826"/>
      <c r="L74" s="828"/>
      <c r="M74" s="828"/>
      <c r="N74" s="828"/>
      <c r="O74" s="828"/>
      <c r="P74" s="828"/>
      <c r="Q74" s="828"/>
      <c r="R74" s="828"/>
      <c r="S74" s="828"/>
      <c r="T74" s="828"/>
      <c r="U74" s="828"/>
      <c r="V74" s="828"/>
      <c r="W74" s="828"/>
      <c r="X74" s="829"/>
    </row>
    <row r="75" spans="1:256" ht="22.9" customHeight="1" x14ac:dyDescent="0.2">
      <c r="B75" s="613"/>
      <c r="C75" s="996"/>
      <c r="D75" s="996"/>
      <c r="E75" s="283"/>
      <c r="F75" s="283"/>
      <c r="G75" s="283"/>
      <c r="H75" s="614"/>
      <c r="I75" s="615"/>
      <c r="K75" s="834"/>
      <c r="L75" s="835"/>
      <c r="M75" s="835"/>
      <c r="N75" s="835"/>
      <c r="O75" s="835"/>
      <c r="P75" s="835"/>
      <c r="Q75" s="835"/>
      <c r="R75" s="835"/>
      <c r="S75" s="835"/>
      <c r="T75" s="835"/>
      <c r="U75" s="835"/>
      <c r="V75" s="835"/>
      <c r="W75" s="835"/>
      <c r="X75" s="836"/>
    </row>
    <row r="76" spans="1:256" ht="22.9" customHeight="1" x14ac:dyDescent="0.2">
      <c r="C76" s="556"/>
      <c r="D76" s="556"/>
      <c r="E76" s="566"/>
      <c r="F76" s="566"/>
      <c r="G76" s="566"/>
      <c r="H76" s="566"/>
    </row>
    <row r="77" spans="1:256" ht="15" x14ac:dyDescent="0.2">
      <c r="C77" s="556" t="s">
        <v>55</v>
      </c>
      <c r="D77" s="556"/>
      <c r="E77" s="566"/>
      <c r="F77" s="566"/>
      <c r="G77" s="566"/>
      <c r="H77" s="558" t="s">
        <v>39</v>
      </c>
    </row>
    <row r="78" spans="1:256" ht="15" x14ac:dyDescent="0.2">
      <c r="C78" s="616" t="s">
        <v>57</v>
      </c>
      <c r="D78" s="556"/>
      <c r="E78" s="566"/>
      <c r="F78" s="566"/>
      <c r="G78" s="566"/>
      <c r="H78" s="566"/>
    </row>
    <row r="79" spans="1:256" ht="15" x14ac:dyDescent="0.2">
      <c r="C79" s="616" t="s">
        <v>58</v>
      </c>
      <c r="D79" s="556"/>
      <c r="E79" s="566"/>
      <c r="F79" s="566"/>
      <c r="G79" s="566"/>
      <c r="H79" s="566"/>
    </row>
    <row r="80" spans="1:256" ht="15" x14ac:dyDescent="0.2">
      <c r="C80" s="616" t="s">
        <v>59</v>
      </c>
      <c r="D80" s="556"/>
      <c r="E80" s="566"/>
      <c r="F80" s="566"/>
      <c r="G80" s="566"/>
      <c r="H80" s="566"/>
    </row>
    <row r="81" spans="3:8" ht="15" x14ac:dyDescent="0.2">
      <c r="C81" s="616" t="s">
        <v>60</v>
      </c>
      <c r="D81" s="556"/>
      <c r="E81" s="566"/>
      <c r="F81" s="566"/>
      <c r="G81" s="566"/>
      <c r="H81" s="566"/>
    </row>
  </sheetData>
  <sheetProtection password="E059" sheet="1"/>
  <mergeCells count="15">
    <mergeCell ref="C63:D63"/>
    <mergeCell ref="C69:D69"/>
    <mergeCell ref="C75:D75"/>
    <mergeCell ref="C16:D16"/>
    <mergeCell ref="C56:D56"/>
    <mergeCell ref="C58:H58"/>
    <mergeCell ref="C60:H60"/>
    <mergeCell ref="C62:E62"/>
    <mergeCell ref="G62:H62"/>
    <mergeCell ref="H6:H7"/>
    <mergeCell ref="D9:H9"/>
    <mergeCell ref="C12:D12"/>
    <mergeCell ref="C13:H13"/>
    <mergeCell ref="C15:E15"/>
    <mergeCell ref="G15:H15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8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zoomScale="50" zoomScaleNormal="50" workbookViewId="0">
      <pane ySplit="14" topLeftCell="A15" activePane="bottomLeft" state="frozen"/>
      <selection activeCell="P30" sqref="P30"/>
      <selection pane="bottomLeft" activeCell="P30" sqref="P30"/>
    </sheetView>
  </sheetViews>
  <sheetFormatPr baseColWidth="10" defaultColWidth="11.44140625" defaultRowHeight="22.9" customHeight="1" x14ac:dyDescent="0.2"/>
  <cols>
    <col min="1" max="2" width="3.21875" style="2" customWidth="1"/>
    <col min="3" max="3" width="13" style="2" customWidth="1"/>
    <col min="4" max="4" width="72.21875" style="2" customWidth="1"/>
    <col min="5" max="7" width="41.77734375" style="2" customWidth="1"/>
    <col min="8" max="8" width="3.77734375" style="2" customWidth="1"/>
    <col min="9" max="9" width="11.44140625" style="2"/>
    <col min="10" max="12" width="4.44140625" style="2" customWidth="1"/>
    <col min="13" max="13" width="12.21875" style="2" customWidth="1"/>
    <col min="14" max="16384" width="11.44140625" style="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5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5" t="s">
        <v>1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30" t="s">
        <v>61</v>
      </c>
      <c r="C5" s="7"/>
      <c r="D5" s="7"/>
      <c r="E5" s="7"/>
      <c r="F5" s="7"/>
      <c r="G5" s="7"/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35">
      <c r="A6"/>
      <c r="B6" s="9"/>
      <c r="C6" s="10" t="s">
        <v>2</v>
      </c>
      <c r="D6" s="31"/>
      <c r="E6" s="31"/>
      <c r="F6" s="3"/>
      <c r="G6" s="981">
        <f>ejercicio</f>
        <v>2018</v>
      </c>
      <c r="H6" s="1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9"/>
      <c r="C7" s="10" t="s">
        <v>3</v>
      </c>
      <c r="D7" s="3"/>
      <c r="E7" s="3"/>
      <c r="F7" s="3"/>
      <c r="G7" s="981">
        <v>2018</v>
      </c>
      <c r="H7" s="11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9"/>
      <c r="C8" s="3"/>
      <c r="D8" s="3"/>
      <c r="E8" s="3"/>
      <c r="F8" s="3"/>
      <c r="G8" s="32"/>
      <c r="H8" s="11"/>
      <c r="I8"/>
      <c r="J8" s="33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A9"/>
      <c r="B9" s="9"/>
      <c r="C9" s="34" t="s">
        <v>62</v>
      </c>
      <c r="D9" s="984" t="str">
        <f>Entidad</f>
        <v>BALSAS DE TENERIFE (BALTEN), EPEL</v>
      </c>
      <c r="E9" s="984"/>
      <c r="F9" s="984"/>
      <c r="G9" s="984"/>
      <c r="H9" s="1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7.15" customHeight="1" x14ac:dyDescent="0.2">
      <c r="A10"/>
      <c r="B10" s="9"/>
      <c r="C10" s="3"/>
      <c r="D10" s="3"/>
      <c r="E10" s="3"/>
      <c r="F10" s="3"/>
      <c r="G10" s="12"/>
      <c r="H10" s="11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9" customFormat="1" ht="30" customHeight="1" x14ac:dyDescent="0.25">
      <c r="B11" s="36"/>
      <c r="C11" s="37" t="s">
        <v>63</v>
      </c>
      <c r="D11" s="38"/>
      <c r="E11" s="38"/>
      <c r="F11" s="38"/>
      <c r="G11" s="38"/>
      <c r="H11" s="39"/>
    </row>
    <row r="12" spans="1:256" ht="22.9" customHeight="1" x14ac:dyDescent="0.2">
      <c r="A12"/>
      <c r="B12" s="9"/>
      <c r="C12" s="3"/>
      <c r="D12" s="3"/>
      <c r="E12" s="3"/>
      <c r="F12" s="3"/>
      <c r="G12" s="3"/>
      <c r="H12" s="1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9"/>
      <c r="C13" s="3"/>
      <c r="D13" s="3"/>
      <c r="E13" s="40" t="s">
        <v>64</v>
      </c>
      <c r="F13" s="40" t="s">
        <v>65</v>
      </c>
      <c r="G13" s="40" t="s">
        <v>66</v>
      </c>
      <c r="H13" s="1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25">
      <c r="A14"/>
      <c r="B14" s="9"/>
      <c r="C14"/>
      <c r="D14" s="3"/>
      <c r="E14" s="41">
        <f>ejercicio-2</f>
        <v>2016</v>
      </c>
      <c r="F14" s="41">
        <f>ejercicio-1</f>
        <v>2017</v>
      </c>
      <c r="G14" s="41">
        <f>ejercicio</f>
        <v>2018</v>
      </c>
      <c r="H14" s="1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4" customFormat="1" ht="30" customHeight="1" x14ac:dyDescent="0.2">
      <c r="B15" s="42"/>
      <c r="C15" s="43" t="s">
        <v>67</v>
      </c>
      <c r="D15" s="43"/>
      <c r="E15" s="44" t="str">
        <f>IF(ROUND('FC-4_ACTIVO'!E94-'FC-4_PASIVO'!E86,2)=0,"Ok","Mal, revisa FC-4")</f>
        <v>Ok</v>
      </c>
      <c r="F15" s="44" t="str">
        <f>IF(ROUND('FC-4_ACTIVO'!F94-'FC-4_PASIVO'!F86,2)=0,"Ok","Mal, revisa FC-4")</f>
        <v>Ok</v>
      </c>
      <c r="G15" s="44" t="str">
        <f>IF(ROUND('FC-4_ACTIVO'!G94-'FC-4_PASIVO'!G86,2)=0,"Ok","Mal, revisa FC-4")</f>
        <v>Ok</v>
      </c>
      <c r="H15" s="45"/>
      <c r="J15" s="46">
        <f t="shared" ref="J15:J21" si="0">IF(E15="Ok",0,1)</f>
        <v>0</v>
      </c>
      <c r="K15" s="46">
        <f t="shared" ref="K15:K21" si="1">IF(F15="Ok",0,1)</f>
        <v>0</v>
      </c>
      <c r="L15" s="46">
        <f t="shared" ref="L15:L27" si="2">IF(G15="Ok",0,1)</f>
        <v>0</v>
      </c>
      <c r="M15" s="46">
        <f t="shared" ref="M15:M27" si="3">SUM(J15:L15)</f>
        <v>0</v>
      </c>
    </row>
    <row r="16" spans="1:256" ht="30" customHeight="1" x14ac:dyDescent="0.2">
      <c r="A16" s="14"/>
      <c r="B16" s="42"/>
      <c r="C16" s="47" t="s">
        <v>68</v>
      </c>
      <c r="D16" s="47"/>
      <c r="E16" s="48" t="str">
        <f>IF(ROUND(('FC-3_CPyG'!E84-'FC-4_PASIVO'!E32),2)=0,"Ok","Mal, revisa FC-3 y FC-4")</f>
        <v>Ok</v>
      </c>
      <c r="F16" s="48" t="str">
        <f>IF(ROUND(('FC-3_CPyG'!F84-'FC-4_PASIVO'!F32),2)=0,"Ok","Mal, revisa FC-3 y FC-4")</f>
        <v>Ok</v>
      </c>
      <c r="G16" s="48" t="str">
        <f>IF(ROUND(('FC-3_CPyG'!G84-'FC-4_PASIVO'!G32),2)=0,"Ok","Mal, revisa FC-3 y FC-4")</f>
        <v>Ok</v>
      </c>
      <c r="H16" s="45"/>
      <c r="I16"/>
      <c r="J16" s="46">
        <f t="shared" si="0"/>
        <v>0</v>
      </c>
      <c r="K16" s="46">
        <f t="shared" si="1"/>
        <v>0</v>
      </c>
      <c r="L16" s="46">
        <f t="shared" si="2"/>
        <v>0</v>
      </c>
      <c r="M16" s="46">
        <f t="shared" si="3"/>
        <v>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0" customHeight="1" x14ac:dyDescent="0.2">
      <c r="A17" s="14"/>
      <c r="B17" s="42"/>
      <c r="C17" s="47" t="s">
        <v>69</v>
      </c>
      <c r="D17" s="47"/>
      <c r="E17" s="48" t="str">
        <f>IF(ROUND('FC-5_EFE'!F92,2)=ROUND(('FC-5_EFE'!F95-'FC-5_EFE'!F94),2),"Ok","Mal, revisa FC-5")</f>
        <v>Ok</v>
      </c>
      <c r="F17" s="48" t="str">
        <f>IF(ROUND('FC-5_EFE'!G92,2)=ROUND(('FC-5_EFE'!G95-'FC-5_EFE'!G94),2),"Ok","Mal, revisa FC-5")</f>
        <v>Ok</v>
      </c>
      <c r="G17" s="48" t="str">
        <f>IF(ROUND('FC-5_EFE'!H92,2)=ROUND(('FC-5_EFE'!H95-'FC-5_EFE'!H94),2),"Ok","Mal, revisa FC-5")</f>
        <v>Ok</v>
      </c>
      <c r="H17" s="45"/>
      <c r="I17"/>
      <c r="J17" s="46">
        <f t="shared" si="0"/>
        <v>0</v>
      </c>
      <c r="K17" s="46">
        <f t="shared" si="1"/>
        <v>0</v>
      </c>
      <c r="L17" s="46">
        <f t="shared" si="2"/>
        <v>0</v>
      </c>
      <c r="M17" s="46">
        <f t="shared" si="3"/>
        <v>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0" customHeight="1" x14ac:dyDescent="0.2">
      <c r="A18" s="14"/>
      <c r="B18" s="42"/>
      <c r="C18" s="47" t="s">
        <v>70</v>
      </c>
      <c r="D18" s="47"/>
      <c r="E18" s="48" t="str">
        <f>IF(ROUND('FC-3_CPyG'!E16-'FC-3_1_INF_ADIC_CPyG'!E45,2)=0,"Ok","Mal, revisa datos en FC-3 PyG y FC3.1")</f>
        <v>Ok</v>
      </c>
      <c r="F18" s="48" t="str">
        <f>IF(ROUND('FC-3_CPyG'!F16-'FC-3_1_INF_ADIC_CPyG'!H45,2)=0,"Ok","Mal, revisa datos en FC-3 PyG y FC3.1")</f>
        <v>Ok</v>
      </c>
      <c r="G18" s="48" t="str">
        <f>IF(ROUND('FC-3_CPyG'!G16-'FC-3_1_INF_ADIC_CPyG'!K45,2)=0,"Ok","Mal, revisa datos en FC-3 PyG y FC3.1")</f>
        <v>Ok</v>
      </c>
      <c r="H18" s="45"/>
      <c r="I18"/>
      <c r="J18" s="46">
        <f t="shared" si="0"/>
        <v>0</v>
      </c>
      <c r="K18" s="46">
        <f t="shared" si="1"/>
        <v>0</v>
      </c>
      <c r="L18" s="46">
        <f t="shared" si="2"/>
        <v>0</v>
      </c>
      <c r="M18" s="46">
        <f t="shared" si="3"/>
        <v>0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0" customHeight="1" x14ac:dyDescent="0.2">
      <c r="A19" s="14"/>
      <c r="B19" s="42"/>
      <c r="C19" s="47" t="s">
        <v>71</v>
      </c>
      <c r="D19" s="47"/>
      <c r="E19" s="48" t="str">
        <f>IF(ROUND('FC-3_CPyG'!E48-'FC-3_1_INF_ADIC_CPyG'!E49-'FC-3_1_INF_ADIC_CPyG'!E57,2)=0,"Ok","Mal, revisa datos en FC-3 CPYG y FC-3.1")</f>
        <v>Ok</v>
      </c>
      <c r="F19" s="48" t="str">
        <f>IF(ROUND('FC-3_CPyG'!F48-'FC-3_1_INF_ADIC_CPyG'!F49-'FC-3_1_INF_ADIC_CPyG'!F57,2)=0,"Ok","Mal, revisa datos en FC-3 CPYG y FC-3.1")</f>
        <v>Ok</v>
      </c>
      <c r="G19" s="48" t="str">
        <f>IF(ROUND('FC-3_CPyG'!G48-'FC-3_1_INF_ADIC_CPyG'!G49-'FC-3_1_INF_ADIC_CPyG'!G57,2)=0,"Ok","Mal, revisa datos en FC-3 CPYG y FC-3.1")</f>
        <v>Ok</v>
      </c>
      <c r="H19" s="45"/>
      <c r="I19"/>
      <c r="J19" s="46">
        <f t="shared" si="0"/>
        <v>0</v>
      </c>
      <c r="K19" s="46">
        <f t="shared" si="1"/>
        <v>0</v>
      </c>
      <c r="L19" s="46">
        <f t="shared" si="2"/>
        <v>0</v>
      </c>
      <c r="M19" s="46">
        <f t="shared" si="3"/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30" customHeight="1" x14ac:dyDescent="0.2">
      <c r="A20" s="14"/>
      <c r="B20" s="42"/>
      <c r="C20" s="47" t="s">
        <v>72</v>
      </c>
      <c r="D20" s="47"/>
      <c r="E20" s="48" t="str">
        <f>IF(ROUND('FC-3_CPyG'!E28-'FC-3_1_INF_ADIC_CPyG'!E73,2)=0,"Ok","Mal, revísa datos en FC-3 y FC-3.1")</f>
        <v>Ok</v>
      </c>
      <c r="F20" s="48" t="str">
        <f>IF(ROUND('FC-3_CPyG'!F28-'FC-3_1_INF_ADIC_CPyG'!F73,2)=0,"Ok","Mal, revísa datos en FC-3 y FC-3.1")</f>
        <v>Ok</v>
      </c>
      <c r="G20" s="48" t="str">
        <f>IF(ROUND('FC-3_CPyG'!G28-'FC-3_1_INF_ADIC_CPyG'!G73,2)=0,"Ok","Mal, revísa datos en FC-3 y FC-3.1")</f>
        <v>Ok</v>
      </c>
      <c r="H20" s="45"/>
      <c r="I20"/>
      <c r="J20" s="46">
        <f t="shared" si="0"/>
        <v>0</v>
      </c>
      <c r="K20" s="46">
        <f t="shared" si="1"/>
        <v>0</v>
      </c>
      <c r="L20" s="46">
        <f t="shared" si="2"/>
        <v>0</v>
      </c>
      <c r="M20" s="46">
        <f t="shared" si="3"/>
        <v>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0" customHeight="1" x14ac:dyDescent="0.2">
      <c r="A21" s="14"/>
      <c r="B21" s="42"/>
      <c r="C21" s="47" t="s">
        <v>73</v>
      </c>
      <c r="D21" s="47"/>
      <c r="E21" s="48" t="str">
        <f>IF(ROUND('FC-3_CPyG'!E29-'FC-3_1_INF_ADIC_CPyG'!E77,2)=0,"Ok","Mal, revisa datos en FC-3 CPyG y FC-3.1")</f>
        <v>Ok</v>
      </c>
      <c r="F21" s="48" t="str">
        <f>IF(ROUND('FC-3_CPyG'!F29-'FC-3_1_INF_ADIC_CPyG'!F77,2)=0,"Ok","Mal, revisa datos en FC-3 CPyG y FC-3.1")</f>
        <v>Ok</v>
      </c>
      <c r="G21" s="48" t="str">
        <f>IF(ROUND('FC-3_CPyG'!G29-'FC-3_1_INF_ADIC_CPyG'!G77,2)=0,"Ok","Mal, revisa datos en FC-3 CPyG y FC-3.1")</f>
        <v>Ok</v>
      </c>
      <c r="H21" s="45"/>
      <c r="I21"/>
      <c r="J21" s="46">
        <f t="shared" si="0"/>
        <v>0</v>
      </c>
      <c r="K21" s="46">
        <f t="shared" si="1"/>
        <v>0</v>
      </c>
      <c r="L21" s="46">
        <f t="shared" si="2"/>
        <v>0</v>
      </c>
      <c r="M21" s="46">
        <f t="shared" si="3"/>
        <v>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0" customHeight="1" x14ac:dyDescent="0.2">
      <c r="A22" s="14"/>
      <c r="B22" s="42"/>
      <c r="C22" s="47" t="s">
        <v>74</v>
      </c>
      <c r="D22" s="47"/>
      <c r="E22" s="49"/>
      <c r="F22" s="49"/>
      <c r="G22" s="48" t="str">
        <f>IF(ROUND('FC-6_Inversiones'!G46-SUM('FC-6_Inversiones'!H46:M46),2)=0,"Ok","Mal, revisa totales FC-6")</f>
        <v>Ok</v>
      </c>
      <c r="H22" s="45"/>
      <c r="I22"/>
      <c r="J22" s="46"/>
      <c r="K22" s="46"/>
      <c r="L22" s="46">
        <f t="shared" si="2"/>
        <v>0</v>
      </c>
      <c r="M22" s="46">
        <f t="shared" si="3"/>
        <v>0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30" customHeight="1" x14ac:dyDescent="0.2">
      <c r="A23" s="14"/>
      <c r="B23" s="42"/>
      <c r="C23" s="47" t="s">
        <v>75</v>
      </c>
      <c r="D23" s="47"/>
      <c r="E23" s="49"/>
      <c r="F23" s="48" t="str">
        <f>IF(ROUND('FC-4_ACTIVO'!F17-'FC-7_INF'!M15,2)=0,"Ok","Mal, revisa FC-4 ACTIVO y FC-7")</f>
        <v>Ok</v>
      </c>
      <c r="G23" s="48" t="str">
        <f>IF(ROUND('FC-4_ACTIVO'!G17-'FC-7_INF'!M26,2)=0,"Ok","Mal, revisa FC-4 ACTIVO y FC-7")</f>
        <v>Ok</v>
      </c>
      <c r="H23" s="45"/>
      <c r="I23"/>
      <c r="J23" s="46"/>
      <c r="K23" s="46">
        <f>IF(F23="Ok",0,1)</f>
        <v>0</v>
      </c>
      <c r="L23" s="46">
        <f t="shared" si="2"/>
        <v>0</v>
      </c>
      <c r="M23" s="46">
        <f t="shared" si="3"/>
        <v>0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0" customHeight="1" x14ac:dyDescent="0.2">
      <c r="A24" s="14"/>
      <c r="B24" s="42"/>
      <c r="C24" s="47" t="s">
        <v>76</v>
      </c>
      <c r="D24" s="47"/>
      <c r="E24" s="49"/>
      <c r="F24" s="48" t="str">
        <f>IF(ROUND('FC-4_ACTIVO'!F26-'FC-7_INF'!M16-'FC-7_INF'!M17,2)=0,"Ok","Mal, revisa FC-4 ACTIVO y FC-7")</f>
        <v>Ok</v>
      </c>
      <c r="G24" s="48" t="str">
        <f>IF(ROUND('FC-4_ACTIVO'!G26-'FC-7_INF'!M27-'FC-7_INF'!M28,2)=0,"Ok","Mal, revisa FC-4 ACTIVO y FC-7")</f>
        <v>Ok</v>
      </c>
      <c r="H24" s="45"/>
      <c r="I24"/>
      <c r="J24" s="46"/>
      <c r="K24" s="46">
        <f>IF(F24="Ok",0,1)</f>
        <v>0</v>
      </c>
      <c r="L24" s="46">
        <f t="shared" si="2"/>
        <v>0</v>
      </c>
      <c r="M24" s="46">
        <f t="shared" si="3"/>
        <v>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30" customHeight="1" x14ac:dyDescent="0.2">
      <c r="A25" s="14"/>
      <c r="B25" s="42"/>
      <c r="C25" s="47" t="s">
        <v>77</v>
      </c>
      <c r="D25" s="47"/>
      <c r="E25" s="49"/>
      <c r="F25" s="48" t="str">
        <f>IF(ROUND(('FC-4_ACTIVO'!F30-'FC-7_INF'!M18-'FC-7_INF'!M19),2)=0,"Ok","Mal, revisa FC-4 ACTIVO y FC-7")</f>
        <v>Ok</v>
      </c>
      <c r="G25" s="48" t="str">
        <f>IF(ROUND(('FC-4_ACTIVO'!G30-'FC-7_INF'!M29-'FC-7_INF'!M30),2)=0,"Ok","Mal, revisa FC-4 ACTIVO y FC-7")</f>
        <v>Ok</v>
      </c>
      <c r="H25" s="45"/>
      <c r="I25"/>
      <c r="J25" s="46"/>
      <c r="K25" s="46">
        <f>IF(F25="Ok",0,1)</f>
        <v>0</v>
      </c>
      <c r="L25" s="46">
        <f t="shared" si="2"/>
        <v>0</v>
      </c>
      <c r="M25" s="46">
        <f t="shared" si="3"/>
        <v>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0" customHeight="1" x14ac:dyDescent="0.2">
      <c r="A26" s="14"/>
      <c r="B26" s="42"/>
      <c r="C26" s="47" t="s">
        <v>78</v>
      </c>
      <c r="D26" s="47"/>
      <c r="E26" s="49"/>
      <c r="F26" s="48" t="str">
        <f>IF(ROUND('FC-7_INF'!M22-'FC-4_ACTIVO'!F52,2)=0,"Ok","Mal, revisa FC-4 ACTIVO y FC-7")</f>
        <v>Ok</v>
      </c>
      <c r="G26" s="48" t="str">
        <f>IF(ROUND('FC-7_INF'!M33-'FC-4_ACTIVO'!G52,2)=0,"Ok","Mal, revisa FC-4 ACTIVO y FC-7")</f>
        <v>Ok</v>
      </c>
      <c r="H26" s="45"/>
      <c r="I26"/>
      <c r="J26" s="46"/>
      <c r="K26" s="46">
        <f>IF(F26="Ok",0,1)</f>
        <v>0</v>
      </c>
      <c r="L26" s="46">
        <f t="shared" si="2"/>
        <v>0</v>
      </c>
      <c r="M26" s="46">
        <f t="shared" si="3"/>
        <v>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0" customHeight="1" x14ac:dyDescent="0.2">
      <c r="A27" s="14"/>
      <c r="B27" s="42"/>
      <c r="C27" s="47" t="s">
        <v>79</v>
      </c>
      <c r="D27" s="47"/>
      <c r="E27" s="49"/>
      <c r="F27" s="48" t="str">
        <f>IF(ROUND('FC-3_CPyG'!F40-'FC-7_INF'!I20,2)=0,"Ok","Mal, revisa datos en FC-3 y FC-7")</f>
        <v>Ok</v>
      </c>
      <c r="G27" s="48" t="str">
        <f>IF(ROUND('FC-3_CPyG'!G40-'FC-7_INF'!I31,2)=0,"Ok","Mal, revisa datos en FC-3 y FC-7")</f>
        <v>Ok</v>
      </c>
      <c r="H27" s="45"/>
      <c r="I27"/>
      <c r="J27" s="46"/>
      <c r="K27" s="46">
        <f>IF(F27="Ok",0,1)</f>
        <v>0</v>
      </c>
      <c r="L27" s="46">
        <f t="shared" si="2"/>
        <v>0</v>
      </c>
      <c r="M27" s="46">
        <f t="shared" si="3"/>
        <v>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0" customHeight="1" x14ac:dyDescent="0.2">
      <c r="A28" s="14"/>
      <c r="B28" s="42"/>
      <c r="C28" s="47" t="s">
        <v>80</v>
      </c>
      <c r="D28" s="47"/>
      <c r="E28" s="49"/>
      <c r="F28" s="49"/>
      <c r="G28" s="48" t="str">
        <f>IF(ROUND('FC-6_Inversiones'!I46-'FC-7_INF'!F31,2)=0,"Ok","Mal, revisa I46 en FC-6 y F31 en FC-7")</f>
        <v>Ok</v>
      </c>
      <c r="H28" s="45"/>
      <c r="I28"/>
      <c r="J28" s="46"/>
      <c r="K28" s="46"/>
      <c r="L28" s="46"/>
      <c r="M28" s="46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0" customHeight="1" x14ac:dyDescent="0.2">
      <c r="A29" s="14"/>
      <c r="B29" s="42"/>
      <c r="C29" s="50" t="s">
        <v>81</v>
      </c>
      <c r="D29" s="50"/>
      <c r="E29" s="51"/>
      <c r="F29" s="51"/>
      <c r="G29" s="52" t="str">
        <f>IF(ROUND(('FC-4_ACTIVO'!G34+'FC-4_ACTIVO'!G76)-'FC-8_INV_FINANCIERAS'!J25,2)=0,"Ok","Mal, revisa datos en FC-4 Activo y FC-8")</f>
        <v>Ok</v>
      </c>
      <c r="H29" s="45"/>
      <c r="I29"/>
      <c r="J29" s="46"/>
      <c r="K29" s="46"/>
      <c r="L29" s="46"/>
      <c r="M29" s="46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0" customHeight="1" x14ac:dyDescent="0.2">
      <c r="A30" s="14"/>
      <c r="B30" s="42"/>
      <c r="C30" s="50" t="s">
        <v>82</v>
      </c>
      <c r="D30" s="50"/>
      <c r="E30" s="51"/>
      <c r="F30" s="51"/>
      <c r="G30" s="52" t="str">
        <f>IF(ROUND((SUM('FC-4_ACTIVO'!G35:G39)+SUM('FC-4_ACTIVO'!G77:G81))-('FC-8_INV_FINANCIERAS'!J34),2)=0,"Ok","Mal, revisa datos en FC-4 Activo y FC-8")</f>
        <v>Ok</v>
      </c>
      <c r="H30" s="45"/>
      <c r="I30"/>
      <c r="J30" s="46"/>
      <c r="K30" s="46"/>
      <c r="L30" s="46"/>
      <c r="M30" s="46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30" customHeight="1" x14ac:dyDescent="0.2">
      <c r="A31" s="14"/>
      <c r="B31" s="42"/>
      <c r="C31" s="50" t="s">
        <v>83</v>
      </c>
      <c r="D31" s="50"/>
      <c r="E31" s="51"/>
      <c r="F31" s="51"/>
      <c r="G31" s="52" t="str">
        <f>IF(ROUND(('FC-4_ACTIVO'!G41+'FC-4_ACTIVO'!G83)-'FC-8_INV_FINANCIERAS'!J49,2)=0,"Ok","Mal, revisa datos en FC-4 ACTIVO y FC-8")</f>
        <v>Ok</v>
      </c>
      <c r="H31" s="45"/>
      <c r="I31"/>
      <c r="J31" s="46"/>
      <c r="K31" s="46"/>
      <c r="L31" s="46"/>
      <c r="M31" s="46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30" customHeight="1" x14ac:dyDescent="0.2">
      <c r="A32" s="14"/>
      <c r="B32" s="42"/>
      <c r="C32" s="50" t="s">
        <v>84</v>
      </c>
      <c r="D32" s="50"/>
      <c r="E32" s="51"/>
      <c r="F32" s="51"/>
      <c r="G32" s="52" t="str">
        <f>IF(ROUND((SUM('FC-4_ACTIVO'!G42:G46)+SUM('FC-4_ACTIVO'!G84:G88))-'FC-8_INV_FINANCIERAS'!J58,2)=0,"Ok","Mal, revisa datos en FC-4 Activo y en FC-8")</f>
        <v>Ok</v>
      </c>
      <c r="H32" s="45"/>
      <c r="I32"/>
      <c r="J32" s="46"/>
      <c r="K32" s="46"/>
      <c r="L32" s="46"/>
      <c r="M32" s="46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30" customHeight="1" x14ac:dyDescent="0.2">
      <c r="A33" s="14"/>
      <c r="B33" s="42"/>
      <c r="C33" s="47" t="s">
        <v>85</v>
      </c>
      <c r="D33" s="47"/>
      <c r="E33" s="49"/>
      <c r="F33" s="48" t="str">
        <f>IF(ROUND('FC-4_PASIVO'!F41-'FC-9_TRANS_SUBV'!F35,2)=0,"Ok","Mal, revisa FC-4 PASIVO y FC-9")</f>
        <v>Ok</v>
      </c>
      <c r="G33" s="48" t="str">
        <f>IF(ROUND('FC-4_PASIVO'!G41-'FC-9_TRANS_SUBV'!G35,2)=0,"Ok","Mal, revisa FC-4 PASIVO y FC-9")</f>
        <v>Ok</v>
      </c>
      <c r="H33" s="45"/>
      <c r="I33"/>
      <c r="J33" s="46"/>
      <c r="K33" s="46">
        <f>IF(F33="Ok",0,1)</f>
        <v>0</v>
      </c>
      <c r="L33" s="46">
        <f>IF(G33="Ok",0,1)</f>
        <v>0</v>
      </c>
      <c r="M33" s="46">
        <f>SUM(J33:L33)</f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14" customFormat="1" ht="30" customHeight="1" x14ac:dyDescent="0.2">
      <c r="B34" s="42"/>
      <c r="C34" s="47" t="s">
        <v>86</v>
      </c>
      <c r="D34" s="47"/>
      <c r="E34" s="49"/>
      <c r="F34" s="48" t="str">
        <f>IF(ROUND('FC-3_CPyG'!F41+('FC-9_TRANS_SUBV'!F33),2)=0,"Ok","Mal, revisa datos FC-3 epígr. A) 9. y FC-9 celda F33")</f>
        <v>Ok</v>
      </c>
      <c r="G34" s="48" t="str">
        <f>IF(ROUND('FC-3_CPyG'!G41+('FC-9_TRANS_SUBV'!G33),2)=0,"Ok","Mal, revisa datos FC-3 epígr. A) 9. y FC-9 celda G33")</f>
        <v>Ok</v>
      </c>
      <c r="H34" s="45"/>
      <c r="J34" s="46"/>
      <c r="K34" s="46"/>
      <c r="L34" s="46"/>
      <c r="M34" s="46"/>
    </row>
    <row r="35" spans="1:256" s="14" customFormat="1" ht="30" customHeight="1" x14ac:dyDescent="0.2">
      <c r="B35" s="42"/>
      <c r="C35" s="47" t="s">
        <v>87</v>
      </c>
      <c r="D35" s="47"/>
      <c r="E35" s="49"/>
      <c r="F35" s="48" t="str">
        <f>IF('FC-3_CPyG'!F29-'FC-9_TRANS_SUBV'!F50=0,"Ok","Mal, revisa dato en FC-3 y FC-9")</f>
        <v>Ok</v>
      </c>
      <c r="G35" s="48" t="str">
        <f>IF('FC-3_CPyG'!G29-'FC-9_TRANS_SUBV'!G50=0,"Ok","Mal, revisa dato en FC-3 y FC-9")</f>
        <v>Ok</v>
      </c>
      <c r="H35" s="45"/>
      <c r="J35" s="46"/>
      <c r="K35" s="46">
        <f t="shared" ref="K35:L37" si="4">IF(F35="Ok",0,1)</f>
        <v>0</v>
      </c>
      <c r="L35" s="46">
        <f t="shared" si="4"/>
        <v>0</v>
      </c>
      <c r="M35" s="46">
        <f>SUM(J35:L35)</f>
        <v>0</v>
      </c>
    </row>
    <row r="36" spans="1:256" s="14" customFormat="1" ht="30" customHeight="1" x14ac:dyDescent="0.2">
      <c r="B36" s="42"/>
      <c r="C36" s="47" t="s">
        <v>88</v>
      </c>
      <c r="D36" s="47"/>
      <c r="E36" s="49"/>
      <c r="F36" s="48" t="str">
        <f>IF('FC-4_PASIVO'!F31-'FC-4_PASIVO'!E31='FC-9_TRANS_SUBV'!F65,"Ok","Mal, revísa FC-4 PASIVO y FC-9")</f>
        <v>Ok</v>
      </c>
      <c r="G36" s="48" t="str">
        <f>IF(ROUND('FC-4_PASIVO'!G31-'FC-4_PASIVO'!F31-'FC-9_TRANS_SUBV'!G65,2)=0,"Ok","Mal, revísa FC-4 PASIVO y FC-9")</f>
        <v>Ok</v>
      </c>
      <c r="H36" s="45"/>
      <c r="J36" s="46"/>
      <c r="K36" s="46">
        <f t="shared" si="4"/>
        <v>0</v>
      </c>
      <c r="L36" s="46">
        <f t="shared" si="4"/>
        <v>0</v>
      </c>
      <c r="M36" s="46">
        <f>SUM(J36:L36)</f>
        <v>0</v>
      </c>
      <c r="N36" s="956"/>
    </row>
    <row r="37" spans="1:256" s="14" customFormat="1" ht="30" customHeight="1" x14ac:dyDescent="0.2">
      <c r="B37" s="42"/>
      <c r="C37" s="47" t="s">
        <v>89</v>
      </c>
      <c r="D37" s="47"/>
      <c r="E37" s="49"/>
      <c r="F37" s="48" t="str">
        <f>IF(ROUND(('FC-4_PASIVO'!F51+'FC-4_PASIVO'!F52+'FC-4_PASIVO'!F68+'FC-4_PASIVO'!F69)-('FC-10_DEUDAS'!L42+'FC-10_DEUDAS'!L74),2)=0,"Ok","Mal, revisa datos en FC-4 PASIVO y FC-10")</f>
        <v>Ok</v>
      </c>
      <c r="G37" s="48" t="str">
        <f>IF(ROUND(('FC-4_PASIVO'!G51+'FC-4_PASIVO'!G52+'FC-4_PASIVO'!G68+'FC-4_PASIVO'!G69)-('FC-10_DEUDAS'!Q42+'FC-10_DEUDAS'!Q74),2)=0,"Ok","Mal, revisa datos en FC-4 PASIVO y FC-10")</f>
        <v>Ok</v>
      </c>
      <c r="H37" s="45"/>
      <c r="J37" s="46"/>
      <c r="K37" s="46">
        <f t="shared" si="4"/>
        <v>0</v>
      </c>
      <c r="L37" s="46">
        <f t="shared" si="4"/>
        <v>0</v>
      </c>
      <c r="M37" s="46">
        <f>SUM(J37:L37)</f>
        <v>0</v>
      </c>
      <c r="N37" s="956"/>
    </row>
    <row r="38" spans="1:256" ht="30" customHeight="1" x14ac:dyDescent="0.2">
      <c r="A38" s="14"/>
      <c r="B38" s="42"/>
      <c r="C38" s="47" t="s">
        <v>90</v>
      </c>
      <c r="D38" s="47"/>
      <c r="E38" s="49"/>
      <c r="F38" s="49"/>
      <c r="G38" s="48" t="str">
        <f>IF(ROUND('FC-10_DEUDAS'!Q74-'FC-10_DEUDAS'!R74-'FC-10_DEUDAS'!S74,2)=0,"Ok","Mal, revisa datos, celdas Q74=R74+S74 en FC-10")</f>
        <v>Ok</v>
      </c>
      <c r="H38" s="45"/>
      <c r="I38"/>
      <c r="J38" s="46"/>
      <c r="K38" s="46"/>
      <c r="L38" s="46">
        <f>IF(G38="Ok",0,1)</f>
        <v>0</v>
      </c>
      <c r="M38" s="46">
        <f>SUM(J38:L38)</f>
        <v>0</v>
      </c>
      <c r="N38" s="957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30" customHeight="1" x14ac:dyDescent="0.2">
      <c r="A39" s="14"/>
      <c r="B39" s="42"/>
      <c r="C39" s="53" t="s">
        <v>91</v>
      </c>
      <c r="D39" s="53"/>
      <c r="E39" s="54"/>
      <c r="F39" s="54"/>
      <c r="G39" s="55" t="str">
        <f>IF(ROUND(-'FC-3_CPyG'!G30-'FC-13_PERSONAL'!F31,2)=0,"Ok","Mal, revísa dato en FC-3 CPyG y FC-13")</f>
        <v>Ok</v>
      </c>
      <c r="H39" s="45"/>
      <c r="I39"/>
      <c r="J39" s="46"/>
      <c r="K39" s="46"/>
      <c r="L39" s="46">
        <f>IF(G39="Ok",0,1)</f>
        <v>0</v>
      </c>
      <c r="M39" s="46">
        <f>SUM(J39:L39)</f>
        <v>0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30" customHeight="1" x14ac:dyDescent="0.2">
      <c r="A40"/>
      <c r="B40" s="9"/>
      <c r="C40" s="3"/>
      <c r="D40" s="3"/>
      <c r="E40" s="3"/>
      <c r="F40" s="3"/>
      <c r="G40" s="3"/>
      <c r="H40" s="11"/>
      <c r="I40"/>
      <c r="J40" s="56"/>
      <c r="K40" s="56"/>
      <c r="L40" s="56"/>
      <c r="M40" s="56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30" customHeight="1" x14ac:dyDescent="0.2">
      <c r="A41"/>
      <c r="B41" s="9"/>
      <c r="C41" s="57" t="s">
        <v>92</v>
      </c>
      <c r="D41" s="57"/>
      <c r="E41" s="58"/>
      <c r="F41" s="58"/>
      <c r="G41" s="59" t="str">
        <f>IF(ROUND('FC-3_CPyG'!G84-'FC-92_PRESUPUESTO_PYG'!E59,2)=0,"Ok","Mal, revisa resultado en F-3 y FC-92")</f>
        <v>Ok</v>
      </c>
      <c r="H41" s="11"/>
      <c r="I41"/>
      <c r="J41" s="56"/>
      <c r="K41" s="56"/>
      <c r="L41" s="56">
        <f>IF(G41="Ok",0,1)</f>
        <v>0</v>
      </c>
      <c r="M41" s="56">
        <f>SUM(J41:L41)</f>
        <v>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23"/>
      <c r="C42" s="24"/>
      <c r="D42" s="24"/>
      <c r="E42" s="24"/>
      <c r="F42" s="60"/>
      <c r="G42" s="24"/>
      <c r="H42" s="25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/>
      <c r="C43"/>
      <c r="D43"/>
      <c r="E43"/>
      <c r="F43" s="61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26" customFormat="1" ht="12.75" x14ac:dyDescent="0.2">
      <c r="C44" s="27" t="s">
        <v>55</v>
      </c>
      <c r="F44" s="28"/>
      <c r="G44" s="29"/>
    </row>
    <row r="45" spans="1:256" ht="15" x14ac:dyDescent="0.2">
      <c r="A45" s="26"/>
      <c r="B45" s="26"/>
      <c r="C45" s="26" t="s">
        <v>57</v>
      </c>
      <c r="F45" s="28"/>
    </row>
    <row r="46" spans="1:256" ht="15" x14ac:dyDescent="0.2">
      <c r="A46" s="26"/>
      <c r="B46" s="26"/>
      <c r="C46" s="26" t="s">
        <v>58</v>
      </c>
      <c r="F46" s="28"/>
    </row>
    <row r="47" spans="1:256" ht="15" x14ac:dyDescent="0.2">
      <c r="A47" s="26"/>
      <c r="B47" s="26"/>
      <c r="C47" s="26" t="s">
        <v>59</v>
      </c>
      <c r="F47" s="28"/>
    </row>
    <row r="48" spans="1:256" ht="15" x14ac:dyDescent="0.2">
      <c r="A48" s="26"/>
      <c r="B48" s="26"/>
      <c r="C48" s="26" t="s">
        <v>60</v>
      </c>
      <c r="F48" s="28"/>
    </row>
  </sheetData>
  <sheetProtection password="E059" sheet="1"/>
  <mergeCells count="2">
    <mergeCell ref="G6:G7"/>
    <mergeCell ref="D9:G9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1"/>
  <sheetViews>
    <sheetView zoomScale="55" zoomScaleNormal="55" workbookViewId="0">
      <selection activeCell="J39" sqref="J39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.21875" style="22" customWidth="1"/>
    <col min="4" max="4" width="105.77734375" style="22" customWidth="1"/>
    <col min="5" max="7" width="18.77734375" style="559" customWidth="1"/>
    <col min="8" max="8" width="3.21875" style="22" customWidth="1"/>
    <col min="9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3"/>
      <c r="I5"/>
      <c r="J5" s="823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981">
        <f>ejercicio</f>
        <v>2018</v>
      </c>
      <c r="H6" s="567"/>
      <c r="I6"/>
      <c r="J6" s="826"/>
      <c r="K6" s="827" t="s">
        <v>93</v>
      </c>
      <c r="L6" s="827"/>
      <c r="M6" s="827"/>
      <c r="N6" s="827"/>
      <c r="O6" s="828"/>
      <c r="P6" s="828"/>
      <c r="Q6" s="828"/>
      <c r="R6" s="828"/>
      <c r="S6" s="828"/>
      <c r="T6" s="828"/>
      <c r="U6" s="828"/>
      <c r="V6" s="828"/>
      <c r="W6" s="829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981"/>
      <c r="H7" s="567"/>
      <c r="I7"/>
      <c r="J7" s="826"/>
      <c r="K7" s="828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8"/>
      <c r="W7" s="829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8"/>
      <c r="H8" s="567"/>
      <c r="I8"/>
      <c r="J8" s="826"/>
      <c r="K8" s="828"/>
      <c r="L8" s="828"/>
      <c r="M8" s="828"/>
      <c r="N8" s="828"/>
      <c r="O8" s="828"/>
      <c r="P8" s="828"/>
      <c r="Q8" s="828"/>
      <c r="R8" s="828"/>
      <c r="S8" s="828"/>
      <c r="T8" s="828"/>
      <c r="U8" s="828"/>
      <c r="V8" s="828"/>
      <c r="W8" s="829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570"/>
      <c r="J9" s="826"/>
      <c r="K9" s="828"/>
      <c r="L9" s="828"/>
      <c r="M9" s="828"/>
      <c r="N9" s="828"/>
      <c r="O9" s="828"/>
      <c r="P9" s="828"/>
      <c r="Q9" s="828"/>
      <c r="R9" s="828"/>
      <c r="S9" s="828"/>
      <c r="T9" s="828"/>
      <c r="U9" s="828"/>
      <c r="V9" s="828"/>
      <c r="W9" s="829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7"/>
      <c r="I10"/>
      <c r="J10" s="826"/>
      <c r="K10" s="828"/>
      <c r="L10" s="828"/>
      <c r="M10" s="828"/>
      <c r="N10" s="828"/>
      <c r="O10" s="828"/>
      <c r="P10" s="828"/>
      <c r="Q10" s="828"/>
      <c r="R10" s="828"/>
      <c r="S10" s="828"/>
      <c r="T10" s="828"/>
      <c r="U10" s="828"/>
      <c r="V10" s="828"/>
      <c r="W10" s="82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855</v>
      </c>
      <c r="D11" s="573"/>
      <c r="E11" s="574"/>
      <c r="F11" s="574"/>
      <c r="G11" s="574"/>
      <c r="H11" s="575"/>
      <c r="J11" s="826"/>
      <c r="K11" s="828"/>
      <c r="L11" s="828"/>
      <c r="M11" s="828"/>
      <c r="N11" s="828"/>
      <c r="O11" s="828"/>
      <c r="P11" s="828"/>
      <c r="Q11" s="828"/>
      <c r="R11" s="828"/>
      <c r="S11" s="828"/>
      <c r="T11" s="828"/>
      <c r="U11" s="828"/>
      <c r="V11" s="828"/>
      <c r="W11" s="829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5"/>
      <c r="I12"/>
      <c r="J12" s="826"/>
      <c r="K12" s="828"/>
      <c r="L12" s="828"/>
      <c r="M12" s="828"/>
      <c r="N12" s="828"/>
      <c r="O12" s="828"/>
      <c r="P12" s="828"/>
      <c r="Q12" s="828"/>
      <c r="R12" s="828"/>
      <c r="S12" s="828"/>
      <c r="T12" s="828"/>
      <c r="U12" s="828"/>
      <c r="V12" s="828"/>
      <c r="W12" s="829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8.9" customHeight="1" x14ac:dyDescent="0.2">
      <c r="A13"/>
      <c r="B13" s="579"/>
      <c r="C13" s="233" t="s">
        <v>856</v>
      </c>
      <c r="D13" s="660"/>
      <c r="E13" s="577"/>
      <c r="F13" s="577"/>
      <c r="G13" s="898"/>
      <c r="H13" s="567"/>
      <c r="I13"/>
      <c r="J13" s="826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9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9" customHeight="1" x14ac:dyDescent="0.2">
      <c r="A14"/>
      <c r="B14" s="579"/>
      <c r="C14" s="660"/>
      <c r="D14" s="660"/>
      <c r="E14" s="577"/>
      <c r="F14" s="577"/>
      <c r="G14" s="577"/>
      <c r="H14" s="567"/>
      <c r="I14"/>
      <c r="J14" s="826"/>
      <c r="K14" s="828"/>
      <c r="L14" s="828"/>
      <c r="M14" s="828"/>
      <c r="N14" s="828"/>
      <c r="O14" s="828"/>
      <c r="P14" s="828"/>
      <c r="Q14" s="828"/>
      <c r="R14" s="828"/>
      <c r="S14" s="828"/>
      <c r="T14" s="828"/>
      <c r="U14" s="828"/>
      <c r="V14" s="828"/>
      <c r="W14" s="829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751" customFormat="1" ht="22.9" customHeight="1" x14ac:dyDescent="0.2">
      <c r="B15" s="752"/>
      <c r="C15" s="617"/>
      <c r="D15" s="753"/>
      <c r="E15" s="617" t="s">
        <v>717</v>
      </c>
      <c r="F15" s="617" t="s">
        <v>857</v>
      </c>
      <c r="G15" s="617"/>
      <c r="H15" s="756"/>
      <c r="J15" s="826"/>
      <c r="K15" s="828"/>
      <c r="L15" s="828"/>
      <c r="M15" s="828"/>
      <c r="N15" s="828"/>
      <c r="O15" s="828"/>
      <c r="P15" s="828"/>
      <c r="Q15" s="828"/>
      <c r="R15" s="828"/>
      <c r="S15" s="828"/>
      <c r="T15" s="828"/>
      <c r="U15" s="828"/>
      <c r="V15" s="828"/>
      <c r="W15" s="829"/>
    </row>
    <row r="16" spans="1:256" ht="24" customHeight="1" x14ac:dyDescent="0.2">
      <c r="A16" s="751"/>
      <c r="B16" s="752"/>
      <c r="C16" s="705" t="s">
        <v>858</v>
      </c>
      <c r="D16" s="757" t="s">
        <v>751</v>
      </c>
      <c r="E16" s="705" t="s">
        <v>859</v>
      </c>
      <c r="F16" s="705">
        <f>ejercicio</f>
        <v>2018</v>
      </c>
      <c r="G16" s="705" t="s">
        <v>860</v>
      </c>
      <c r="H16" s="756"/>
      <c r="J16" s="826"/>
      <c r="K16" s="828"/>
      <c r="L16" s="828"/>
      <c r="M16" s="828"/>
      <c r="N16" s="828"/>
      <c r="O16" s="828"/>
      <c r="P16" s="828"/>
      <c r="Q16" s="828"/>
      <c r="R16" s="828"/>
      <c r="S16" s="828"/>
      <c r="T16" s="828"/>
      <c r="U16" s="828"/>
      <c r="V16" s="828"/>
      <c r="W16" s="829"/>
    </row>
    <row r="17" spans="2:23" ht="22.9" customHeight="1" x14ac:dyDescent="0.2">
      <c r="B17" s="579"/>
      <c r="C17" s="758"/>
      <c r="D17" s="759"/>
      <c r="E17" s="422"/>
      <c r="F17" s="422"/>
      <c r="G17" s="899"/>
      <c r="H17" s="567"/>
      <c r="J17" s="826"/>
      <c r="K17" s="828"/>
      <c r="L17" s="828"/>
      <c r="M17" s="828"/>
      <c r="N17" s="828"/>
      <c r="O17" s="828"/>
      <c r="P17" s="828"/>
      <c r="Q17" s="828"/>
      <c r="R17" s="828"/>
      <c r="S17" s="828"/>
      <c r="T17" s="828"/>
      <c r="U17" s="828"/>
      <c r="V17" s="828"/>
      <c r="W17" s="829"/>
    </row>
    <row r="18" spans="2:23" ht="22.9" customHeight="1" x14ac:dyDescent="0.2">
      <c r="B18" s="579"/>
      <c r="C18" s="758"/>
      <c r="D18" s="759"/>
      <c r="E18" s="422"/>
      <c r="F18" s="422"/>
      <c r="G18" s="899"/>
      <c r="H18" s="567"/>
      <c r="J18" s="826"/>
      <c r="K18" s="828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8"/>
      <c r="W18" s="829"/>
    </row>
    <row r="19" spans="2:23" ht="22.9" customHeight="1" x14ac:dyDescent="0.2">
      <c r="B19" s="579"/>
      <c r="C19" s="758"/>
      <c r="D19" s="759"/>
      <c r="E19" s="422"/>
      <c r="F19" s="422"/>
      <c r="G19" s="899"/>
      <c r="H19" s="567"/>
      <c r="J19" s="826"/>
      <c r="K19" s="828"/>
      <c r="L19" s="828"/>
      <c r="M19" s="828"/>
      <c r="N19" s="828"/>
      <c r="O19" s="828"/>
      <c r="P19" s="828"/>
      <c r="Q19" s="828"/>
      <c r="R19" s="828"/>
      <c r="S19" s="828"/>
      <c r="T19" s="828"/>
      <c r="U19" s="828"/>
      <c r="V19" s="828"/>
      <c r="W19" s="829"/>
    </row>
    <row r="20" spans="2:23" ht="22.9" customHeight="1" x14ac:dyDescent="0.2">
      <c r="B20" s="579"/>
      <c r="C20" s="758"/>
      <c r="D20" s="759"/>
      <c r="E20" s="422"/>
      <c r="F20" s="422"/>
      <c r="G20" s="899"/>
      <c r="H20" s="567"/>
      <c r="J20" s="826"/>
      <c r="K20" s="828"/>
      <c r="L20" s="828"/>
      <c r="M20" s="828"/>
      <c r="N20" s="828"/>
      <c r="O20" s="828"/>
      <c r="P20" s="828"/>
      <c r="Q20" s="828"/>
      <c r="R20" s="828"/>
      <c r="S20" s="828"/>
      <c r="T20" s="828"/>
      <c r="U20" s="828"/>
      <c r="V20" s="828"/>
      <c r="W20" s="829"/>
    </row>
    <row r="21" spans="2:23" ht="22.9" customHeight="1" x14ac:dyDescent="0.2">
      <c r="B21" s="579"/>
      <c r="C21" s="758"/>
      <c r="D21" s="759"/>
      <c r="E21" s="422"/>
      <c r="F21" s="422"/>
      <c r="G21" s="899"/>
      <c r="H21" s="567"/>
      <c r="J21" s="826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828"/>
      <c r="W21" s="829"/>
    </row>
    <row r="22" spans="2:23" ht="22.9" customHeight="1" x14ac:dyDescent="0.2">
      <c r="B22" s="579"/>
      <c r="C22" s="758"/>
      <c r="D22" s="759"/>
      <c r="E22" s="422"/>
      <c r="F22" s="422"/>
      <c r="G22" s="899"/>
      <c r="H22" s="567"/>
      <c r="J22" s="826"/>
      <c r="K22" s="828"/>
      <c r="L22" s="828"/>
      <c r="M22" s="828"/>
      <c r="N22" s="828"/>
      <c r="O22" s="828"/>
      <c r="P22" s="828"/>
      <c r="Q22" s="828"/>
      <c r="R22" s="828"/>
      <c r="S22" s="828"/>
      <c r="T22" s="828"/>
      <c r="U22" s="828"/>
      <c r="V22" s="828"/>
      <c r="W22" s="829"/>
    </row>
    <row r="23" spans="2:23" ht="22.9" customHeight="1" x14ac:dyDescent="0.2">
      <c r="B23" s="579"/>
      <c r="C23" s="758"/>
      <c r="D23" s="759"/>
      <c r="E23" s="422"/>
      <c r="F23" s="422"/>
      <c r="G23" s="899"/>
      <c r="H23" s="567"/>
      <c r="J23" s="826"/>
      <c r="K23" s="828"/>
      <c r="L23" s="828"/>
      <c r="M23" s="828"/>
      <c r="N23" s="828"/>
      <c r="O23" s="828"/>
      <c r="P23" s="828"/>
      <c r="Q23" s="828"/>
      <c r="R23" s="828"/>
      <c r="S23" s="828"/>
      <c r="T23" s="828"/>
      <c r="U23" s="828"/>
      <c r="V23" s="828"/>
      <c r="W23" s="829"/>
    </row>
    <row r="24" spans="2:23" ht="22.9" customHeight="1" x14ac:dyDescent="0.2">
      <c r="B24" s="579"/>
      <c r="C24" s="758"/>
      <c r="D24" s="759"/>
      <c r="E24" s="422"/>
      <c r="F24" s="422"/>
      <c r="G24" s="899"/>
      <c r="H24" s="567"/>
      <c r="J24" s="826"/>
      <c r="K24" s="828"/>
      <c r="L24" s="828"/>
      <c r="M24" s="828"/>
      <c r="N24" s="828"/>
      <c r="O24" s="828"/>
      <c r="P24" s="828"/>
      <c r="Q24" s="828"/>
      <c r="R24" s="828"/>
      <c r="S24" s="828"/>
      <c r="T24" s="828"/>
      <c r="U24" s="828"/>
      <c r="V24" s="828"/>
      <c r="W24" s="829"/>
    </row>
    <row r="25" spans="2:23" ht="22.9" customHeight="1" x14ac:dyDescent="0.2">
      <c r="B25" s="579"/>
      <c r="C25" s="758"/>
      <c r="D25" s="759"/>
      <c r="E25" s="422"/>
      <c r="F25" s="422"/>
      <c r="G25" s="899"/>
      <c r="H25" s="567"/>
      <c r="J25" s="826"/>
      <c r="K25" s="828"/>
      <c r="L25" s="828"/>
      <c r="M25" s="828"/>
      <c r="N25" s="828"/>
      <c r="O25" s="828"/>
      <c r="P25" s="828"/>
      <c r="Q25" s="828"/>
      <c r="R25" s="828"/>
      <c r="S25" s="828"/>
      <c r="T25" s="828"/>
      <c r="U25" s="828"/>
      <c r="V25" s="828"/>
      <c r="W25" s="829"/>
    </row>
    <row r="26" spans="2:23" ht="22.9" customHeight="1" x14ac:dyDescent="0.2">
      <c r="B26" s="579"/>
      <c r="C26" s="758"/>
      <c r="D26" s="759"/>
      <c r="E26" s="422"/>
      <c r="F26" s="422"/>
      <c r="G26" s="899"/>
      <c r="H26" s="567"/>
      <c r="J26" s="826"/>
      <c r="K26" s="828"/>
      <c r="L26" s="828"/>
      <c r="M26" s="828"/>
      <c r="N26" s="828"/>
      <c r="O26" s="828"/>
      <c r="P26" s="828"/>
      <c r="Q26" s="828"/>
      <c r="R26" s="828"/>
      <c r="S26" s="828"/>
      <c r="T26" s="828"/>
      <c r="U26" s="828"/>
      <c r="V26" s="828"/>
      <c r="W26" s="829"/>
    </row>
    <row r="27" spans="2:23" ht="22.9" customHeight="1" x14ac:dyDescent="0.2">
      <c r="B27" s="579"/>
      <c r="C27" s="758"/>
      <c r="D27" s="759"/>
      <c r="E27" s="422"/>
      <c r="F27" s="422"/>
      <c r="G27" s="899"/>
      <c r="H27" s="567"/>
      <c r="J27" s="826"/>
      <c r="K27" s="828"/>
      <c r="L27" s="828"/>
      <c r="M27" s="828"/>
      <c r="N27" s="828"/>
      <c r="O27" s="828"/>
      <c r="P27" s="828"/>
      <c r="Q27" s="828"/>
      <c r="R27" s="828"/>
      <c r="S27" s="828"/>
      <c r="T27" s="828"/>
      <c r="U27" s="828"/>
      <c r="V27" s="828"/>
      <c r="W27" s="829"/>
    </row>
    <row r="28" spans="2:23" ht="22.9" customHeight="1" x14ac:dyDescent="0.2">
      <c r="B28" s="579"/>
      <c r="C28" s="758"/>
      <c r="D28" s="759"/>
      <c r="E28" s="422"/>
      <c r="F28" s="422"/>
      <c r="G28" s="899"/>
      <c r="H28" s="567"/>
      <c r="J28" s="826"/>
      <c r="K28" s="828"/>
      <c r="L28" s="828"/>
      <c r="M28" s="828"/>
      <c r="N28" s="828"/>
      <c r="O28" s="828"/>
      <c r="P28" s="828"/>
      <c r="Q28" s="828"/>
      <c r="R28" s="828"/>
      <c r="S28" s="828"/>
      <c r="T28" s="828"/>
      <c r="U28" s="828"/>
      <c r="V28" s="828"/>
      <c r="W28" s="829"/>
    </row>
    <row r="29" spans="2:23" ht="22.9" customHeight="1" x14ac:dyDescent="0.2">
      <c r="B29" s="579"/>
      <c r="C29" s="758"/>
      <c r="D29" s="759"/>
      <c r="E29" s="422"/>
      <c r="F29" s="422"/>
      <c r="G29" s="899"/>
      <c r="H29" s="567"/>
      <c r="J29" s="826"/>
      <c r="K29" s="828"/>
      <c r="L29" s="828"/>
      <c r="M29" s="828"/>
      <c r="N29" s="828"/>
      <c r="O29" s="828"/>
      <c r="P29" s="828"/>
      <c r="Q29" s="828"/>
      <c r="R29" s="828"/>
      <c r="S29" s="828"/>
      <c r="T29" s="828"/>
      <c r="U29" s="828"/>
      <c r="V29" s="828"/>
      <c r="W29" s="829"/>
    </row>
    <row r="30" spans="2:23" ht="22.9" customHeight="1" x14ac:dyDescent="0.2">
      <c r="B30" s="579"/>
      <c r="C30" s="758"/>
      <c r="D30" s="759"/>
      <c r="E30" s="422"/>
      <c r="F30" s="422"/>
      <c r="G30" s="899"/>
      <c r="H30" s="567"/>
      <c r="J30" s="826"/>
      <c r="K30" s="828"/>
      <c r="L30" s="828"/>
      <c r="M30" s="828"/>
      <c r="N30" s="828"/>
      <c r="O30" s="828"/>
      <c r="P30" s="828"/>
      <c r="Q30" s="828"/>
      <c r="R30" s="828"/>
      <c r="S30" s="828"/>
      <c r="T30" s="828"/>
      <c r="U30" s="828"/>
      <c r="V30" s="828"/>
      <c r="W30" s="829"/>
    </row>
    <row r="31" spans="2:23" ht="22.9" customHeight="1" x14ac:dyDescent="0.2">
      <c r="B31" s="579"/>
      <c r="C31" s="346"/>
      <c r="D31" s="764"/>
      <c r="E31" s="344"/>
      <c r="F31" s="344"/>
      <c r="G31" s="900"/>
      <c r="H31" s="567"/>
      <c r="J31" s="826"/>
      <c r="K31" s="828"/>
      <c r="L31" s="828"/>
      <c r="M31" s="828"/>
      <c r="N31" s="828"/>
      <c r="O31" s="828"/>
      <c r="P31" s="828"/>
      <c r="Q31" s="828"/>
      <c r="R31" s="828"/>
      <c r="S31" s="828"/>
      <c r="T31" s="828"/>
      <c r="U31" s="828"/>
      <c r="V31" s="828"/>
      <c r="W31" s="829"/>
    </row>
    <row r="32" spans="2:23" ht="22.9" customHeight="1" x14ac:dyDescent="0.2">
      <c r="B32" s="579"/>
      <c r="C32" s="356"/>
      <c r="D32" s="768"/>
      <c r="E32" s="354"/>
      <c r="F32" s="354"/>
      <c r="G32" s="901"/>
      <c r="H32" s="567"/>
      <c r="J32" s="826"/>
      <c r="K32" s="828"/>
      <c r="L32" s="828"/>
      <c r="M32" s="828"/>
      <c r="N32" s="828"/>
      <c r="O32" s="828"/>
      <c r="P32" s="828"/>
      <c r="Q32" s="828"/>
      <c r="R32" s="828"/>
      <c r="S32" s="828"/>
      <c r="T32" s="828"/>
      <c r="U32" s="828"/>
      <c r="V32" s="828"/>
      <c r="W32" s="829"/>
    </row>
    <row r="33" spans="2:23" ht="22.9" customHeight="1" x14ac:dyDescent="0.2">
      <c r="B33" s="579"/>
      <c r="C33" s="4"/>
      <c r="D33" s="896" t="s">
        <v>610</v>
      </c>
      <c r="E33" s="646">
        <f>SUM(E17:E32)</f>
        <v>0</v>
      </c>
      <c r="F33" s="646">
        <f>SUM(F17:F32)</f>
        <v>0</v>
      </c>
      <c r="G33" s="577"/>
      <c r="H33" s="567"/>
      <c r="J33" s="826"/>
      <c r="K33" s="828"/>
      <c r="L33" s="828"/>
      <c r="M33" s="828"/>
      <c r="N33" s="828"/>
      <c r="O33" s="828"/>
      <c r="P33" s="828"/>
      <c r="Q33" s="828"/>
      <c r="R33" s="828"/>
      <c r="S33" s="828"/>
      <c r="T33" s="828"/>
      <c r="U33" s="828"/>
      <c r="V33" s="828"/>
      <c r="W33" s="829"/>
    </row>
    <row r="34" spans="2:23" ht="22.9" customHeight="1" x14ac:dyDescent="0.2">
      <c r="B34" s="579"/>
      <c r="C34" s="4"/>
      <c r="D34" s="4"/>
      <c r="E34" s="609"/>
      <c r="F34" s="609"/>
      <c r="G34" s="577"/>
      <c r="H34" s="567"/>
      <c r="J34" s="826"/>
      <c r="K34" s="828"/>
      <c r="L34" s="828"/>
      <c r="M34" s="828"/>
      <c r="N34" s="828"/>
      <c r="O34" s="828"/>
      <c r="P34" s="828"/>
      <c r="Q34" s="828"/>
      <c r="R34" s="828"/>
      <c r="S34" s="828"/>
      <c r="T34" s="828"/>
      <c r="U34" s="828"/>
      <c r="V34" s="828"/>
      <c r="W34" s="829"/>
    </row>
    <row r="35" spans="2:23" ht="22.9" customHeight="1" x14ac:dyDescent="0.2">
      <c r="B35" s="613"/>
      <c r="C35" s="996"/>
      <c r="D35" s="996"/>
      <c r="E35" s="283"/>
      <c r="F35" s="283"/>
      <c r="G35" s="614"/>
      <c r="H35" s="615"/>
      <c r="J35" s="834"/>
      <c r="K35" s="835"/>
      <c r="L35" s="835"/>
      <c r="M35" s="835"/>
      <c r="N35" s="835"/>
      <c r="O35" s="835"/>
      <c r="P35" s="835"/>
      <c r="Q35" s="835"/>
      <c r="R35" s="835"/>
      <c r="S35" s="835"/>
      <c r="T35" s="835"/>
      <c r="U35" s="835"/>
      <c r="V35" s="835"/>
      <c r="W35" s="836"/>
    </row>
    <row r="36" spans="2:23" ht="22.9" customHeight="1" x14ac:dyDescent="0.2">
      <c r="C36" s="556"/>
      <c r="D36" s="556"/>
      <c r="E36" s="566"/>
      <c r="F36" s="566"/>
      <c r="G36" s="566"/>
    </row>
    <row r="37" spans="2:23" ht="15" x14ac:dyDescent="0.2">
      <c r="C37" s="556" t="s">
        <v>55</v>
      </c>
      <c r="D37" s="556"/>
      <c r="E37" s="566"/>
      <c r="F37" s="566"/>
      <c r="G37" s="558" t="s">
        <v>41</v>
      </c>
    </row>
    <row r="38" spans="2:23" ht="15" x14ac:dyDescent="0.2">
      <c r="C38" s="616" t="s">
        <v>57</v>
      </c>
      <c r="D38" s="556"/>
      <c r="E38" s="566"/>
      <c r="F38" s="566"/>
      <c r="G38" s="566"/>
    </row>
    <row r="39" spans="2:23" ht="15" x14ac:dyDescent="0.2">
      <c r="C39" s="616" t="s">
        <v>58</v>
      </c>
      <c r="D39" s="556"/>
      <c r="E39" s="566"/>
      <c r="F39" s="566"/>
      <c r="G39" s="566"/>
    </row>
    <row r="40" spans="2:23" ht="15" x14ac:dyDescent="0.2">
      <c r="C40" s="616" t="s">
        <v>59</v>
      </c>
      <c r="D40" s="556"/>
      <c r="E40" s="566"/>
      <c r="F40" s="566"/>
      <c r="G40" s="566"/>
    </row>
    <row r="41" spans="2:23" ht="15" x14ac:dyDescent="0.2">
      <c r="C41" s="616" t="s">
        <v>60</v>
      </c>
      <c r="D41" s="556"/>
      <c r="E41" s="566"/>
      <c r="F41" s="566"/>
      <c r="G41" s="566"/>
    </row>
  </sheetData>
  <sheetProtection password="E059" sheet="1" insertRows="0"/>
  <mergeCells count="4">
    <mergeCell ref="G6:G7"/>
    <mergeCell ref="D9:G9"/>
    <mergeCell ref="C12:D12"/>
    <mergeCell ref="C35:D35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44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5"/>
  <sheetViews>
    <sheetView zoomScale="70" zoomScaleNormal="70" workbookViewId="0">
      <selection activeCell="P30" sqref="P30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" style="22" customWidth="1"/>
    <col min="4" max="4" width="76" style="22" customWidth="1"/>
    <col min="5" max="5" width="18.77734375" style="559" customWidth="1"/>
    <col min="6" max="6" width="47.44140625" style="559" customWidth="1"/>
    <col min="7" max="7" width="11.44140625" style="559"/>
    <col min="8" max="8" width="3.21875" style="22" customWidth="1"/>
    <col min="9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2"/>
      <c r="H5" s="563"/>
      <c r="I5"/>
      <c r="J5" s="823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566"/>
      <c r="G6" s="981">
        <f>ejercicio</f>
        <v>2018</v>
      </c>
      <c r="H6" s="567"/>
      <c r="I6"/>
      <c r="J6" s="826"/>
      <c r="K6" s="827" t="s">
        <v>93</v>
      </c>
      <c r="L6" s="827"/>
      <c r="M6" s="827"/>
      <c r="N6" s="827"/>
      <c r="O6" s="828"/>
      <c r="P6" s="828"/>
      <c r="Q6" s="828"/>
      <c r="R6" s="828"/>
      <c r="S6" s="828"/>
      <c r="T6" s="828"/>
      <c r="U6" s="828"/>
      <c r="V6" s="828"/>
      <c r="W6" s="829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566"/>
      <c r="G7" s="981"/>
      <c r="H7" s="567"/>
      <c r="I7"/>
      <c r="J7" s="826"/>
      <c r="K7" s="828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8"/>
      <c r="W7" s="829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6"/>
      <c r="G8" s="568"/>
      <c r="H8" s="567"/>
      <c r="I8"/>
      <c r="J8" s="826"/>
      <c r="K8" s="828"/>
      <c r="L8" s="828"/>
      <c r="M8" s="828"/>
      <c r="N8" s="828"/>
      <c r="O8" s="828"/>
      <c r="P8" s="828"/>
      <c r="Q8" s="828"/>
      <c r="R8" s="828"/>
      <c r="S8" s="828"/>
      <c r="T8" s="828"/>
      <c r="U8" s="828"/>
      <c r="V8" s="828"/>
      <c r="W8" s="829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995"/>
      <c r="H9" s="570"/>
      <c r="J9" s="826"/>
      <c r="K9" s="828"/>
      <c r="L9" s="828"/>
      <c r="M9" s="828"/>
      <c r="N9" s="828"/>
      <c r="O9" s="828"/>
      <c r="P9" s="828"/>
      <c r="Q9" s="828"/>
      <c r="R9" s="828"/>
      <c r="S9" s="828"/>
      <c r="T9" s="828"/>
      <c r="U9" s="828"/>
      <c r="V9" s="828"/>
      <c r="W9" s="829"/>
    </row>
    <row r="10" spans="1:256" ht="7.15" customHeight="1" x14ac:dyDescent="0.2">
      <c r="A10"/>
      <c r="B10" s="564"/>
      <c r="C10" s="556"/>
      <c r="D10" s="556"/>
      <c r="E10" s="566"/>
      <c r="F10" s="566"/>
      <c r="G10" s="566"/>
      <c r="H10" s="567"/>
      <c r="I10"/>
      <c r="J10" s="826"/>
      <c r="K10" s="828"/>
      <c r="L10" s="828"/>
      <c r="M10" s="828"/>
      <c r="N10" s="828"/>
      <c r="O10" s="828"/>
      <c r="P10" s="828"/>
      <c r="Q10" s="828"/>
      <c r="R10" s="828"/>
      <c r="S10" s="828"/>
      <c r="T10" s="828"/>
      <c r="U10" s="828"/>
      <c r="V10" s="828"/>
      <c r="W10" s="829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861</v>
      </c>
      <c r="D11" s="573"/>
      <c r="E11" s="574"/>
      <c r="F11" s="574"/>
      <c r="G11" s="574"/>
      <c r="H11" s="575"/>
      <c r="J11" s="826"/>
      <c r="K11" s="828"/>
      <c r="L11" s="828"/>
      <c r="M11" s="828"/>
      <c r="N11" s="828"/>
      <c r="O11" s="828"/>
      <c r="P11" s="828"/>
      <c r="Q11" s="828"/>
      <c r="R11" s="828"/>
      <c r="S11" s="828"/>
      <c r="T11" s="828"/>
      <c r="U11" s="828"/>
      <c r="V11" s="828"/>
      <c r="W11" s="829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7"/>
      <c r="H12" s="575"/>
      <c r="I12"/>
      <c r="J12" s="826"/>
      <c r="K12" s="828"/>
      <c r="L12" s="828"/>
      <c r="M12" s="828"/>
      <c r="N12" s="828"/>
      <c r="O12" s="828"/>
      <c r="P12" s="828"/>
      <c r="Q12" s="828"/>
      <c r="R12" s="828"/>
      <c r="S12" s="828"/>
      <c r="T12" s="828"/>
      <c r="U12" s="828"/>
      <c r="V12" s="828"/>
      <c r="W12" s="829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8.9" customHeight="1" x14ac:dyDescent="0.2">
      <c r="A13"/>
      <c r="B13" s="579"/>
      <c r="C13" s="233"/>
      <c r="D13" s="660"/>
      <c r="E13" s="577"/>
      <c r="F13" s="577"/>
      <c r="G13" s="898"/>
      <c r="H13" s="567"/>
      <c r="I13"/>
      <c r="J13" s="826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9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9" customHeight="1" x14ac:dyDescent="0.2">
      <c r="A14"/>
      <c r="B14" s="579"/>
      <c r="C14" s="660"/>
      <c r="D14" s="660"/>
      <c r="E14" s="577"/>
      <c r="F14" s="577"/>
      <c r="G14" s="577"/>
      <c r="H14" s="567"/>
      <c r="I14"/>
      <c r="J14" s="826"/>
      <c r="K14" s="828"/>
      <c r="L14" s="828"/>
      <c r="M14" s="828"/>
      <c r="N14" s="828"/>
      <c r="O14" s="828"/>
      <c r="P14" s="828"/>
      <c r="Q14" s="828"/>
      <c r="R14" s="828"/>
      <c r="S14" s="828"/>
      <c r="T14" s="828"/>
      <c r="U14" s="828"/>
      <c r="V14" s="828"/>
      <c r="W14" s="829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751" customFormat="1" ht="22.9" customHeight="1" x14ac:dyDescent="0.2">
      <c r="B15" s="752"/>
      <c r="C15" s="853"/>
      <c r="D15" s="854"/>
      <c r="E15" s="617" t="s">
        <v>862</v>
      </c>
      <c r="F15" s="853"/>
      <c r="G15" s="854"/>
      <c r="H15" s="756"/>
      <c r="J15" s="826"/>
      <c r="K15" s="828"/>
      <c r="L15" s="828"/>
      <c r="M15" s="828"/>
      <c r="N15" s="828"/>
      <c r="O15" s="828"/>
      <c r="P15" s="828"/>
      <c r="Q15" s="828"/>
      <c r="R15" s="828"/>
      <c r="S15" s="828"/>
      <c r="T15" s="828"/>
      <c r="U15" s="828"/>
      <c r="V15" s="828"/>
      <c r="W15" s="829"/>
    </row>
    <row r="16" spans="1:256" ht="22.9" customHeight="1" x14ac:dyDescent="0.2">
      <c r="A16" s="751"/>
      <c r="B16" s="752"/>
      <c r="C16" s="902"/>
      <c r="D16" s="903"/>
      <c r="E16" s="855" t="s">
        <v>863</v>
      </c>
      <c r="F16" s="902"/>
      <c r="G16" s="903"/>
      <c r="H16" s="756"/>
      <c r="I16"/>
      <c r="J16" s="826"/>
      <c r="K16" s="828"/>
      <c r="L16" s="828"/>
      <c r="M16" s="828"/>
      <c r="N16" s="828"/>
      <c r="O16" s="828"/>
      <c r="P16" s="828"/>
      <c r="Q16" s="828"/>
      <c r="R16" s="828"/>
      <c r="S16" s="828"/>
      <c r="T16" s="828"/>
      <c r="U16" s="828"/>
      <c r="V16" s="828"/>
      <c r="W16" s="829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 s="751"/>
      <c r="B17" s="752"/>
      <c r="C17" s="902"/>
      <c r="D17" s="903"/>
      <c r="E17" s="855" t="s">
        <v>864</v>
      </c>
      <c r="F17" s="902"/>
      <c r="G17" s="903"/>
      <c r="H17" s="756"/>
      <c r="I17"/>
      <c r="J17" s="826"/>
      <c r="K17" s="828"/>
      <c r="L17" s="828"/>
      <c r="M17" s="828"/>
      <c r="N17" s="828"/>
      <c r="O17" s="828"/>
      <c r="P17" s="828"/>
      <c r="Q17" s="828"/>
      <c r="R17" s="828"/>
      <c r="S17" s="828"/>
      <c r="T17" s="828"/>
      <c r="U17" s="828"/>
      <c r="V17" s="828"/>
      <c r="W17" s="829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4" customHeight="1" x14ac:dyDescent="0.2">
      <c r="A18" s="751"/>
      <c r="B18" s="752"/>
      <c r="C18" s="1016" t="s">
        <v>751</v>
      </c>
      <c r="D18" s="1016"/>
      <c r="E18" s="904">
        <f>ejercicio</f>
        <v>2018</v>
      </c>
      <c r="F18" s="905" t="s">
        <v>148</v>
      </c>
      <c r="G18" s="906"/>
      <c r="H18" s="756"/>
      <c r="I18"/>
      <c r="J18" s="826"/>
      <c r="K18" s="828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8"/>
      <c r="W18" s="82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9" customHeight="1" x14ac:dyDescent="0.2">
      <c r="A19"/>
      <c r="B19" s="579"/>
      <c r="C19" s="233"/>
      <c r="D19" s="660"/>
      <c r="E19" s="577"/>
      <c r="F19" s="577"/>
      <c r="G19" s="898"/>
      <c r="H19" s="567"/>
      <c r="I19"/>
      <c r="J19" s="826"/>
      <c r="K19" s="828"/>
      <c r="L19" s="828"/>
      <c r="M19" s="828"/>
      <c r="N19" s="828"/>
      <c r="O19" s="828"/>
      <c r="P19" s="828"/>
      <c r="Q19" s="828"/>
      <c r="R19" s="828"/>
      <c r="S19" s="828"/>
      <c r="T19" s="828"/>
      <c r="U19" s="828"/>
      <c r="V19" s="828"/>
      <c r="W19" s="82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603" customFormat="1" ht="22.9" customHeight="1" x14ac:dyDescent="0.25">
      <c r="B20" s="846"/>
      <c r="C20" s="1027" t="s">
        <v>865</v>
      </c>
      <c r="D20" s="1027"/>
      <c r="E20" s="864">
        <f>SUM(E21:E29)</f>
        <v>11004739.219999999</v>
      </c>
      <c r="F20" s="1031"/>
      <c r="G20" s="1031"/>
      <c r="H20" s="606"/>
      <c r="J20" s="826"/>
      <c r="K20" s="828"/>
      <c r="L20" s="828"/>
      <c r="M20" s="828"/>
      <c r="N20" s="828"/>
      <c r="O20" s="828"/>
      <c r="P20" s="828"/>
      <c r="Q20" s="828"/>
      <c r="R20" s="828"/>
      <c r="S20" s="828"/>
      <c r="T20" s="828"/>
      <c r="U20" s="828"/>
      <c r="V20" s="828"/>
      <c r="W20" s="829"/>
    </row>
    <row r="21" spans="1:256" ht="22.9" customHeight="1" x14ac:dyDescent="0.2">
      <c r="B21" s="579"/>
      <c r="C21" s="807" t="s">
        <v>866</v>
      </c>
      <c r="D21" s="859"/>
      <c r="E21" s="907">
        <f>+'FC-3_CPyG'!G16</f>
        <v>9798840.0800000001</v>
      </c>
      <c r="F21" s="1032"/>
      <c r="G21" s="1032"/>
      <c r="H21" s="567"/>
      <c r="J21" s="826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828"/>
      <c r="W21" s="829"/>
    </row>
    <row r="22" spans="1:256" ht="22.9" customHeight="1" x14ac:dyDescent="0.2">
      <c r="B22" s="579"/>
      <c r="C22" s="807" t="s">
        <v>867</v>
      </c>
      <c r="D22" s="859"/>
      <c r="E22" s="907">
        <f>+'FC-3_CPyG'!G21</f>
        <v>0</v>
      </c>
      <c r="F22" s="1033"/>
      <c r="G22" s="1033"/>
      <c r="H22" s="567"/>
      <c r="J22" s="826"/>
      <c r="K22" s="828"/>
      <c r="L22" s="828"/>
      <c r="M22" s="828"/>
      <c r="N22" s="828"/>
      <c r="O22" s="828"/>
      <c r="P22" s="828"/>
      <c r="Q22" s="828"/>
      <c r="R22" s="828"/>
      <c r="S22" s="828"/>
      <c r="T22" s="828"/>
      <c r="U22" s="828"/>
      <c r="V22" s="828"/>
      <c r="W22" s="829"/>
    </row>
    <row r="23" spans="1:256" ht="22.9" customHeight="1" x14ac:dyDescent="0.2">
      <c r="B23" s="579"/>
      <c r="C23" s="807" t="s">
        <v>868</v>
      </c>
      <c r="D23" s="859"/>
      <c r="E23" s="907">
        <f>+'FC-3_CPyG'!G28</f>
        <v>21129.35</v>
      </c>
      <c r="F23" s="1033"/>
      <c r="G23" s="1033"/>
      <c r="H23" s="567"/>
      <c r="J23" s="826"/>
      <c r="K23" s="828"/>
      <c r="L23" s="828"/>
      <c r="M23" s="828"/>
      <c r="N23" s="828"/>
      <c r="O23" s="828"/>
      <c r="P23" s="828"/>
      <c r="Q23" s="828"/>
      <c r="R23" s="828"/>
      <c r="S23" s="828"/>
      <c r="T23" s="828"/>
      <c r="U23" s="828"/>
      <c r="V23" s="828"/>
      <c r="W23" s="829"/>
    </row>
    <row r="24" spans="1:256" ht="22.9" customHeight="1" x14ac:dyDescent="0.2">
      <c r="B24" s="579"/>
      <c r="C24" s="807" t="s">
        <v>869</v>
      </c>
      <c r="D24" s="859"/>
      <c r="E24" s="907">
        <f>+'FC-3_CPyG'!G29</f>
        <v>0</v>
      </c>
      <c r="F24" s="1033"/>
      <c r="G24" s="1033"/>
      <c r="H24" s="567"/>
      <c r="J24" s="826"/>
      <c r="K24" s="828"/>
      <c r="L24" s="828"/>
      <c r="M24" s="828"/>
      <c r="N24" s="828"/>
      <c r="O24" s="828"/>
      <c r="P24" s="828"/>
      <c r="Q24" s="828"/>
      <c r="R24" s="828"/>
      <c r="S24" s="828"/>
      <c r="T24" s="828"/>
      <c r="U24" s="828"/>
      <c r="V24" s="828"/>
      <c r="W24" s="829"/>
    </row>
    <row r="25" spans="1:256" ht="22.9" customHeight="1" x14ac:dyDescent="0.2">
      <c r="B25" s="579"/>
      <c r="C25" s="807" t="s">
        <v>870</v>
      </c>
      <c r="D25" s="859"/>
      <c r="E25" s="907">
        <f>+'FC-3_CPyG'!G55+'FC-3_CPyG'!G70</f>
        <v>2287.86</v>
      </c>
      <c r="F25" s="1033"/>
      <c r="G25" s="1033"/>
      <c r="H25" s="567"/>
      <c r="J25" s="826"/>
      <c r="K25" s="828"/>
      <c r="L25" s="828"/>
      <c r="M25" s="828"/>
      <c r="N25" s="828"/>
      <c r="O25" s="828"/>
      <c r="P25" s="828"/>
      <c r="Q25" s="828"/>
      <c r="R25" s="828"/>
      <c r="S25" s="828"/>
      <c r="T25" s="828"/>
      <c r="U25" s="828"/>
      <c r="V25" s="828"/>
      <c r="W25" s="829"/>
    </row>
    <row r="26" spans="1:256" ht="22.9" customHeight="1" x14ac:dyDescent="0.2">
      <c r="B26" s="579"/>
      <c r="C26" s="807" t="s">
        <v>871</v>
      </c>
      <c r="D26" s="859"/>
      <c r="E26" s="907">
        <f>+'FC-3_CPyG'!G52</f>
        <v>0</v>
      </c>
      <c r="F26" s="1033"/>
      <c r="G26" s="1033"/>
      <c r="H26" s="567"/>
      <c r="J26" s="826"/>
      <c r="K26" s="828"/>
      <c r="L26" s="828"/>
      <c r="M26" s="828"/>
      <c r="N26" s="828"/>
      <c r="O26" s="828"/>
      <c r="P26" s="828"/>
      <c r="Q26" s="828"/>
      <c r="R26" s="828"/>
      <c r="S26" s="828"/>
      <c r="T26" s="828"/>
      <c r="U26" s="828"/>
      <c r="V26" s="828"/>
      <c r="W26" s="829"/>
    </row>
    <row r="27" spans="1:256" ht="22.9" customHeight="1" x14ac:dyDescent="0.2">
      <c r="B27" s="579"/>
      <c r="C27" s="807" t="s">
        <v>872</v>
      </c>
      <c r="D27" s="859"/>
      <c r="E27" s="907">
        <f>+'FC-3_1_INF_ADIC_CPyG'!G49</f>
        <v>0</v>
      </c>
      <c r="F27" s="1033"/>
      <c r="G27" s="1033"/>
      <c r="H27" s="567"/>
      <c r="J27" s="826"/>
      <c r="K27" s="828"/>
      <c r="L27" s="828"/>
      <c r="M27" s="828"/>
      <c r="N27" s="828"/>
      <c r="O27" s="828"/>
      <c r="P27" s="828"/>
      <c r="Q27" s="828"/>
      <c r="R27" s="828"/>
      <c r="S27" s="828"/>
      <c r="T27" s="828"/>
      <c r="U27" s="828"/>
      <c r="V27" s="828"/>
      <c r="W27" s="829"/>
    </row>
    <row r="28" spans="1:256" ht="22.9" customHeight="1" x14ac:dyDescent="0.2">
      <c r="B28" s="579"/>
      <c r="C28" s="908" t="s">
        <v>873</v>
      </c>
      <c r="D28" s="859"/>
      <c r="E28" s="907">
        <f>+'FC-9_TRANS_SUBV'!G65+'FC-9_TRANS_SUBV'!G79</f>
        <v>989187.35000000009</v>
      </c>
      <c r="F28" s="1033"/>
      <c r="G28" s="1033"/>
      <c r="H28" s="567"/>
      <c r="J28" s="826"/>
      <c r="K28" s="828"/>
      <c r="L28" s="828"/>
      <c r="M28" s="828"/>
      <c r="N28" s="828"/>
      <c r="O28" s="828"/>
      <c r="P28" s="828"/>
      <c r="Q28" s="828"/>
      <c r="R28" s="828"/>
      <c r="S28" s="828"/>
      <c r="T28" s="828"/>
      <c r="U28" s="828"/>
      <c r="V28" s="828"/>
      <c r="W28" s="829"/>
    </row>
    <row r="29" spans="1:256" ht="22.9" customHeight="1" x14ac:dyDescent="0.2">
      <c r="B29" s="579"/>
      <c r="C29" s="638" t="s">
        <v>874</v>
      </c>
      <c r="D29" s="862"/>
      <c r="E29" s="909">
        <f>+'FC-9_TRANS_SUBV'!G30</f>
        <v>193294.58000000002</v>
      </c>
      <c r="F29" s="1034"/>
      <c r="G29" s="1034"/>
      <c r="H29" s="567"/>
      <c r="J29" s="826"/>
      <c r="K29" s="828"/>
      <c r="L29" s="828"/>
      <c r="M29" s="828"/>
      <c r="N29" s="828"/>
      <c r="O29" s="828"/>
      <c r="P29" s="828"/>
      <c r="Q29" s="828"/>
      <c r="R29" s="828"/>
      <c r="S29" s="828"/>
      <c r="T29" s="828"/>
      <c r="U29" s="828"/>
      <c r="V29" s="828"/>
      <c r="W29" s="829"/>
    </row>
    <row r="30" spans="1:256" ht="9" customHeight="1" x14ac:dyDescent="0.2">
      <c r="B30" s="579"/>
      <c r="C30" s="233"/>
      <c r="D30" s="660"/>
      <c r="E30" s="577"/>
      <c r="F30" s="577"/>
      <c r="G30" s="898"/>
      <c r="H30" s="567"/>
      <c r="J30" s="826"/>
      <c r="K30" s="828"/>
      <c r="L30" s="828"/>
      <c r="M30" s="828"/>
      <c r="N30" s="828"/>
      <c r="O30" s="828"/>
      <c r="P30" s="828"/>
      <c r="Q30" s="828"/>
      <c r="R30" s="828"/>
      <c r="S30" s="828"/>
      <c r="T30" s="828"/>
      <c r="U30" s="828"/>
      <c r="V30" s="828"/>
      <c r="W30" s="829"/>
    </row>
    <row r="31" spans="1:256" ht="22.9" customHeight="1" x14ac:dyDescent="0.25">
      <c r="B31" s="579"/>
      <c r="C31" s="1027" t="s">
        <v>875</v>
      </c>
      <c r="D31" s="1027"/>
      <c r="E31" s="864">
        <f>SUM(E32:E43)</f>
        <v>-11115028.59</v>
      </c>
      <c r="F31" s="1031"/>
      <c r="G31" s="1031"/>
      <c r="H31" s="567"/>
      <c r="J31" s="826"/>
      <c r="K31" s="828"/>
      <c r="L31" s="828"/>
      <c r="M31" s="828"/>
      <c r="N31" s="828"/>
      <c r="O31" s="828"/>
      <c r="P31" s="828"/>
      <c r="Q31" s="828"/>
      <c r="R31" s="828"/>
      <c r="S31" s="828"/>
      <c r="T31" s="828"/>
      <c r="U31" s="828"/>
      <c r="V31" s="828"/>
      <c r="W31" s="829"/>
    </row>
    <row r="32" spans="1:256" ht="22.9" customHeight="1" x14ac:dyDescent="0.2">
      <c r="B32" s="579"/>
      <c r="C32" s="807" t="s">
        <v>207</v>
      </c>
      <c r="D32" s="859"/>
      <c r="E32" s="907">
        <f>+'FC-3_CPyG'!G22</f>
        <v>-6028930.2000000002</v>
      </c>
      <c r="F32" s="1033"/>
      <c r="G32" s="1033"/>
      <c r="H32" s="567"/>
      <c r="J32" s="826"/>
      <c r="K32" s="828"/>
      <c r="L32" s="828"/>
      <c r="M32" s="828"/>
      <c r="N32" s="828"/>
      <c r="O32" s="828"/>
      <c r="P32" s="828"/>
      <c r="Q32" s="828"/>
      <c r="R32" s="828"/>
      <c r="S32" s="828"/>
      <c r="T32" s="828"/>
      <c r="U32" s="828"/>
      <c r="V32" s="828"/>
      <c r="W32" s="829"/>
    </row>
    <row r="33" spans="2:23" ht="22.9" customHeight="1" x14ac:dyDescent="0.2">
      <c r="B33" s="579"/>
      <c r="C33" s="807" t="s">
        <v>876</v>
      </c>
      <c r="D33" s="859"/>
      <c r="E33" s="907">
        <f>+'FC-3_CPyG'!G30</f>
        <v>-1678656.25</v>
      </c>
      <c r="F33" s="402"/>
      <c r="G33" s="404"/>
      <c r="H33" s="567"/>
      <c r="J33" s="826"/>
      <c r="K33" s="828"/>
      <c r="L33" s="828"/>
      <c r="M33" s="828"/>
      <c r="N33" s="828"/>
      <c r="O33" s="828"/>
      <c r="P33" s="828"/>
      <c r="Q33" s="828"/>
      <c r="R33" s="828"/>
      <c r="S33" s="828"/>
      <c r="T33" s="828"/>
      <c r="U33" s="828"/>
      <c r="V33" s="828"/>
      <c r="W33" s="829"/>
    </row>
    <row r="34" spans="2:23" ht="22.9" customHeight="1" x14ac:dyDescent="0.2">
      <c r="B34" s="579"/>
      <c r="C34" s="807" t="s">
        <v>223</v>
      </c>
      <c r="D34" s="859"/>
      <c r="E34" s="907">
        <f>+'FC-3_CPyG'!G34-'FC-3_CPyG'!G36</f>
        <v>-2949744.46</v>
      </c>
      <c r="F34" s="402"/>
      <c r="G34" s="404"/>
      <c r="H34" s="567"/>
      <c r="J34" s="826"/>
      <c r="K34" s="828"/>
      <c r="L34" s="828"/>
      <c r="M34" s="828"/>
      <c r="N34" s="828"/>
      <c r="O34" s="828"/>
      <c r="P34" s="828"/>
      <c r="Q34" s="828"/>
      <c r="R34" s="828"/>
      <c r="S34" s="828"/>
      <c r="T34" s="828"/>
      <c r="U34" s="828"/>
      <c r="V34" s="828"/>
      <c r="W34" s="829"/>
    </row>
    <row r="35" spans="2:23" ht="22.9" customHeight="1" x14ac:dyDescent="0.2">
      <c r="B35" s="579"/>
      <c r="C35" s="807" t="s">
        <v>877</v>
      </c>
      <c r="D35" s="859"/>
      <c r="E35" s="907">
        <f>+'FC-3_CPyG'!G59+'FC-3_CPyG'!G63+'FC-3_CPyG'!G66+'FC-3_CPyG'!G67</f>
        <v>-92.83</v>
      </c>
      <c r="F35" s="402"/>
      <c r="G35" s="404"/>
      <c r="H35" s="567"/>
      <c r="J35" s="826"/>
      <c r="K35" s="828"/>
      <c r="L35" s="828"/>
      <c r="M35" s="828"/>
      <c r="N35" s="828"/>
      <c r="O35" s="828"/>
      <c r="P35" s="828"/>
      <c r="Q35" s="828"/>
      <c r="R35" s="828"/>
      <c r="S35" s="828"/>
      <c r="T35" s="828"/>
      <c r="U35" s="828"/>
      <c r="V35" s="828"/>
      <c r="W35" s="829"/>
    </row>
    <row r="36" spans="2:23" ht="22.9" customHeight="1" x14ac:dyDescent="0.2">
      <c r="B36" s="579"/>
      <c r="C36" s="807" t="s">
        <v>878</v>
      </c>
      <c r="D36" s="859"/>
      <c r="E36" s="907">
        <f>+'FC-3_CPyG'!G77</f>
        <v>0</v>
      </c>
      <c r="F36" s="402"/>
      <c r="G36" s="404"/>
      <c r="H36" s="567"/>
      <c r="J36" s="826"/>
      <c r="K36" s="828"/>
      <c r="L36" s="828"/>
      <c r="M36" s="828"/>
      <c r="N36" s="828"/>
      <c r="O36" s="828"/>
      <c r="P36" s="828"/>
      <c r="Q36" s="828"/>
      <c r="R36" s="828"/>
      <c r="S36" s="828"/>
      <c r="T36" s="828"/>
      <c r="U36" s="828"/>
      <c r="V36" s="828"/>
      <c r="W36" s="829"/>
    </row>
    <row r="37" spans="2:23" ht="22.9" customHeight="1" x14ac:dyDescent="0.2">
      <c r="B37" s="579"/>
      <c r="C37" s="807" t="s">
        <v>879</v>
      </c>
      <c r="D37" s="859"/>
      <c r="E37" s="907">
        <f>+'FC-3_CPyG'!G36</f>
        <v>-4310.2700000000004</v>
      </c>
      <c r="F37" s="402"/>
      <c r="G37" s="404"/>
      <c r="H37" s="567"/>
      <c r="J37" s="826"/>
      <c r="K37" s="828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8"/>
      <c r="W37" s="829"/>
    </row>
    <row r="38" spans="2:23" ht="22.9" customHeight="1" x14ac:dyDescent="0.2">
      <c r="B38" s="579"/>
      <c r="C38" s="807" t="s">
        <v>880</v>
      </c>
      <c r="D38" s="859"/>
      <c r="E38" s="907">
        <f>+'FC-3_1_INF_ADIC_CPyG'!G57</f>
        <v>0</v>
      </c>
      <c r="F38" s="402"/>
      <c r="G38" s="404"/>
      <c r="H38" s="567"/>
      <c r="J38" s="826"/>
      <c r="K38" s="828"/>
      <c r="L38" s="828"/>
      <c r="M38" s="828"/>
      <c r="N38" s="828"/>
      <c r="O38" s="828"/>
      <c r="P38" s="828"/>
      <c r="Q38" s="828"/>
      <c r="R38" s="828"/>
      <c r="S38" s="828"/>
      <c r="T38" s="828"/>
      <c r="U38" s="828"/>
      <c r="V38" s="828"/>
      <c r="W38" s="829"/>
    </row>
    <row r="39" spans="2:23" ht="22.9" customHeight="1" x14ac:dyDescent="0.2">
      <c r="B39" s="579"/>
      <c r="C39" s="807" t="s">
        <v>881</v>
      </c>
      <c r="D39" s="859"/>
      <c r="E39" s="907">
        <f>-'FC-7_INF'!F31-'FC-7_INF'!H31-'FC-7_INF'!K31-'FC-7_INF'!F33-'FC-7_INF'!H33-'FC-7_INF'!K33</f>
        <v>-453294.58</v>
      </c>
      <c r="F39" s="402"/>
      <c r="G39" s="404"/>
      <c r="H39" s="567"/>
      <c r="J39" s="826"/>
      <c r="K39" s="828"/>
      <c r="L39" s="828"/>
      <c r="M39" s="828"/>
      <c r="N39" s="828"/>
      <c r="O39" s="828"/>
      <c r="P39" s="828"/>
      <c r="Q39" s="828"/>
      <c r="R39" s="828"/>
      <c r="S39" s="828"/>
      <c r="T39" s="828"/>
      <c r="U39" s="828"/>
      <c r="V39" s="828"/>
      <c r="W39" s="829"/>
    </row>
    <row r="40" spans="2:23" ht="22.9" customHeight="1" x14ac:dyDescent="0.2">
      <c r="B40" s="579"/>
      <c r="C40" s="807" t="s">
        <v>882</v>
      </c>
      <c r="D40" s="859"/>
      <c r="E40" s="907">
        <f>+'FC-3_CPyG'!G20</f>
        <v>0</v>
      </c>
      <c r="F40" s="402"/>
      <c r="G40" s="404"/>
      <c r="H40" s="567"/>
      <c r="J40" s="826"/>
      <c r="K40" s="828"/>
      <c r="L40" s="828"/>
      <c r="M40" s="828"/>
      <c r="N40" s="828"/>
      <c r="O40" s="828"/>
      <c r="P40" s="828"/>
      <c r="Q40" s="828"/>
      <c r="R40" s="828"/>
      <c r="S40" s="828"/>
      <c r="T40" s="828"/>
      <c r="U40" s="828"/>
      <c r="V40" s="828"/>
      <c r="W40" s="829"/>
    </row>
    <row r="41" spans="2:23" ht="22.9" customHeight="1" x14ac:dyDescent="0.2">
      <c r="B41" s="579"/>
      <c r="C41" s="807" t="s">
        <v>883</v>
      </c>
      <c r="D41" s="859"/>
      <c r="E41" s="422"/>
      <c r="F41" s="402"/>
      <c r="G41" s="404"/>
      <c r="H41" s="567"/>
      <c r="J41" s="826"/>
      <c r="K41" s="828"/>
      <c r="L41" s="828"/>
      <c r="M41" s="828"/>
      <c r="N41" s="828"/>
      <c r="O41" s="828"/>
      <c r="P41" s="828"/>
      <c r="Q41" s="828"/>
      <c r="R41" s="828"/>
      <c r="S41" s="828"/>
      <c r="T41" s="828"/>
      <c r="U41" s="828"/>
      <c r="V41" s="828"/>
      <c r="W41" s="829"/>
    </row>
    <row r="42" spans="2:23" ht="22.9" customHeight="1" x14ac:dyDescent="0.2">
      <c r="B42" s="579"/>
      <c r="C42" s="807" t="s">
        <v>884</v>
      </c>
      <c r="D42" s="859"/>
      <c r="E42" s="422"/>
      <c r="F42" s="1033"/>
      <c r="G42" s="1033"/>
      <c r="H42" s="567"/>
      <c r="J42" s="826"/>
      <c r="K42" s="828"/>
      <c r="L42" s="828"/>
      <c r="M42" s="828"/>
      <c r="N42" s="828"/>
      <c r="O42" s="828"/>
      <c r="P42" s="828"/>
      <c r="Q42" s="828"/>
      <c r="R42" s="828"/>
      <c r="S42" s="828"/>
      <c r="T42" s="828"/>
      <c r="U42" s="828"/>
      <c r="V42" s="828"/>
      <c r="W42" s="829"/>
    </row>
    <row r="43" spans="2:23" ht="22.9" customHeight="1" x14ac:dyDescent="0.2">
      <c r="B43" s="579"/>
      <c r="C43" s="638" t="s">
        <v>885</v>
      </c>
      <c r="D43" s="862"/>
      <c r="E43" s="354"/>
      <c r="F43" s="1034"/>
      <c r="G43" s="1034"/>
      <c r="H43" s="567"/>
      <c r="J43" s="826"/>
      <c r="K43" s="828"/>
      <c r="L43" s="828"/>
      <c r="M43" s="828"/>
      <c r="N43" s="828"/>
      <c r="O43" s="828"/>
      <c r="P43" s="828"/>
      <c r="Q43" s="828"/>
      <c r="R43" s="828"/>
      <c r="S43" s="828"/>
      <c r="T43" s="828"/>
      <c r="U43" s="828"/>
      <c r="V43" s="828"/>
      <c r="W43" s="829"/>
    </row>
    <row r="44" spans="2:23" ht="9" customHeight="1" x14ac:dyDescent="0.2">
      <c r="B44" s="579"/>
      <c r="C44" s="233"/>
      <c r="D44" s="660"/>
      <c r="E44" s="577"/>
      <c r="F44" s="577"/>
      <c r="G44" s="898"/>
      <c r="H44" s="567"/>
      <c r="J44" s="826"/>
      <c r="K44" s="828"/>
      <c r="L44" s="828"/>
      <c r="M44" s="828"/>
      <c r="N44" s="828"/>
      <c r="O44" s="828"/>
      <c r="P44" s="828"/>
      <c r="Q44" s="828"/>
      <c r="R44" s="828"/>
      <c r="S44" s="828"/>
      <c r="T44" s="828"/>
      <c r="U44" s="828"/>
      <c r="V44" s="828"/>
      <c r="W44" s="829"/>
    </row>
    <row r="45" spans="2:23" ht="22.9" customHeight="1" x14ac:dyDescent="0.2">
      <c r="B45" s="579"/>
      <c r="C45" s="644" t="s">
        <v>886</v>
      </c>
      <c r="D45" s="910"/>
      <c r="E45" s="646">
        <f>+E20+E31</f>
        <v>-110289.37000000104</v>
      </c>
      <c r="F45" s="577"/>
      <c r="G45" s="577"/>
      <c r="H45" s="567"/>
      <c r="J45" s="826"/>
      <c r="K45" s="828"/>
      <c r="L45" s="828"/>
      <c r="M45" s="828"/>
      <c r="N45" s="828"/>
      <c r="O45" s="828"/>
      <c r="P45" s="828"/>
      <c r="Q45" s="828"/>
      <c r="R45" s="828"/>
      <c r="S45" s="828"/>
      <c r="T45" s="828"/>
      <c r="U45" s="828"/>
      <c r="V45" s="828"/>
      <c r="W45" s="829"/>
    </row>
    <row r="46" spans="2:23" ht="22.9" customHeight="1" x14ac:dyDescent="0.2">
      <c r="B46" s="579"/>
      <c r="C46" s="4"/>
      <c r="D46" s="4"/>
      <c r="E46" s="609"/>
      <c r="F46" s="609"/>
      <c r="G46" s="577"/>
      <c r="H46" s="567"/>
      <c r="J46" s="826"/>
      <c r="K46" s="828"/>
      <c r="L46" s="828"/>
      <c r="M46" s="828"/>
      <c r="N46" s="828"/>
      <c r="O46" s="828"/>
      <c r="P46" s="828"/>
      <c r="Q46" s="828"/>
      <c r="R46" s="828"/>
      <c r="S46" s="828"/>
      <c r="T46" s="828"/>
      <c r="U46" s="828"/>
      <c r="V46" s="828"/>
      <c r="W46" s="829"/>
    </row>
    <row r="47" spans="2:23" ht="22.9" customHeight="1" x14ac:dyDescent="0.2">
      <c r="B47" s="579"/>
      <c r="C47" s="657" t="s">
        <v>167</v>
      </c>
      <c r="D47" s="4"/>
      <c r="E47" s="609"/>
      <c r="F47" s="609"/>
      <c r="G47" s="577"/>
      <c r="H47" s="567"/>
      <c r="J47" s="826"/>
      <c r="K47" s="828"/>
      <c r="L47" s="828"/>
      <c r="M47" s="828"/>
      <c r="N47" s="828"/>
      <c r="O47" s="828"/>
      <c r="P47" s="828"/>
      <c r="Q47" s="828"/>
      <c r="R47" s="828"/>
      <c r="S47" s="828"/>
      <c r="T47" s="828"/>
      <c r="U47" s="828"/>
      <c r="V47" s="828"/>
      <c r="W47" s="829"/>
    </row>
    <row r="48" spans="2:23" ht="22.9" customHeight="1" x14ac:dyDescent="0.2">
      <c r="B48" s="579"/>
      <c r="C48" s="658" t="s">
        <v>887</v>
      </c>
      <c r="D48" s="4"/>
      <c r="E48" s="609"/>
      <c r="F48" s="609"/>
      <c r="G48" s="577"/>
      <c r="H48" s="567"/>
      <c r="J48" s="826"/>
      <c r="K48" s="828"/>
      <c r="L48" s="828"/>
      <c r="M48" s="828"/>
      <c r="N48" s="828"/>
      <c r="O48" s="828"/>
      <c r="P48" s="828"/>
      <c r="Q48" s="828"/>
      <c r="R48" s="828"/>
      <c r="S48" s="828"/>
      <c r="T48" s="828"/>
      <c r="U48" s="828"/>
      <c r="V48" s="828"/>
      <c r="W48" s="829"/>
    </row>
    <row r="49" spans="2:23" ht="22.9" customHeight="1" x14ac:dyDescent="0.2">
      <c r="B49" s="613"/>
      <c r="C49" s="996"/>
      <c r="D49" s="996"/>
      <c r="E49" s="283"/>
      <c r="F49" s="283"/>
      <c r="G49" s="614"/>
      <c r="H49" s="615"/>
      <c r="J49" s="834"/>
      <c r="K49" s="835"/>
      <c r="L49" s="835"/>
      <c r="M49" s="835"/>
      <c r="N49" s="835"/>
      <c r="O49" s="835"/>
      <c r="P49" s="835"/>
      <c r="Q49" s="835"/>
      <c r="R49" s="835"/>
      <c r="S49" s="835"/>
      <c r="T49" s="835"/>
      <c r="U49" s="835"/>
      <c r="V49" s="835"/>
      <c r="W49" s="836"/>
    </row>
    <row r="50" spans="2:23" ht="22.9" customHeight="1" x14ac:dyDescent="0.2">
      <c r="C50" s="556"/>
      <c r="D50" s="556"/>
      <c r="E50" s="566"/>
      <c r="F50" s="566"/>
      <c r="G50" s="566"/>
    </row>
    <row r="51" spans="2:23" ht="15" x14ac:dyDescent="0.2">
      <c r="C51" s="556" t="s">
        <v>55</v>
      </c>
      <c r="D51" s="556"/>
      <c r="E51" s="566"/>
      <c r="F51" s="566"/>
      <c r="G51" s="558" t="s">
        <v>43</v>
      </c>
    </row>
    <row r="52" spans="2:23" ht="15" x14ac:dyDescent="0.2">
      <c r="C52" s="616" t="s">
        <v>57</v>
      </c>
      <c r="D52" s="556"/>
      <c r="E52" s="566"/>
      <c r="F52" s="566"/>
      <c r="G52" s="566"/>
    </row>
    <row r="53" spans="2:23" ht="15" x14ac:dyDescent="0.2">
      <c r="C53" s="616" t="s">
        <v>58</v>
      </c>
      <c r="D53" s="556"/>
      <c r="E53" s="566"/>
      <c r="F53" s="566"/>
      <c r="G53" s="566"/>
    </row>
    <row r="54" spans="2:23" ht="15" x14ac:dyDescent="0.2">
      <c r="C54" s="616" t="s">
        <v>59</v>
      </c>
      <c r="D54" s="556"/>
      <c r="E54" s="566"/>
      <c r="F54" s="566"/>
      <c r="G54" s="566"/>
    </row>
    <row r="55" spans="2:23" ht="15" x14ac:dyDescent="0.2">
      <c r="C55" s="616" t="s">
        <v>60</v>
      </c>
      <c r="D55" s="556"/>
      <c r="E55" s="566"/>
      <c r="F55" s="566"/>
      <c r="G55" s="566"/>
    </row>
  </sheetData>
  <sheetProtection password="E059" sheet="1"/>
  <mergeCells count="21">
    <mergeCell ref="F26:G26"/>
    <mergeCell ref="F42:G42"/>
    <mergeCell ref="F43:G43"/>
    <mergeCell ref="C49:D49"/>
    <mergeCell ref="F27:G27"/>
    <mergeCell ref="F28:G28"/>
    <mergeCell ref="F29:G29"/>
    <mergeCell ref="C31:D31"/>
    <mergeCell ref="F31:G31"/>
    <mergeCell ref="F32:G32"/>
    <mergeCell ref="F21:G21"/>
    <mergeCell ref="F22:G22"/>
    <mergeCell ref="F23:G23"/>
    <mergeCell ref="F24:G24"/>
    <mergeCell ref="F25:G25"/>
    <mergeCell ref="G6:G7"/>
    <mergeCell ref="D9:G9"/>
    <mergeCell ref="C12:D12"/>
    <mergeCell ref="C18:D18"/>
    <mergeCell ref="C20:D20"/>
    <mergeCell ref="F20:G20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6"/>
  <sheetViews>
    <sheetView zoomScale="70" zoomScaleNormal="70" workbookViewId="0">
      <selection activeCell="O36" sqref="O36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" style="22" customWidth="1"/>
    <col min="4" max="4" width="72.21875" style="22" customWidth="1"/>
    <col min="5" max="5" width="18.77734375" style="559" customWidth="1"/>
    <col min="6" max="6" width="13" style="559" customWidth="1"/>
    <col min="7" max="7" width="3.21875" style="22" customWidth="1"/>
    <col min="8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2"/>
      <c r="G5" s="563"/>
      <c r="H5"/>
      <c r="I5" s="823"/>
      <c r="J5" s="824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566"/>
      <c r="F6" s="981">
        <f>ejercicio</f>
        <v>2018</v>
      </c>
      <c r="G6" s="567"/>
      <c r="H6"/>
      <c r="I6" s="826"/>
      <c r="J6" s="827" t="s">
        <v>93</v>
      </c>
      <c r="K6" s="827"/>
      <c r="L6" s="827"/>
      <c r="M6" s="827"/>
      <c r="N6" s="828"/>
      <c r="O6" s="828"/>
      <c r="P6" s="828"/>
      <c r="Q6" s="828"/>
      <c r="R6" s="828"/>
      <c r="S6" s="828"/>
      <c r="T6" s="828"/>
      <c r="U6" s="828"/>
      <c r="V6" s="829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566"/>
      <c r="F7" s="981"/>
      <c r="G7" s="567"/>
      <c r="H7"/>
      <c r="I7" s="826"/>
      <c r="J7" s="828"/>
      <c r="K7" s="828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9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6"/>
      <c r="F8" s="568"/>
      <c r="G8" s="567"/>
      <c r="H8"/>
      <c r="I8" s="826"/>
      <c r="J8" s="828"/>
      <c r="K8" s="828"/>
      <c r="L8" s="828"/>
      <c r="M8" s="828"/>
      <c r="N8" s="828"/>
      <c r="O8" s="828"/>
      <c r="P8" s="828"/>
      <c r="Q8" s="828"/>
      <c r="R8" s="828"/>
      <c r="S8" s="828"/>
      <c r="T8" s="828"/>
      <c r="U8" s="828"/>
      <c r="V8" s="829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995"/>
      <c r="G9" s="570"/>
      <c r="I9" s="826"/>
      <c r="J9" s="828"/>
      <c r="K9" s="828"/>
      <c r="L9" s="828"/>
      <c r="M9" s="828"/>
      <c r="N9" s="828"/>
      <c r="O9" s="828"/>
      <c r="P9" s="828"/>
      <c r="Q9" s="828"/>
      <c r="R9" s="828"/>
      <c r="S9" s="828"/>
      <c r="T9" s="828"/>
      <c r="U9" s="828"/>
      <c r="V9" s="829"/>
    </row>
    <row r="10" spans="1:256" ht="7.15" customHeight="1" x14ac:dyDescent="0.2">
      <c r="A10"/>
      <c r="B10" s="564"/>
      <c r="C10" s="556"/>
      <c r="D10" s="556"/>
      <c r="E10" s="566"/>
      <c r="F10" s="566"/>
      <c r="G10" s="567"/>
      <c r="H10"/>
      <c r="I10" s="826"/>
      <c r="J10" s="828"/>
      <c r="K10" s="828"/>
      <c r="L10" s="828"/>
      <c r="M10" s="828"/>
      <c r="N10" s="828"/>
      <c r="O10" s="828"/>
      <c r="P10" s="828"/>
      <c r="Q10" s="828"/>
      <c r="R10" s="828"/>
      <c r="S10" s="828"/>
      <c r="T10" s="828"/>
      <c r="U10" s="828"/>
      <c r="V10" s="829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888</v>
      </c>
      <c r="D11" s="573"/>
      <c r="E11" s="574"/>
      <c r="F11" s="574"/>
      <c r="G11" s="575"/>
      <c r="I11" s="826"/>
      <c r="J11" s="828"/>
      <c r="K11" s="828"/>
      <c r="L11" s="828"/>
      <c r="M11" s="828"/>
      <c r="N11" s="828"/>
      <c r="O11" s="828"/>
      <c r="P11" s="828"/>
      <c r="Q11" s="828"/>
      <c r="R11" s="828"/>
      <c r="S11" s="828"/>
      <c r="T11" s="828"/>
      <c r="U11" s="828"/>
      <c r="V11" s="829"/>
    </row>
    <row r="12" spans="1:256" ht="30" customHeight="1" x14ac:dyDescent="0.25">
      <c r="A12" s="571"/>
      <c r="B12" s="572"/>
      <c r="C12" s="1007"/>
      <c r="D12" s="1007"/>
      <c r="E12" s="577"/>
      <c r="F12" s="577"/>
      <c r="G12" s="575"/>
      <c r="H12"/>
      <c r="I12" s="826"/>
      <c r="J12" s="828"/>
      <c r="K12" s="828"/>
      <c r="L12" s="828"/>
      <c r="M12" s="828"/>
      <c r="N12" s="828"/>
      <c r="O12" s="828"/>
      <c r="P12" s="828"/>
      <c r="Q12" s="828"/>
      <c r="R12" s="828"/>
      <c r="S12" s="828"/>
      <c r="T12" s="828"/>
      <c r="U12" s="828"/>
      <c r="V12" s="829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9" customHeight="1" x14ac:dyDescent="0.2">
      <c r="A13"/>
      <c r="B13" s="579"/>
      <c r="C13" s="660"/>
      <c r="D13" s="660"/>
      <c r="E13" s="577"/>
      <c r="F13" s="577"/>
      <c r="G13" s="567"/>
      <c r="H13"/>
      <c r="I13" s="826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9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882" customFormat="1" ht="24" customHeight="1" x14ac:dyDescent="0.2">
      <c r="B14" s="883"/>
      <c r="C14" s="1005" t="s">
        <v>751</v>
      </c>
      <c r="D14" s="1005"/>
      <c r="E14" s="618" t="s">
        <v>717</v>
      </c>
      <c r="F14" s="911" t="s">
        <v>889</v>
      </c>
      <c r="G14" s="884"/>
      <c r="I14" s="826"/>
      <c r="J14" s="828"/>
      <c r="K14" s="828"/>
      <c r="L14" s="828"/>
      <c r="M14" s="828"/>
      <c r="N14" s="828"/>
      <c r="O14" s="828"/>
      <c r="P14" s="828"/>
      <c r="Q14" s="828"/>
      <c r="R14" s="828"/>
      <c r="S14" s="828"/>
      <c r="T14" s="828"/>
      <c r="U14" s="828"/>
      <c r="V14" s="829"/>
    </row>
    <row r="15" spans="1:256" ht="9" customHeight="1" x14ac:dyDescent="0.2">
      <c r="A15"/>
      <c r="B15" s="579"/>
      <c r="C15" s="233"/>
      <c r="D15" s="660"/>
      <c r="E15" s="577"/>
      <c r="F15" s="898"/>
      <c r="G15" s="567"/>
      <c r="H15"/>
      <c r="I15" s="826"/>
      <c r="J15" s="828"/>
      <c r="K15" s="828"/>
      <c r="L15" s="828"/>
      <c r="M15" s="828"/>
      <c r="N15" s="828"/>
      <c r="O15" s="828"/>
      <c r="P15" s="828"/>
      <c r="Q15" s="828"/>
      <c r="R15" s="828"/>
      <c r="S15" s="828"/>
      <c r="T15" s="828"/>
      <c r="U15" s="828"/>
      <c r="V15" s="829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912" customFormat="1" ht="22.9" customHeight="1" x14ac:dyDescent="0.25">
      <c r="B16" s="913"/>
      <c r="C16" s="1035" t="s">
        <v>890</v>
      </c>
      <c r="D16" s="1035"/>
      <c r="E16" s="914">
        <f>SUM(E17:E19)</f>
        <v>128198.94</v>
      </c>
      <c r="F16" s="915">
        <f>E16/$E$33</f>
        <v>1.1883445869213924E-2</v>
      </c>
      <c r="G16" s="916"/>
      <c r="I16" s="826"/>
      <c r="J16" s="828"/>
      <c r="K16" s="828"/>
      <c r="L16" s="828"/>
      <c r="M16" s="828"/>
      <c r="N16" s="828"/>
      <c r="O16" s="828"/>
      <c r="P16" s="828"/>
      <c r="Q16" s="828"/>
      <c r="R16" s="828"/>
      <c r="S16" s="828"/>
      <c r="T16" s="828"/>
      <c r="U16" s="828"/>
      <c r="V16" s="829"/>
    </row>
    <row r="17" spans="2:256" ht="22.9" customHeight="1" x14ac:dyDescent="0.2">
      <c r="B17" s="569"/>
      <c r="C17" s="917" t="s">
        <v>891</v>
      </c>
      <c r="D17" s="859" t="s">
        <v>892</v>
      </c>
      <c r="E17" s="422">
        <f>+'FC-3_1_INF_ADIC_CPyG'!K16+'FC-3_1_INF_ADIC_CPyG'!K19</f>
        <v>128198.94</v>
      </c>
      <c r="F17" s="918">
        <f>E17/$E$33</f>
        <v>1.1883445869213924E-2</v>
      </c>
      <c r="G17" s="570"/>
      <c r="I17" s="826"/>
      <c r="J17" s="828"/>
      <c r="K17" s="828"/>
      <c r="L17" s="828"/>
      <c r="M17" s="828"/>
      <c r="N17" s="828"/>
      <c r="O17" s="828"/>
      <c r="P17" s="828"/>
      <c r="Q17" s="828"/>
      <c r="R17" s="828"/>
      <c r="S17" s="828"/>
      <c r="T17" s="828"/>
      <c r="U17" s="828"/>
      <c r="V17" s="829"/>
    </row>
    <row r="18" spans="2:256" ht="22.9" customHeight="1" x14ac:dyDescent="0.2">
      <c r="B18" s="569"/>
      <c r="C18" s="917" t="s">
        <v>893</v>
      </c>
      <c r="D18" s="859" t="s">
        <v>894</v>
      </c>
      <c r="E18" s="422">
        <f>+'FC-3_1_INF_ADIC_CPyG'!K33</f>
        <v>0</v>
      </c>
      <c r="F18" s="919">
        <f>E18/$E$33</f>
        <v>0</v>
      </c>
      <c r="G18" s="570"/>
      <c r="I18" s="826"/>
      <c r="J18" s="828"/>
      <c r="K18" s="828"/>
      <c r="L18" s="828"/>
      <c r="M18" s="828"/>
      <c r="N18" s="828"/>
      <c r="O18" s="828"/>
      <c r="P18" s="828"/>
      <c r="Q18" s="828"/>
      <c r="R18" s="828"/>
      <c r="S18" s="828"/>
      <c r="T18" s="828"/>
      <c r="U18" s="828"/>
      <c r="V18" s="829"/>
    </row>
    <row r="19" spans="2:256" ht="22.9" customHeight="1" x14ac:dyDescent="0.2">
      <c r="B19" s="569"/>
      <c r="C19" s="920" t="s">
        <v>895</v>
      </c>
      <c r="D19" s="862" t="s">
        <v>896</v>
      </c>
      <c r="E19" s="354"/>
      <c r="F19" s="921">
        <f>E19/$E$33</f>
        <v>0</v>
      </c>
      <c r="G19" s="570"/>
      <c r="H19"/>
      <c r="I19" s="826"/>
      <c r="J19" s="828"/>
      <c r="K19" s="828"/>
      <c r="L19" s="828"/>
      <c r="M19" s="828"/>
      <c r="N19" s="828"/>
      <c r="O19" s="828"/>
      <c r="P19" s="828"/>
      <c r="Q19" s="828"/>
      <c r="R19" s="828"/>
      <c r="S19" s="828"/>
      <c r="T19" s="828"/>
      <c r="U19" s="828"/>
      <c r="V19" s="82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2:256" ht="9" customHeight="1" x14ac:dyDescent="0.2">
      <c r="B20" s="569"/>
      <c r="C20" s="16"/>
      <c r="D20" s="660"/>
      <c r="E20" s="868"/>
      <c r="F20" s="922"/>
      <c r="G20" s="570"/>
      <c r="H20"/>
      <c r="I20" s="826"/>
      <c r="J20" s="828"/>
      <c r="K20" s="828"/>
      <c r="L20" s="828"/>
      <c r="M20" s="828"/>
      <c r="N20" s="828"/>
      <c r="O20" s="828"/>
      <c r="P20" s="828"/>
      <c r="Q20" s="828"/>
      <c r="R20" s="828"/>
      <c r="S20" s="828"/>
      <c r="T20" s="828"/>
      <c r="U20" s="828"/>
      <c r="V20" s="829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2:256" ht="22.9" customHeight="1" x14ac:dyDescent="0.25">
      <c r="B21" s="569"/>
      <c r="C21" s="1035" t="s">
        <v>897</v>
      </c>
      <c r="D21" s="1035"/>
      <c r="E21" s="923">
        <f>+'FC-3_1_INF_ADIC_CPyG'!K42</f>
        <v>9670641.1400000006</v>
      </c>
      <c r="F21" s="924">
        <f>E21/$E$33</f>
        <v>0.89642348452946052</v>
      </c>
      <c r="G21" s="570"/>
      <c r="H21"/>
      <c r="I21" s="826"/>
      <c r="J21" s="828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829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2:256" ht="9" customHeight="1" x14ac:dyDescent="0.2">
      <c r="B22" s="569"/>
      <c r="C22" s="16"/>
      <c r="D22" s="660"/>
      <c r="E22" s="868"/>
      <c r="F22" s="922"/>
      <c r="G22" s="570"/>
      <c r="H22"/>
      <c r="I22" s="826"/>
      <c r="J22" s="828"/>
      <c r="K22" s="828"/>
      <c r="L22" s="828"/>
      <c r="M22" s="828"/>
      <c r="N22" s="828"/>
      <c r="O22" s="828"/>
      <c r="P22" s="828"/>
      <c r="Q22" s="828"/>
      <c r="R22" s="828"/>
      <c r="S22" s="828"/>
      <c r="T22" s="828"/>
      <c r="U22" s="828"/>
      <c r="V22" s="829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2:256" s="912" customFormat="1" ht="22.9" customHeight="1" x14ac:dyDescent="0.25">
      <c r="B23" s="913"/>
      <c r="C23" s="1035" t="s">
        <v>898</v>
      </c>
      <c r="D23" s="1035"/>
      <c r="E23" s="914">
        <f>SUM(E24:E26)</f>
        <v>989187.35000000009</v>
      </c>
      <c r="F23" s="924">
        <f>E23/$E$33</f>
        <v>9.169306960132563E-2</v>
      </c>
      <c r="G23" s="916"/>
      <c r="I23" s="826"/>
      <c r="J23" s="828"/>
      <c r="K23" s="828"/>
      <c r="L23" s="828"/>
      <c r="M23" s="828"/>
      <c r="N23" s="828"/>
      <c r="O23" s="828"/>
      <c r="P23" s="828"/>
      <c r="Q23" s="828"/>
      <c r="R23" s="828"/>
      <c r="S23" s="828"/>
      <c r="T23" s="828"/>
      <c r="U23" s="828"/>
      <c r="V23" s="829"/>
    </row>
    <row r="24" spans="2:256" ht="22.9" customHeight="1" x14ac:dyDescent="0.2">
      <c r="B24" s="569"/>
      <c r="C24" s="917" t="s">
        <v>891</v>
      </c>
      <c r="D24" s="859" t="s">
        <v>899</v>
      </c>
      <c r="E24" s="422">
        <f>+'FC-9_TRANS_SUBV'!G50+'FC-9_TRANS_SUBV'!G65</f>
        <v>989187.35000000009</v>
      </c>
      <c r="F24" s="918">
        <f>E24/$E$33</f>
        <v>9.169306960132563E-2</v>
      </c>
      <c r="G24" s="570"/>
      <c r="I24" s="826"/>
      <c r="J24" s="828"/>
      <c r="K24" s="828"/>
      <c r="L24" s="828"/>
      <c r="M24" s="828"/>
      <c r="N24" s="828"/>
      <c r="O24" s="828"/>
      <c r="P24" s="828"/>
      <c r="Q24" s="828"/>
      <c r="R24" s="828"/>
      <c r="S24" s="828"/>
      <c r="T24" s="828"/>
      <c r="U24" s="828"/>
      <c r="V24" s="829"/>
    </row>
    <row r="25" spans="2:256" ht="22.9" customHeight="1" x14ac:dyDescent="0.2">
      <c r="B25" s="569"/>
      <c r="C25" s="917" t="s">
        <v>893</v>
      </c>
      <c r="D25" s="859" t="s">
        <v>900</v>
      </c>
      <c r="E25" s="422">
        <f>+'FC-3_1_INF_ADIC_CPyG'!G78+'FC-3_1_INF_ADIC_CPyG'!G79+'FC-3_1_INF_ADIC_CPyG'!G80+'FC-3_1_INF_ADIC_CPyG'!G83</f>
        <v>0</v>
      </c>
      <c r="F25" s="919">
        <f>E25/$E$33</f>
        <v>0</v>
      </c>
      <c r="G25" s="570"/>
      <c r="H25"/>
      <c r="I25" s="826"/>
      <c r="J25" s="828"/>
      <c r="K25" s="828"/>
      <c r="L25" s="828"/>
      <c r="M25" s="828"/>
      <c r="N25" s="828"/>
      <c r="O25" s="828"/>
      <c r="P25" s="828"/>
      <c r="Q25" s="828"/>
      <c r="R25" s="828"/>
      <c r="S25" s="828"/>
      <c r="T25" s="828"/>
      <c r="U25" s="828"/>
      <c r="V25" s="829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2:256" ht="22.9" customHeight="1" x14ac:dyDescent="0.2">
      <c r="B26" s="569"/>
      <c r="C26" s="920" t="s">
        <v>895</v>
      </c>
      <c r="D26" s="862" t="s">
        <v>901</v>
      </c>
      <c r="E26" s="354">
        <f>+'FC-3_1_INF_ADIC_CPyG'!G82</f>
        <v>0</v>
      </c>
      <c r="F26" s="921">
        <f>E26/$E$33</f>
        <v>0</v>
      </c>
      <c r="G26" s="570"/>
      <c r="H26"/>
      <c r="I26" s="826"/>
      <c r="J26" s="828"/>
      <c r="K26" s="828"/>
      <c r="L26" s="828"/>
      <c r="M26" s="828"/>
      <c r="N26" s="828"/>
      <c r="O26" s="828"/>
      <c r="P26" s="828"/>
      <c r="Q26" s="828"/>
      <c r="R26" s="828"/>
      <c r="S26" s="828"/>
      <c r="T26" s="828"/>
      <c r="U26" s="828"/>
      <c r="V26" s="829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2:256" ht="9" customHeight="1" x14ac:dyDescent="0.2">
      <c r="B27" s="569"/>
      <c r="C27" s="16"/>
      <c r="D27" s="660"/>
      <c r="E27" s="868"/>
      <c r="F27" s="922"/>
      <c r="G27" s="570"/>
      <c r="H27"/>
      <c r="I27" s="826"/>
      <c r="J27" s="828"/>
      <c r="K27" s="828"/>
      <c r="L27" s="828"/>
      <c r="M27" s="828"/>
      <c r="N27" s="828"/>
      <c r="O27" s="828"/>
      <c r="P27" s="828"/>
      <c r="Q27" s="828"/>
      <c r="R27" s="828"/>
      <c r="S27" s="828"/>
      <c r="T27" s="828"/>
      <c r="U27" s="828"/>
      <c r="V27" s="829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2:256" s="912" customFormat="1" ht="22.9" customHeight="1" x14ac:dyDescent="0.25">
      <c r="B28" s="913"/>
      <c r="C28" s="1035" t="s">
        <v>902</v>
      </c>
      <c r="D28" s="1035"/>
      <c r="E28" s="914">
        <f>SUM(E29:E31)</f>
        <v>0</v>
      </c>
      <c r="F28" s="924">
        <f>E28/$E$33</f>
        <v>0</v>
      </c>
      <c r="G28" s="916"/>
      <c r="I28" s="826"/>
      <c r="J28" s="828"/>
      <c r="K28" s="828"/>
      <c r="L28" s="828"/>
      <c r="M28" s="828"/>
      <c r="N28" s="828"/>
      <c r="O28" s="828"/>
      <c r="P28" s="828"/>
      <c r="Q28" s="828"/>
      <c r="R28" s="828"/>
      <c r="S28" s="828"/>
      <c r="T28" s="828"/>
      <c r="U28" s="828"/>
      <c r="V28" s="829"/>
    </row>
    <row r="29" spans="2:256" ht="22.9" customHeight="1" x14ac:dyDescent="0.2">
      <c r="B29" s="569"/>
      <c r="C29" s="917" t="s">
        <v>891</v>
      </c>
      <c r="D29" s="859"/>
      <c r="E29" s="422"/>
      <c r="F29" s="918">
        <f>E29/$E$33</f>
        <v>0</v>
      </c>
      <c r="G29" s="570"/>
      <c r="I29" s="826"/>
      <c r="J29" s="828"/>
      <c r="K29" s="828"/>
      <c r="L29" s="828"/>
      <c r="M29" s="828"/>
      <c r="N29" s="828"/>
      <c r="O29" s="828"/>
      <c r="P29" s="828"/>
      <c r="Q29" s="828"/>
      <c r="R29" s="828"/>
      <c r="S29" s="828"/>
      <c r="T29" s="828"/>
      <c r="U29" s="828"/>
      <c r="V29" s="829"/>
    </row>
    <row r="30" spans="2:256" ht="22.9" customHeight="1" x14ac:dyDescent="0.2">
      <c r="B30" s="569"/>
      <c r="C30" s="917" t="s">
        <v>893</v>
      </c>
      <c r="D30" s="859"/>
      <c r="E30" s="422"/>
      <c r="F30" s="919">
        <f>E30/$E$33</f>
        <v>0</v>
      </c>
      <c r="G30" s="570"/>
      <c r="I30" s="826"/>
      <c r="J30" s="828"/>
      <c r="K30" s="828"/>
      <c r="L30" s="828"/>
      <c r="M30" s="828"/>
      <c r="N30" s="828"/>
      <c r="O30" s="828"/>
      <c r="P30" s="828"/>
      <c r="Q30" s="828"/>
      <c r="R30" s="828"/>
      <c r="S30" s="828"/>
      <c r="T30" s="828"/>
      <c r="U30" s="828"/>
      <c r="V30" s="829"/>
    </row>
    <row r="31" spans="2:256" ht="22.9" customHeight="1" x14ac:dyDescent="0.2">
      <c r="B31" s="569"/>
      <c r="C31" s="920" t="s">
        <v>895</v>
      </c>
      <c r="D31" s="862"/>
      <c r="E31" s="354"/>
      <c r="F31" s="921">
        <f>E31/$E$33</f>
        <v>0</v>
      </c>
      <c r="G31" s="570"/>
      <c r="I31" s="826"/>
      <c r="J31" s="828"/>
      <c r="K31" s="828"/>
      <c r="L31" s="828"/>
      <c r="M31" s="828"/>
      <c r="N31" s="828"/>
      <c r="O31" s="828"/>
      <c r="P31" s="828"/>
      <c r="Q31" s="828"/>
      <c r="R31" s="828"/>
      <c r="S31" s="828"/>
      <c r="T31" s="828"/>
      <c r="U31" s="828"/>
      <c r="V31" s="829"/>
    </row>
    <row r="32" spans="2:256" ht="22.9" customHeight="1" x14ac:dyDescent="0.2">
      <c r="B32" s="569"/>
      <c r="C32" s="660"/>
      <c r="D32" s="4"/>
      <c r="E32" s="612"/>
      <c r="F32" s="925"/>
      <c r="G32" s="570"/>
      <c r="I32" s="826"/>
      <c r="J32" s="828"/>
      <c r="K32" s="828"/>
      <c r="L32" s="828"/>
      <c r="M32" s="828"/>
      <c r="N32" s="828"/>
      <c r="O32" s="828"/>
      <c r="P32" s="828"/>
      <c r="Q32" s="828"/>
      <c r="R32" s="828"/>
      <c r="S32" s="828"/>
      <c r="T32" s="828"/>
      <c r="U32" s="828"/>
      <c r="V32" s="829"/>
    </row>
    <row r="33" spans="2:22" ht="22.9" customHeight="1" x14ac:dyDescent="0.25">
      <c r="B33" s="569"/>
      <c r="C33" s="1027" t="s">
        <v>903</v>
      </c>
      <c r="D33" s="1027"/>
      <c r="E33" s="926">
        <f>E28+E23+E21+E16</f>
        <v>10788027.43</v>
      </c>
      <c r="F33" s="927">
        <f>E33/E33</f>
        <v>1</v>
      </c>
      <c r="G33" s="570"/>
      <c r="I33" s="826"/>
      <c r="J33" s="828"/>
      <c r="K33" s="828"/>
      <c r="L33" s="828"/>
      <c r="M33" s="828"/>
      <c r="N33" s="828"/>
      <c r="O33" s="828"/>
      <c r="P33" s="828"/>
      <c r="Q33" s="828"/>
      <c r="R33" s="828"/>
      <c r="S33" s="828"/>
      <c r="T33" s="828"/>
      <c r="U33" s="828"/>
      <c r="V33" s="829"/>
    </row>
    <row r="34" spans="2:22" ht="22.9" customHeight="1" x14ac:dyDescent="0.2">
      <c r="B34" s="579"/>
      <c r="C34" s="660"/>
      <c r="D34" s="4"/>
      <c r="E34" s="612"/>
      <c r="F34" s="729"/>
      <c r="G34" s="567"/>
      <c r="I34" s="826"/>
      <c r="J34" s="828"/>
      <c r="K34" s="828"/>
      <c r="L34" s="828"/>
      <c r="M34" s="828"/>
      <c r="N34" s="828"/>
      <c r="O34" s="828"/>
      <c r="P34" s="828"/>
      <c r="Q34" s="828"/>
      <c r="R34" s="828"/>
      <c r="S34" s="828"/>
      <c r="T34" s="828"/>
      <c r="U34" s="828"/>
      <c r="V34" s="829"/>
    </row>
    <row r="35" spans="2:22" ht="22.9" customHeight="1" x14ac:dyDescent="0.2">
      <c r="B35" s="579"/>
      <c r="C35" s="660"/>
      <c r="D35" s="4"/>
      <c r="E35" s="612"/>
      <c r="F35" s="729"/>
      <c r="G35" s="567"/>
      <c r="I35" s="826"/>
      <c r="J35" s="828"/>
      <c r="K35" s="828"/>
      <c r="L35" s="828"/>
      <c r="M35" s="828"/>
      <c r="N35" s="828"/>
      <c r="O35" s="828"/>
      <c r="P35" s="828"/>
      <c r="Q35" s="828"/>
      <c r="R35" s="828"/>
      <c r="S35" s="828"/>
      <c r="T35" s="828"/>
      <c r="U35" s="828"/>
      <c r="V35" s="829"/>
    </row>
    <row r="36" spans="2:22" ht="22.9" customHeight="1" x14ac:dyDescent="0.2">
      <c r="B36" s="579"/>
      <c r="C36" s="660"/>
      <c r="D36" s="4"/>
      <c r="E36" s="612"/>
      <c r="F36" s="729"/>
      <c r="G36" s="567"/>
      <c r="I36" s="826"/>
      <c r="J36" s="828"/>
      <c r="K36" s="828"/>
      <c r="L36" s="828"/>
      <c r="M36" s="828"/>
      <c r="N36" s="828"/>
      <c r="O36" s="828"/>
      <c r="P36" s="828"/>
      <c r="Q36" s="828"/>
      <c r="R36" s="828"/>
      <c r="S36" s="828"/>
      <c r="T36" s="828"/>
      <c r="U36" s="828"/>
      <c r="V36" s="829"/>
    </row>
    <row r="37" spans="2:22" ht="22.9" customHeight="1" x14ac:dyDescent="0.2">
      <c r="B37" s="579"/>
      <c r="C37" s="660"/>
      <c r="D37" s="4"/>
      <c r="E37" s="612"/>
      <c r="F37" s="729"/>
      <c r="G37" s="567"/>
      <c r="I37" s="826"/>
      <c r="J37" s="828"/>
      <c r="K37" s="828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9"/>
    </row>
    <row r="38" spans="2:22" ht="22.9" customHeight="1" x14ac:dyDescent="0.2">
      <c r="B38" s="579"/>
      <c r="C38" s="660"/>
      <c r="D38" s="4"/>
      <c r="E38" s="612"/>
      <c r="F38" s="729"/>
      <c r="G38" s="567"/>
      <c r="I38" s="826"/>
      <c r="J38" s="828"/>
      <c r="K38" s="828"/>
      <c r="L38" s="828"/>
      <c r="M38" s="828"/>
      <c r="N38" s="828"/>
      <c r="O38" s="828"/>
      <c r="P38" s="828"/>
      <c r="Q38" s="828"/>
      <c r="R38" s="828"/>
      <c r="S38" s="828"/>
      <c r="T38" s="828"/>
      <c r="U38" s="828"/>
      <c r="V38" s="829"/>
    </row>
    <row r="39" spans="2:22" ht="22.9" customHeight="1" x14ac:dyDescent="0.2">
      <c r="B39" s="579"/>
      <c r="C39" s="4"/>
      <c r="D39" s="4"/>
      <c r="E39" s="609"/>
      <c r="F39" s="577"/>
      <c r="G39" s="567"/>
      <c r="I39" s="826"/>
      <c r="J39" s="828"/>
      <c r="K39" s="828"/>
      <c r="L39" s="828"/>
      <c r="M39" s="828"/>
      <c r="N39" s="828"/>
      <c r="O39" s="828"/>
      <c r="P39" s="828"/>
      <c r="Q39" s="828"/>
      <c r="R39" s="828"/>
      <c r="S39" s="828"/>
      <c r="T39" s="828"/>
      <c r="U39" s="828"/>
      <c r="V39" s="829"/>
    </row>
    <row r="40" spans="2:22" ht="22.9" customHeight="1" x14ac:dyDescent="0.2">
      <c r="B40" s="613"/>
      <c r="C40" s="996"/>
      <c r="D40" s="996"/>
      <c r="E40" s="283"/>
      <c r="F40" s="614"/>
      <c r="G40" s="615"/>
      <c r="I40" s="834"/>
      <c r="J40" s="835"/>
      <c r="K40" s="835"/>
      <c r="L40" s="835"/>
      <c r="M40" s="835"/>
      <c r="N40" s="835"/>
      <c r="O40" s="835"/>
      <c r="P40" s="835"/>
      <c r="Q40" s="835"/>
      <c r="R40" s="835"/>
      <c r="S40" s="835"/>
      <c r="T40" s="835"/>
      <c r="U40" s="835"/>
      <c r="V40" s="836"/>
    </row>
    <row r="41" spans="2:22" ht="22.9" customHeight="1" x14ac:dyDescent="0.2">
      <c r="C41" s="556"/>
      <c r="D41" s="556"/>
      <c r="E41" s="566"/>
      <c r="F41" s="566"/>
    </row>
    <row r="42" spans="2:22" ht="15" x14ac:dyDescent="0.2">
      <c r="C42" s="556" t="s">
        <v>55</v>
      </c>
      <c r="D42" s="556"/>
      <c r="E42" s="566"/>
      <c r="F42" s="558" t="s">
        <v>47</v>
      </c>
    </row>
    <row r="43" spans="2:22" ht="15" x14ac:dyDescent="0.2">
      <c r="C43" s="616" t="s">
        <v>57</v>
      </c>
      <c r="D43" s="556"/>
      <c r="E43" s="566"/>
      <c r="F43" s="566"/>
    </row>
    <row r="44" spans="2:22" ht="15" x14ac:dyDescent="0.2">
      <c r="C44" s="616" t="s">
        <v>58</v>
      </c>
      <c r="D44" s="556"/>
      <c r="E44" s="566"/>
      <c r="F44" s="566"/>
    </row>
    <row r="45" spans="2:22" ht="15" x14ac:dyDescent="0.2">
      <c r="C45" s="616" t="s">
        <v>59</v>
      </c>
      <c r="D45" s="556"/>
      <c r="E45" s="566"/>
      <c r="F45" s="566"/>
    </row>
    <row r="46" spans="2:22" ht="15" x14ac:dyDescent="0.2">
      <c r="C46" s="616" t="s">
        <v>60</v>
      </c>
      <c r="D46" s="556"/>
      <c r="E46" s="566"/>
      <c r="F46" s="566"/>
    </row>
  </sheetData>
  <sheetProtection password="E059" sheet="1"/>
  <mergeCells count="10">
    <mergeCell ref="C23:D23"/>
    <mergeCell ref="C28:D28"/>
    <mergeCell ref="C33:D33"/>
    <mergeCell ref="C40:D40"/>
    <mergeCell ref="F6:F7"/>
    <mergeCell ref="D9:F9"/>
    <mergeCell ref="C12:D12"/>
    <mergeCell ref="C14:D14"/>
    <mergeCell ref="C16:D16"/>
    <mergeCell ref="C21:D21"/>
  </mergeCells>
  <printOptions horizontalCentered="1" verticalCentered="1"/>
  <pageMargins left="0.35972222222222222" right="0.35972222222222222" top="0.60972222222222228" bottom="0.60972222222222228" header="0.51180555555555551" footer="0.51180555555555551"/>
  <pageSetup paperSize="9" scale="64" firstPageNumber="0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1"/>
  <sheetViews>
    <sheetView zoomScale="55" zoomScaleNormal="55" workbookViewId="0">
      <selection activeCell="G46" sqref="G46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" style="22" customWidth="1"/>
    <col min="4" max="4" width="72.21875" style="22" customWidth="1"/>
    <col min="5" max="5" width="17.77734375" style="559" customWidth="1"/>
    <col min="6" max="6" width="3.21875" style="22" customWidth="1"/>
    <col min="7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3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981">
        <f>ejercicio</f>
        <v>2018</v>
      </c>
      <c r="F6" s="567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981"/>
      <c r="F7" s="56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8"/>
      <c r="F8" s="56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570"/>
    </row>
    <row r="10" spans="1:256" ht="7.15" customHeight="1" x14ac:dyDescent="0.2">
      <c r="A10"/>
      <c r="B10" s="564"/>
      <c r="C10" s="556"/>
      <c r="D10" s="556"/>
      <c r="E10" s="566"/>
      <c r="F10" s="56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904</v>
      </c>
      <c r="D11" s="573"/>
      <c r="E11" s="574"/>
      <c r="F11" s="575"/>
    </row>
    <row r="12" spans="1:256" ht="30" customHeight="1" x14ac:dyDescent="0.25">
      <c r="A12" s="571"/>
      <c r="B12" s="572"/>
      <c r="C12" s="1007"/>
      <c r="D12" s="1007"/>
      <c r="E12" s="577"/>
      <c r="F12" s="575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9" customHeight="1" x14ac:dyDescent="0.2">
      <c r="A13"/>
      <c r="B13" s="579"/>
      <c r="C13" s="660"/>
      <c r="D13" s="660"/>
      <c r="E13" s="577"/>
      <c r="F13" s="567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882" customFormat="1" ht="24" customHeight="1" x14ac:dyDescent="0.2">
      <c r="B14" s="883"/>
      <c r="C14" s="1005" t="s">
        <v>905</v>
      </c>
      <c r="D14" s="1005"/>
      <c r="E14" s="618" t="s">
        <v>717</v>
      </c>
      <c r="F14" s="884"/>
    </row>
    <row r="15" spans="1:256" ht="9" customHeight="1" x14ac:dyDescent="0.2">
      <c r="A15"/>
      <c r="B15" s="579"/>
      <c r="C15" s="233"/>
      <c r="D15" s="660"/>
      <c r="E15" s="577"/>
      <c r="F15" s="567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">
      <c r="B16" s="569"/>
      <c r="C16" s="928" t="s">
        <v>355</v>
      </c>
      <c r="D16" s="929" t="s">
        <v>906</v>
      </c>
      <c r="E16" s="930">
        <f>+'FC-91_PRESUPUESTO'!E16</f>
        <v>0</v>
      </c>
      <c r="F16" s="570"/>
    </row>
    <row r="17" spans="2:256" ht="22.9" customHeight="1" x14ac:dyDescent="0.2">
      <c r="B17" s="569"/>
      <c r="C17" s="917" t="s">
        <v>366</v>
      </c>
      <c r="D17" s="859" t="s">
        <v>907</v>
      </c>
      <c r="E17" s="931">
        <f>+'FC-91_PRESUPUESTO'!E17</f>
        <v>0</v>
      </c>
      <c r="F17" s="570"/>
    </row>
    <row r="18" spans="2:256" ht="22.9" customHeight="1" x14ac:dyDescent="0.2">
      <c r="B18" s="569"/>
      <c r="C18" s="917" t="s">
        <v>371</v>
      </c>
      <c r="D18" s="859" t="s">
        <v>908</v>
      </c>
      <c r="E18" s="931">
        <f>+'FC-91_PRESUPUESTO'!E18</f>
        <v>9819969.4299999997</v>
      </c>
      <c r="F18" s="570"/>
    </row>
    <row r="19" spans="2:256" ht="22.9" customHeight="1" x14ac:dyDescent="0.2">
      <c r="B19" s="569"/>
      <c r="C19" s="917" t="s">
        <v>375</v>
      </c>
      <c r="D19" s="859" t="s">
        <v>909</v>
      </c>
      <c r="E19" s="931">
        <f>+'FC-91_PRESUPUESTO'!E19</f>
        <v>989187.35000000009</v>
      </c>
      <c r="F19" s="570"/>
    </row>
    <row r="20" spans="2:256" ht="22.9" customHeight="1" x14ac:dyDescent="0.2">
      <c r="B20" s="569"/>
      <c r="C20" s="920" t="s">
        <v>383</v>
      </c>
      <c r="D20" s="862" t="s">
        <v>910</v>
      </c>
      <c r="E20" s="932">
        <f>+'FC-91_PRESUPUESTO'!E20</f>
        <v>2287.86</v>
      </c>
      <c r="F20" s="570"/>
    </row>
    <row r="21" spans="2:256" ht="22.9" customHeight="1" x14ac:dyDescent="0.25">
      <c r="B21" s="569"/>
      <c r="C21" s="1035" t="s">
        <v>911</v>
      </c>
      <c r="D21" s="1035"/>
      <c r="E21" s="914">
        <f>SUM(E16:E20)</f>
        <v>10811444.639999999</v>
      </c>
      <c r="F21" s="570"/>
    </row>
    <row r="22" spans="2:256" ht="9" customHeight="1" x14ac:dyDescent="0.2">
      <c r="B22" s="569"/>
      <c r="C22" s="16"/>
      <c r="D22" s="660"/>
      <c r="E22" s="868"/>
      <c r="F22" s="570"/>
    </row>
    <row r="23" spans="2:256" ht="22.9" customHeight="1" x14ac:dyDescent="0.2">
      <c r="B23" s="569"/>
      <c r="C23" s="928" t="s">
        <v>386</v>
      </c>
      <c r="D23" s="929" t="s">
        <v>912</v>
      </c>
      <c r="E23" s="930">
        <f>+'FC-91_PRESUPUESTO'!E23</f>
        <v>0</v>
      </c>
      <c r="F23" s="570"/>
    </row>
    <row r="24" spans="2:256" ht="22.9" customHeight="1" x14ac:dyDescent="0.2">
      <c r="B24" s="569"/>
      <c r="C24" s="917" t="s">
        <v>388</v>
      </c>
      <c r="D24" s="859" t="s">
        <v>913</v>
      </c>
      <c r="E24" s="931">
        <f>+'FC-91_PRESUPUESTO'!E24</f>
        <v>193294.58000000002</v>
      </c>
      <c r="F24" s="570"/>
    </row>
    <row r="25" spans="2:256" ht="22.9" customHeight="1" x14ac:dyDescent="0.25">
      <c r="B25" s="569"/>
      <c r="C25" s="1035" t="s">
        <v>914</v>
      </c>
      <c r="D25" s="1035"/>
      <c r="E25" s="914">
        <f>SUM(E23:E24)</f>
        <v>193294.58000000002</v>
      </c>
      <c r="F25" s="570"/>
    </row>
    <row r="26" spans="2:256" ht="9" customHeight="1" x14ac:dyDescent="0.2">
      <c r="B26" s="569"/>
      <c r="C26" s="16"/>
      <c r="D26" s="660"/>
      <c r="E26" s="868"/>
      <c r="F26" s="570"/>
    </row>
    <row r="27" spans="2:256" ht="22.9" customHeight="1" x14ac:dyDescent="0.2">
      <c r="B27" s="569"/>
      <c r="C27" s="928" t="s">
        <v>439</v>
      </c>
      <c r="D27" s="929" t="s">
        <v>915</v>
      </c>
      <c r="E27" s="930">
        <f>+'FC-91_PRESUPUESTO'!E27</f>
        <v>11000</v>
      </c>
      <c r="F27" s="570"/>
    </row>
    <row r="28" spans="2:256" ht="22.9" customHeight="1" x14ac:dyDescent="0.2">
      <c r="B28" s="569"/>
      <c r="C28" s="917" t="s">
        <v>441</v>
      </c>
      <c r="D28" s="859" t="s">
        <v>916</v>
      </c>
      <c r="E28" s="931">
        <f>+'FC-91_PRESUPUESTO'!E28</f>
        <v>50000</v>
      </c>
      <c r="F28" s="570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2:256" ht="22.9" customHeight="1" x14ac:dyDescent="0.25">
      <c r="B29" s="569"/>
      <c r="C29" s="1035" t="s">
        <v>917</v>
      </c>
      <c r="D29" s="1035"/>
      <c r="E29" s="914">
        <f>SUM(E27:E28)</f>
        <v>61000</v>
      </c>
      <c r="F29" s="570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2:256" ht="22.9" customHeight="1" x14ac:dyDescent="0.2">
      <c r="B30" s="569"/>
      <c r="C30" s="660"/>
      <c r="D30" s="4"/>
      <c r="E30" s="612"/>
      <c r="F30" s="57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2:256" s="933" customFormat="1" ht="22.9" customHeight="1" x14ac:dyDescent="0.25">
      <c r="B31" s="572"/>
      <c r="C31" s="1036" t="s">
        <v>918</v>
      </c>
      <c r="D31" s="1036"/>
      <c r="E31" s="934">
        <f>E21+E25+E29</f>
        <v>11065739.219999999</v>
      </c>
      <c r="F31" s="575"/>
    </row>
    <row r="32" spans="2:256" ht="9" customHeight="1" x14ac:dyDescent="0.2">
      <c r="B32" s="569"/>
      <c r="C32" s="16"/>
      <c r="D32" s="660"/>
      <c r="E32" s="868"/>
      <c r="F32" s="570"/>
    </row>
    <row r="33" spans="1:256" ht="22.9" customHeight="1" x14ac:dyDescent="0.25">
      <c r="B33" s="569"/>
      <c r="C33" s="1035" t="s">
        <v>919</v>
      </c>
      <c r="D33" s="1035"/>
      <c r="E33" s="914">
        <f>+'FC-92_PRESUPUESTO_PYG'!E33</f>
        <v>2490310.7000000002</v>
      </c>
      <c r="F33" s="570"/>
    </row>
    <row r="34" spans="1:256" ht="9" customHeight="1" x14ac:dyDescent="0.2">
      <c r="B34" s="569"/>
      <c r="C34" s="16"/>
      <c r="D34" s="660"/>
      <c r="E34" s="868"/>
      <c r="F34" s="57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5">
      <c r="B35" s="569"/>
      <c r="C35" s="1036" t="s">
        <v>918</v>
      </c>
      <c r="D35" s="1036"/>
      <c r="E35" s="934">
        <f>+E31+E33</f>
        <v>13556049.919999998</v>
      </c>
      <c r="F35" s="57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5">
      <c r="B36" s="569"/>
      <c r="C36" s="552"/>
      <c r="D36" s="552"/>
      <c r="E36" s="554"/>
      <c r="F36" s="57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882" customFormat="1" ht="24" customHeight="1" x14ac:dyDescent="0.2">
      <c r="B37" s="883"/>
      <c r="C37" s="1005" t="s">
        <v>920</v>
      </c>
      <c r="D37" s="1005"/>
      <c r="E37" s="618" t="s">
        <v>717</v>
      </c>
      <c r="F37" s="884"/>
    </row>
    <row r="38" spans="1:256" ht="9" customHeight="1" x14ac:dyDescent="0.2">
      <c r="A38"/>
      <c r="B38" s="579"/>
      <c r="C38" s="233"/>
      <c r="D38" s="660"/>
      <c r="E38" s="577"/>
      <c r="F38" s="567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B39" s="569"/>
      <c r="C39" s="928" t="s">
        <v>355</v>
      </c>
      <c r="D39" s="929" t="s">
        <v>921</v>
      </c>
      <c r="E39" s="930">
        <f>+'FC-91_PRESUPUESTO'!E36</f>
        <v>1678656.25</v>
      </c>
      <c r="F39" s="570"/>
    </row>
    <row r="40" spans="1:256" ht="22.9" customHeight="1" x14ac:dyDescent="0.2">
      <c r="B40" s="569"/>
      <c r="C40" s="917" t="s">
        <v>366</v>
      </c>
      <c r="D40" s="859" t="s">
        <v>922</v>
      </c>
      <c r="E40" s="931">
        <f>+'FC-91_PRESUPUESTO'!E37</f>
        <v>8982984.9299999997</v>
      </c>
      <c r="F40" s="570"/>
    </row>
    <row r="41" spans="1:256" ht="22.9" customHeight="1" x14ac:dyDescent="0.2">
      <c r="B41" s="569"/>
      <c r="C41" s="917" t="s">
        <v>371</v>
      </c>
      <c r="D41" s="859" t="s">
        <v>923</v>
      </c>
      <c r="E41" s="931">
        <f>+'FC-91_PRESUPUESTO'!E38</f>
        <v>92.83</v>
      </c>
      <c r="F41" s="570"/>
    </row>
    <row r="42" spans="1:256" ht="22.9" customHeight="1" x14ac:dyDescent="0.2">
      <c r="B42" s="569"/>
      <c r="C42" s="917" t="s">
        <v>375</v>
      </c>
      <c r="D42" s="859" t="s">
        <v>924</v>
      </c>
      <c r="E42" s="931">
        <f>+'FC-91_PRESUPUESTO'!E39</f>
        <v>0</v>
      </c>
      <c r="F42" s="570"/>
    </row>
    <row r="43" spans="1:256" ht="22.9" customHeight="1" x14ac:dyDescent="0.25">
      <c r="B43" s="569"/>
      <c r="C43" s="1035" t="s">
        <v>925</v>
      </c>
      <c r="D43" s="1035"/>
      <c r="E43" s="914">
        <f>SUM(E39:E42)</f>
        <v>10661734.01</v>
      </c>
      <c r="F43" s="570"/>
    </row>
    <row r="44" spans="1:256" ht="9" customHeight="1" x14ac:dyDescent="0.2">
      <c r="B44" s="569"/>
      <c r="C44" s="16"/>
      <c r="D44" s="660"/>
      <c r="E44" s="868"/>
      <c r="F44" s="570"/>
    </row>
    <row r="45" spans="1:256" ht="22.9" customHeight="1" x14ac:dyDescent="0.2">
      <c r="B45" s="569"/>
      <c r="C45" s="928" t="s">
        <v>386</v>
      </c>
      <c r="D45" s="929" t="s">
        <v>926</v>
      </c>
      <c r="E45" s="930">
        <f>+'FC-91_PRESUPUESTO'!E42</f>
        <v>453294.58</v>
      </c>
      <c r="F45" s="570"/>
    </row>
    <row r="46" spans="1:256" ht="22.9" customHeight="1" x14ac:dyDescent="0.2">
      <c r="B46" s="569"/>
      <c r="C46" s="917" t="s">
        <v>388</v>
      </c>
      <c r="D46" s="859" t="s">
        <v>913</v>
      </c>
      <c r="E46" s="931">
        <f>+'FC-91_PRESUPUESTO'!E43</f>
        <v>0</v>
      </c>
      <c r="F46" s="570"/>
    </row>
    <row r="47" spans="1:256" ht="22.9" customHeight="1" x14ac:dyDescent="0.25">
      <c r="B47" s="569"/>
      <c r="C47" s="1035" t="s">
        <v>927</v>
      </c>
      <c r="D47" s="1035"/>
      <c r="E47" s="914">
        <f>SUM(E45:E46)</f>
        <v>453294.58</v>
      </c>
      <c r="F47" s="570"/>
    </row>
    <row r="48" spans="1:256" ht="9" customHeight="1" x14ac:dyDescent="0.2">
      <c r="B48" s="569"/>
      <c r="C48" s="16"/>
      <c r="D48" s="660"/>
      <c r="E48" s="868"/>
      <c r="F48" s="570"/>
    </row>
    <row r="49" spans="2:256" ht="22.9" customHeight="1" x14ac:dyDescent="0.2">
      <c r="B49" s="569"/>
      <c r="C49" s="928" t="s">
        <v>439</v>
      </c>
      <c r="D49" s="929" t="s">
        <v>915</v>
      </c>
      <c r="E49" s="930">
        <f>+'FC-91_PRESUPUESTO'!E46</f>
        <v>11000</v>
      </c>
      <c r="F49" s="570"/>
    </row>
    <row r="50" spans="2:256" ht="22.9" customHeight="1" x14ac:dyDescent="0.2">
      <c r="B50" s="569"/>
      <c r="C50" s="917" t="s">
        <v>441</v>
      </c>
      <c r="D50" s="859" t="s">
        <v>916</v>
      </c>
      <c r="E50" s="931">
        <f>+'FC-91_PRESUPUESTO'!E47</f>
        <v>500000</v>
      </c>
      <c r="F50" s="57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2:256" ht="22.9" customHeight="1" x14ac:dyDescent="0.25">
      <c r="B51" s="569"/>
      <c r="C51" s="1035" t="s">
        <v>928</v>
      </c>
      <c r="D51" s="1035"/>
      <c r="E51" s="914">
        <f>SUM(E49:E50)</f>
        <v>511000</v>
      </c>
      <c r="F51" s="570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2:256" ht="22.9" customHeight="1" x14ac:dyDescent="0.2">
      <c r="B52" s="569"/>
      <c r="C52" s="660"/>
      <c r="D52" s="4"/>
      <c r="E52" s="612"/>
      <c r="F52" s="570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2:256" s="933" customFormat="1" ht="22.9" customHeight="1" x14ac:dyDescent="0.25">
      <c r="B53" s="572"/>
      <c r="C53" s="1036" t="s">
        <v>929</v>
      </c>
      <c r="D53" s="1036"/>
      <c r="E53" s="934">
        <f>E43+E47+E51</f>
        <v>11626028.59</v>
      </c>
      <c r="F53" s="575"/>
    </row>
    <row r="54" spans="2:256" ht="9" customHeight="1" x14ac:dyDescent="0.2">
      <c r="B54" s="569"/>
      <c r="C54" s="16"/>
      <c r="D54" s="660"/>
      <c r="E54" s="868"/>
      <c r="F54" s="570"/>
    </row>
    <row r="55" spans="2:256" ht="22.9" customHeight="1" x14ac:dyDescent="0.25">
      <c r="B55" s="569"/>
      <c r="C55" s="1035" t="s">
        <v>930</v>
      </c>
      <c r="D55" s="1035"/>
      <c r="E55" s="914">
        <f>+'FC-92_PRESUPUESTO_PYG'!E55</f>
        <v>2580021.33</v>
      </c>
      <c r="F55" s="570"/>
    </row>
    <row r="56" spans="2:256" ht="9" customHeight="1" x14ac:dyDescent="0.2">
      <c r="B56" s="569"/>
      <c r="C56" s="16"/>
      <c r="D56" s="660"/>
      <c r="E56" s="868"/>
      <c r="F56" s="570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2:256" ht="22.9" customHeight="1" x14ac:dyDescent="0.25">
      <c r="B57" s="569"/>
      <c r="C57" s="1036" t="s">
        <v>929</v>
      </c>
      <c r="D57" s="1036"/>
      <c r="E57" s="934">
        <f>+E53+E55</f>
        <v>14206049.92</v>
      </c>
      <c r="F57" s="570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2:256" ht="22.9" customHeight="1" x14ac:dyDescent="0.25">
      <c r="B58" s="569"/>
      <c r="C58" s="552"/>
      <c r="D58" s="552"/>
      <c r="E58" s="554"/>
      <c r="F58" s="570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2:256" s="933" customFormat="1" ht="22.9" customHeight="1" x14ac:dyDescent="0.25">
      <c r="B59" s="572"/>
      <c r="C59" s="935" t="s">
        <v>931</v>
      </c>
      <c r="D59" s="936"/>
      <c r="E59" s="937">
        <f>+E35-E57</f>
        <v>-650000.00000000186</v>
      </c>
      <c r="F59" s="575"/>
      <c r="H59" s="938"/>
    </row>
    <row r="60" spans="2:256" ht="22.9" customHeight="1" x14ac:dyDescent="0.2">
      <c r="B60" s="569"/>
      <c r="C60" s="16"/>
      <c r="D60" s="660"/>
      <c r="E60" s="868"/>
      <c r="F60" s="570"/>
    </row>
    <row r="61" spans="2:256" s="933" customFormat="1" ht="22.9" customHeight="1" x14ac:dyDescent="0.25">
      <c r="B61" s="572"/>
      <c r="C61" s="935" t="s">
        <v>932</v>
      </c>
      <c r="D61" s="936"/>
      <c r="E61" s="937">
        <f>E62+SUM(E67:E71)</f>
        <v>650000.0000000007</v>
      </c>
      <c r="F61" s="575"/>
      <c r="H61" s="938"/>
    </row>
    <row r="62" spans="2:256" ht="22.9" customHeight="1" x14ac:dyDescent="0.2">
      <c r="B62" s="569"/>
      <c r="C62" s="939"/>
      <c r="D62" s="940" t="s">
        <v>933</v>
      </c>
      <c r="E62" s="941">
        <f>SUM(E63:E66)</f>
        <v>2580021.3299999996</v>
      </c>
      <c r="F62" s="570"/>
    </row>
    <row r="63" spans="2:256" ht="22.9" customHeight="1" x14ac:dyDescent="0.2">
      <c r="B63" s="569"/>
      <c r="C63" s="917"/>
      <c r="D63" s="859" t="s">
        <v>599</v>
      </c>
      <c r="E63" s="942">
        <f>-'FC-7_INF'!G31</f>
        <v>0</v>
      </c>
      <c r="F63" s="570"/>
    </row>
    <row r="64" spans="2:256" ht="22.9" customHeight="1" x14ac:dyDescent="0.2">
      <c r="B64" s="569"/>
      <c r="C64" s="917"/>
      <c r="D64" s="859" t="s">
        <v>934</v>
      </c>
      <c r="E64" s="942">
        <f>-'FC-7_INF'!I31</f>
        <v>2580021.3299999996</v>
      </c>
      <c r="F64" s="570"/>
    </row>
    <row r="65" spans="2:256" ht="22.9" customHeight="1" x14ac:dyDescent="0.2">
      <c r="B65" s="569"/>
      <c r="C65" s="917"/>
      <c r="D65" s="859" t="s">
        <v>935</v>
      </c>
      <c r="E65" s="942">
        <f>-'FC-7_INF'!J31</f>
        <v>0</v>
      </c>
      <c r="F65" s="570"/>
    </row>
    <row r="66" spans="2:256" ht="22.9" customHeight="1" x14ac:dyDescent="0.2">
      <c r="B66" s="569"/>
      <c r="C66" s="943"/>
      <c r="D66" s="944" t="s">
        <v>604</v>
      </c>
      <c r="E66" s="945">
        <f>-'FC-7_INF'!L31</f>
        <v>0</v>
      </c>
      <c r="F66" s="570"/>
    </row>
    <row r="67" spans="2:256" ht="22.9" customHeight="1" x14ac:dyDescent="0.2">
      <c r="B67" s="569"/>
      <c r="C67" s="946"/>
      <c r="D67" s="947" t="s">
        <v>936</v>
      </c>
      <c r="E67" s="948">
        <f>-'FC-8_INV_FINANCIERAS'!I25-'FC-8_INV_FINANCIERAS'!I34-'FC-8_INV_FINANCIERAS'!I49-'FC-8_INV_FINANCIERAS'!I58</f>
        <v>0</v>
      </c>
      <c r="F67" s="570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2:256" ht="22.9" customHeight="1" x14ac:dyDescent="0.2">
      <c r="B68" s="569"/>
      <c r="C68" s="946"/>
      <c r="D68" s="947" t="s">
        <v>937</v>
      </c>
      <c r="E68" s="948">
        <f>'FC-4_ACTIVO'!F48-'FC-4_ACTIVO'!G48</f>
        <v>0</v>
      </c>
      <c r="F68" s="570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2:256" ht="22.9" customHeight="1" x14ac:dyDescent="0.2">
      <c r="B69" s="569"/>
      <c r="C69" s="946"/>
      <c r="D69" s="947" t="s">
        <v>938</v>
      </c>
      <c r="E69" s="849">
        <f>-(('FC-4_ACTIVO'!G50-'FC-4_ACTIVO'!G75-'FC-4_ACTIVO'!G82)-('FC-4_ACTIVO'!F50-'FC-4_ACTIVO'!F75-'FC-4_ACTIVO'!F82))</f>
        <v>400000</v>
      </c>
      <c r="F69" s="570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2:256" ht="22.9" customHeight="1" x14ac:dyDescent="0.2">
      <c r="B70" s="569"/>
      <c r="C70" s="946"/>
      <c r="D70" s="947" t="s">
        <v>939</v>
      </c>
      <c r="E70" s="849">
        <f>'FC-9_TRANS_SUBV'!G32+'FC-9_TRANS_SUBV'!G34+'FC-9_TRANS_SUBV'!G33</f>
        <v>-1916056.6700000002</v>
      </c>
      <c r="F70" s="570"/>
      <c r="G70"/>
      <c r="H70" s="949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2:256" ht="22.9" customHeight="1" x14ac:dyDescent="0.2">
      <c r="B71" s="569"/>
      <c r="C71" s="946"/>
      <c r="D71" s="947" t="s">
        <v>940</v>
      </c>
      <c r="E71" s="849">
        <f>'FC-4_PASIVO'!G43-'FC-4_PASIVO'!F43+'FC-4_PASIVO'!G61-'FC-4_PASIVO'!F61+E50-E28</f>
        <v>-413964.65999999875</v>
      </c>
      <c r="F71" s="570"/>
      <c r="G71"/>
      <c r="H71" s="949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2:256" ht="22.9" customHeight="1" x14ac:dyDescent="0.2">
      <c r="B72" s="569"/>
      <c r="C72" s="16"/>
      <c r="D72" s="5"/>
      <c r="E72" s="609"/>
      <c r="F72" s="570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2:256" s="933" customFormat="1" ht="22.9" customHeight="1" x14ac:dyDescent="0.25">
      <c r="B73" s="572"/>
      <c r="C73" s="935" t="s">
        <v>941</v>
      </c>
      <c r="D73" s="936"/>
      <c r="E73" s="937">
        <f>+E59+E61</f>
        <v>-1.1641532182693481E-9</v>
      </c>
      <c r="F73" s="575"/>
      <c r="H73" s="938"/>
    </row>
    <row r="74" spans="2:256" ht="22.9" customHeight="1" x14ac:dyDescent="0.2">
      <c r="B74" s="569"/>
      <c r="C74" s="16"/>
      <c r="D74" s="660"/>
      <c r="E74" s="868"/>
      <c r="F74" s="570"/>
    </row>
    <row r="75" spans="2:256" ht="22.9" customHeight="1" x14ac:dyDescent="0.2">
      <c r="B75" s="613"/>
      <c r="C75" s="996"/>
      <c r="D75" s="996"/>
      <c r="E75" s="614"/>
      <c r="F75" s="615"/>
    </row>
    <row r="76" spans="2:256" ht="22.9" customHeight="1" x14ac:dyDescent="0.2">
      <c r="C76" s="556"/>
      <c r="D76" s="556"/>
      <c r="E76" s="566"/>
    </row>
    <row r="77" spans="2:256" ht="15" x14ac:dyDescent="0.2">
      <c r="C77" s="556" t="s">
        <v>55</v>
      </c>
      <c r="D77" s="556"/>
      <c r="E77" s="558" t="s">
        <v>49</v>
      </c>
    </row>
    <row r="78" spans="2:256" ht="15" x14ac:dyDescent="0.2">
      <c r="C78" s="616" t="s">
        <v>57</v>
      </c>
      <c r="D78" s="556"/>
      <c r="E78" s="566"/>
    </row>
    <row r="79" spans="2:256" ht="15" x14ac:dyDescent="0.2">
      <c r="C79" s="616" t="s">
        <v>58</v>
      </c>
      <c r="D79" s="556"/>
      <c r="E79" s="566"/>
    </row>
    <row r="80" spans="2:256" ht="15" x14ac:dyDescent="0.2">
      <c r="C80" s="616" t="s">
        <v>59</v>
      </c>
      <c r="D80" s="556"/>
      <c r="E80" s="566"/>
    </row>
    <row r="81" spans="3:5" ht="15" x14ac:dyDescent="0.2">
      <c r="C81" s="616" t="s">
        <v>60</v>
      </c>
      <c r="D81" s="556"/>
      <c r="E81" s="566"/>
    </row>
  </sheetData>
  <mergeCells count="18">
    <mergeCell ref="C55:D55"/>
    <mergeCell ref="C57:D57"/>
    <mergeCell ref="C75:D75"/>
    <mergeCell ref="C37:D37"/>
    <mergeCell ref="C43:D43"/>
    <mergeCell ref="C47:D47"/>
    <mergeCell ref="C51:D51"/>
    <mergeCell ref="C53:D53"/>
    <mergeCell ref="C25:D25"/>
    <mergeCell ref="C29:D29"/>
    <mergeCell ref="C31:D31"/>
    <mergeCell ref="C33:D33"/>
    <mergeCell ref="C35:D35"/>
    <mergeCell ref="E6:E7"/>
    <mergeCell ref="D9:E9"/>
    <mergeCell ref="C12:D12"/>
    <mergeCell ref="C14:D14"/>
    <mergeCell ref="C21:D21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45" firstPageNumber="0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topLeftCell="A42" workbookViewId="0">
      <selection activeCell="P30" sqref="P30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" style="22" customWidth="1"/>
    <col min="4" max="4" width="72.21875" style="22" customWidth="1"/>
    <col min="5" max="5" width="17.77734375" style="559" customWidth="1"/>
    <col min="6" max="6" width="3.21875" style="22" customWidth="1"/>
    <col min="7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3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981">
        <f>ejercicio</f>
        <v>2018</v>
      </c>
      <c r="F6" s="567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981"/>
      <c r="F7" s="56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8"/>
      <c r="F8" s="56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570"/>
    </row>
    <row r="10" spans="1:256" ht="7.15" customHeight="1" x14ac:dyDescent="0.2">
      <c r="A10"/>
      <c r="B10" s="564"/>
      <c r="C10" s="556"/>
      <c r="D10" s="556"/>
      <c r="E10" s="566"/>
      <c r="F10" s="56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904</v>
      </c>
      <c r="D11" s="573"/>
      <c r="E11" s="574"/>
      <c r="F11" s="575"/>
    </row>
    <row r="12" spans="1:256" ht="30" customHeight="1" x14ac:dyDescent="0.25">
      <c r="A12" s="571"/>
      <c r="B12" s="572"/>
      <c r="C12" s="1007"/>
      <c r="D12" s="1007"/>
      <c r="E12" s="577"/>
      <c r="F12" s="575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9" customHeight="1" x14ac:dyDescent="0.2">
      <c r="A13"/>
      <c r="B13" s="579"/>
      <c r="C13" s="660"/>
      <c r="D13" s="660"/>
      <c r="E13" s="577"/>
      <c r="F13" s="567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882" customFormat="1" ht="24" customHeight="1" x14ac:dyDescent="0.2">
      <c r="B14" s="883"/>
      <c r="C14" s="1005" t="s">
        <v>905</v>
      </c>
      <c r="D14" s="1005"/>
      <c r="E14" s="618" t="s">
        <v>717</v>
      </c>
      <c r="F14" s="884"/>
    </row>
    <row r="15" spans="1:256" ht="9" customHeight="1" x14ac:dyDescent="0.2">
      <c r="A15"/>
      <c r="B15" s="579"/>
      <c r="C15" s="233"/>
      <c r="D15" s="660"/>
      <c r="E15" s="577"/>
      <c r="F15" s="567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">
      <c r="B16" s="569"/>
      <c r="C16" s="928" t="s">
        <v>355</v>
      </c>
      <c r="D16" s="929" t="s">
        <v>906</v>
      </c>
      <c r="E16" s="930">
        <v>0</v>
      </c>
      <c r="F16" s="570"/>
    </row>
    <row r="17" spans="2:256" ht="22.9" customHeight="1" x14ac:dyDescent="0.2">
      <c r="B17" s="569"/>
      <c r="C17" s="917" t="s">
        <v>366</v>
      </c>
      <c r="D17" s="859" t="s">
        <v>907</v>
      </c>
      <c r="E17" s="931">
        <v>0</v>
      </c>
      <c r="F17" s="570"/>
    </row>
    <row r="18" spans="2:256" ht="22.9" customHeight="1" x14ac:dyDescent="0.2">
      <c r="B18" s="569"/>
      <c r="C18" s="917" t="s">
        <v>371</v>
      </c>
      <c r="D18" s="859" t="s">
        <v>908</v>
      </c>
      <c r="E18" s="931">
        <f>+'FC-92_PRESUPUESTO_PYG'!E18</f>
        <v>9819969.4299999997</v>
      </c>
      <c r="F18" s="570"/>
    </row>
    <row r="19" spans="2:256" ht="22.9" customHeight="1" x14ac:dyDescent="0.2">
      <c r="B19" s="569"/>
      <c r="C19" s="917" t="s">
        <v>375</v>
      </c>
      <c r="D19" s="859" t="s">
        <v>909</v>
      </c>
      <c r="E19" s="931">
        <f>+'FC-92_PRESUPUESTO_PYG'!E19+'FC-9_TRANS_SUBV'!G65</f>
        <v>989187.35000000009</v>
      </c>
      <c r="F19" s="570"/>
    </row>
    <row r="20" spans="2:256" ht="22.9" customHeight="1" x14ac:dyDescent="0.2">
      <c r="B20" s="569"/>
      <c r="C20" s="920" t="s">
        <v>383</v>
      </c>
      <c r="D20" s="862" t="s">
        <v>910</v>
      </c>
      <c r="E20" s="932">
        <f>+'FC-92_PRESUPUESTO_PYG'!E20</f>
        <v>2287.86</v>
      </c>
      <c r="F20" s="570"/>
    </row>
    <row r="21" spans="2:256" ht="22.9" customHeight="1" x14ac:dyDescent="0.25">
      <c r="B21" s="569"/>
      <c r="C21" s="1035" t="s">
        <v>911</v>
      </c>
      <c r="D21" s="1035"/>
      <c r="E21" s="914">
        <f>SUM(E16:E20)</f>
        <v>10811444.639999999</v>
      </c>
      <c r="F21" s="570"/>
    </row>
    <row r="22" spans="2:256" ht="9" customHeight="1" x14ac:dyDescent="0.2">
      <c r="B22" s="569"/>
      <c r="C22" s="16"/>
      <c r="D22" s="660"/>
      <c r="E22" s="868"/>
      <c r="F22" s="570"/>
    </row>
    <row r="23" spans="2:256" ht="22.9" customHeight="1" x14ac:dyDescent="0.2">
      <c r="B23" s="569"/>
      <c r="C23" s="928" t="s">
        <v>386</v>
      </c>
      <c r="D23" s="929" t="s">
        <v>912</v>
      </c>
      <c r="E23" s="930">
        <f>-'FC-7_INF'!K31</f>
        <v>0</v>
      </c>
      <c r="F23" s="570"/>
    </row>
    <row r="24" spans="2:256" ht="22.9" customHeight="1" x14ac:dyDescent="0.2">
      <c r="B24" s="569"/>
      <c r="C24" s="917" t="s">
        <v>388</v>
      </c>
      <c r="D24" s="859" t="s">
        <v>913</v>
      </c>
      <c r="E24" s="931">
        <f>+'FC-9_TRANS_SUBV'!G30</f>
        <v>193294.58000000002</v>
      </c>
      <c r="F24" s="570"/>
    </row>
    <row r="25" spans="2:256" ht="22.9" customHeight="1" x14ac:dyDescent="0.25">
      <c r="B25" s="569"/>
      <c r="C25" s="1035" t="s">
        <v>914</v>
      </c>
      <c r="D25" s="1035"/>
      <c r="E25" s="914">
        <f>SUM(E23:E24)</f>
        <v>193294.58000000002</v>
      </c>
      <c r="F25" s="570"/>
    </row>
    <row r="26" spans="2:256" ht="9" customHeight="1" x14ac:dyDescent="0.2">
      <c r="B26" s="569"/>
      <c r="C26" s="16"/>
      <c r="D26" s="660"/>
      <c r="E26" s="868"/>
      <c r="F26" s="570"/>
    </row>
    <row r="27" spans="2:256" ht="22.9" customHeight="1" x14ac:dyDescent="0.2">
      <c r="B27" s="569"/>
      <c r="C27" s="928" t="s">
        <v>439</v>
      </c>
      <c r="D27" s="929" t="s">
        <v>915</v>
      </c>
      <c r="E27" s="930">
        <f>-('FC-8_INV_FINANCIERAS'!H25+'FC-8_INV_FINANCIERAS'!H34+'FC-8_INV_FINANCIERAS'!H49+'FC-8_INV_FINANCIERAS'!H58)</f>
        <v>11000</v>
      </c>
      <c r="F27" s="570"/>
    </row>
    <row r="28" spans="2:256" ht="22.9" customHeight="1" x14ac:dyDescent="0.2">
      <c r="B28" s="569"/>
      <c r="C28" s="917" t="s">
        <v>441</v>
      </c>
      <c r="D28" s="859" t="s">
        <v>916</v>
      </c>
      <c r="E28" s="931">
        <f>+'FC-10_DEUDAS'!M42+'FC-4_PASIVO'!G54-'FC-4_PASIVO'!F54</f>
        <v>50000</v>
      </c>
      <c r="F28" s="570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2:256" ht="22.9" customHeight="1" x14ac:dyDescent="0.25">
      <c r="B29" s="569"/>
      <c r="C29" s="1035" t="s">
        <v>917</v>
      </c>
      <c r="D29" s="1035"/>
      <c r="E29" s="914">
        <f>SUM(E27:E28)</f>
        <v>61000</v>
      </c>
      <c r="F29" s="570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2:256" ht="22.9" customHeight="1" x14ac:dyDescent="0.2">
      <c r="B30" s="569"/>
      <c r="C30" s="660"/>
      <c r="D30" s="4"/>
      <c r="E30" s="612"/>
      <c r="F30" s="57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2:256" s="933" customFormat="1" ht="22.9" customHeight="1" x14ac:dyDescent="0.25">
      <c r="B31" s="572"/>
      <c r="C31" s="1036" t="s">
        <v>918</v>
      </c>
      <c r="D31" s="1036"/>
      <c r="E31" s="934">
        <f>E21+E25+E29</f>
        <v>11065739.219999999</v>
      </c>
      <c r="F31" s="575"/>
    </row>
    <row r="32" spans="2:256" ht="9" customHeight="1" x14ac:dyDescent="0.2">
      <c r="B32" s="569"/>
      <c r="C32" s="16"/>
      <c r="D32" s="660"/>
      <c r="E32" s="868"/>
      <c r="F32" s="570"/>
    </row>
    <row r="33" spans="1:256" ht="22.9" customHeight="1" x14ac:dyDescent="0.25">
      <c r="B33" s="569"/>
      <c r="C33" s="552"/>
      <c r="D33" s="552"/>
      <c r="E33" s="554"/>
      <c r="F33" s="57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882" customFormat="1" ht="24" customHeight="1" x14ac:dyDescent="0.2">
      <c r="B34" s="883"/>
      <c r="C34" s="1005" t="s">
        <v>920</v>
      </c>
      <c r="D34" s="1005"/>
      <c r="E34" s="618" t="s">
        <v>717</v>
      </c>
      <c r="F34" s="884"/>
    </row>
    <row r="35" spans="1:256" ht="9" customHeight="1" x14ac:dyDescent="0.2">
      <c r="A35"/>
      <c r="B35" s="579"/>
      <c r="C35" s="233"/>
      <c r="D35" s="660"/>
      <c r="E35" s="577"/>
      <c r="F35" s="567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B36" s="569"/>
      <c r="C36" s="928" t="s">
        <v>355</v>
      </c>
      <c r="D36" s="929" t="s">
        <v>921</v>
      </c>
      <c r="E36" s="930">
        <f>+'FC-92_PRESUPUESTO_PYG'!E39</f>
        <v>1678656.25</v>
      </c>
      <c r="F36" s="570"/>
    </row>
    <row r="37" spans="1:256" ht="22.9" customHeight="1" x14ac:dyDescent="0.2">
      <c r="B37" s="569"/>
      <c r="C37" s="917" t="s">
        <v>366</v>
      </c>
      <c r="D37" s="859" t="s">
        <v>922</v>
      </c>
      <c r="E37" s="931">
        <f>+'FC-92_PRESUPUESTO_PYG'!E40</f>
        <v>8982984.9299999997</v>
      </c>
      <c r="F37" s="570"/>
    </row>
    <row r="38" spans="1:256" ht="22.9" customHeight="1" x14ac:dyDescent="0.2">
      <c r="B38" s="569"/>
      <c r="C38" s="917" t="s">
        <v>371</v>
      </c>
      <c r="D38" s="859" t="s">
        <v>923</v>
      </c>
      <c r="E38" s="931">
        <f>+'FC-92_PRESUPUESTO_PYG'!E41</f>
        <v>92.83</v>
      </c>
      <c r="F38" s="570"/>
    </row>
    <row r="39" spans="1:256" ht="22.9" customHeight="1" x14ac:dyDescent="0.2">
      <c r="B39" s="569"/>
      <c r="C39" s="917" t="s">
        <v>375</v>
      </c>
      <c r="D39" s="859" t="s">
        <v>924</v>
      </c>
      <c r="E39" s="931">
        <f>+'FC-92_PRESUPUESTO_PYG'!E42</f>
        <v>0</v>
      </c>
      <c r="F39" s="570"/>
    </row>
    <row r="40" spans="1:256" ht="22.9" customHeight="1" x14ac:dyDescent="0.25">
      <c r="B40" s="569"/>
      <c r="C40" s="1035" t="s">
        <v>925</v>
      </c>
      <c r="D40" s="1035"/>
      <c r="E40" s="914">
        <f>SUM(E36:E39)</f>
        <v>10661734.01</v>
      </c>
      <c r="F40" s="570"/>
    </row>
    <row r="41" spans="1:256" ht="9" customHeight="1" x14ac:dyDescent="0.2">
      <c r="B41" s="569"/>
      <c r="C41" s="16"/>
      <c r="D41" s="660"/>
      <c r="E41" s="868"/>
      <c r="F41" s="570"/>
    </row>
    <row r="42" spans="1:256" ht="22.9" customHeight="1" x14ac:dyDescent="0.2">
      <c r="B42" s="569"/>
      <c r="C42" s="928" t="s">
        <v>386</v>
      </c>
      <c r="D42" s="929" t="s">
        <v>926</v>
      </c>
      <c r="E42" s="930">
        <f>'FC-7_INF'!F31+'FC-7_INF'!H31</f>
        <v>453294.58</v>
      </c>
      <c r="F42" s="570"/>
    </row>
    <row r="43" spans="1:256" ht="22.9" customHeight="1" x14ac:dyDescent="0.2">
      <c r="B43" s="569"/>
      <c r="C43" s="917" t="s">
        <v>388</v>
      </c>
      <c r="D43" s="859" t="s">
        <v>913</v>
      </c>
      <c r="E43" s="931">
        <v>0</v>
      </c>
      <c r="F43" s="570"/>
    </row>
    <row r="44" spans="1:256" ht="22.9" customHeight="1" x14ac:dyDescent="0.25">
      <c r="B44" s="569"/>
      <c r="C44" s="1035" t="s">
        <v>927</v>
      </c>
      <c r="D44" s="1035"/>
      <c r="E44" s="914">
        <f>SUM(E42:E43)</f>
        <v>453294.58</v>
      </c>
      <c r="F44" s="570"/>
    </row>
    <row r="45" spans="1:256" ht="9" customHeight="1" x14ac:dyDescent="0.2">
      <c r="B45" s="569"/>
      <c r="C45" s="16"/>
      <c r="D45" s="660"/>
      <c r="E45" s="868"/>
      <c r="F45" s="570"/>
    </row>
    <row r="46" spans="1:256" ht="22.9" customHeight="1" x14ac:dyDescent="0.2">
      <c r="B46" s="569"/>
      <c r="C46" s="928" t="s">
        <v>439</v>
      </c>
      <c r="D46" s="929" t="s">
        <v>915</v>
      </c>
      <c r="E46" s="930">
        <f>'FC-8_INV_FINANCIERAS'!G25+'FC-8_INV_FINANCIERAS'!G34+'FC-8_INV_FINANCIERAS'!G49+'FC-8_INV_FINANCIERAS'!G58</f>
        <v>11000</v>
      </c>
      <c r="F46" s="570"/>
    </row>
    <row r="47" spans="1:256" ht="22.9" customHeight="1" x14ac:dyDescent="0.2">
      <c r="B47" s="569"/>
      <c r="C47" s="917" t="s">
        <v>441</v>
      </c>
      <c r="D47" s="859" t="s">
        <v>916</v>
      </c>
      <c r="E47" s="931">
        <f>'FC-10_DEUDAS'!N42+'FC-4_PASIVO'!F71-'FC-4_PASIVO'!G71</f>
        <v>500000</v>
      </c>
      <c r="F47" s="57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5">
      <c r="B48" s="569"/>
      <c r="C48" s="1035" t="s">
        <v>928</v>
      </c>
      <c r="D48" s="1035"/>
      <c r="E48" s="914">
        <f>SUM(E46:E47)</f>
        <v>511000</v>
      </c>
      <c r="F48" s="57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2:256" ht="22.9" customHeight="1" x14ac:dyDescent="0.2">
      <c r="B49" s="569"/>
      <c r="C49" s="660"/>
      <c r="D49" s="4"/>
      <c r="E49" s="612"/>
      <c r="F49" s="570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2:256" s="933" customFormat="1" ht="22.9" customHeight="1" x14ac:dyDescent="0.25">
      <c r="B50" s="572"/>
      <c r="C50" s="1036" t="s">
        <v>929</v>
      </c>
      <c r="D50" s="1036"/>
      <c r="E50" s="934">
        <f>E40+E44+E48</f>
        <v>11626028.59</v>
      </c>
      <c r="F50" s="575"/>
    </row>
    <row r="51" spans="2:256" ht="9" customHeight="1" x14ac:dyDescent="0.2">
      <c r="B51" s="569"/>
      <c r="C51" s="16"/>
      <c r="D51" s="660"/>
      <c r="E51" s="868"/>
      <c r="F51" s="570"/>
    </row>
    <row r="52" spans="2:256" ht="22.9" customHeight="1" x14ac:dyDescent="0.2">
      <c r="B52" s="613"/>
      <c r="C52" s="996"/>
      <c r="D52" s="996"/>
      <c r="E52" s="614"/>
      <c r="F52" s="615"/>
    </row>
    <row r="53" spans="2:256" ht="22.9" customHeight="1" x14ac:dyDescent="0.2">
      <c r="C53" s="556"/>
      <c r="D53" s="556"/>
      <c r="E53" s="566"/>
    </row>
    <row r="54" spans="2:256" ht="15" x14ac:dyDescent="0.2">
      <c r="C54" s="556" t="s">
        <v>55</v>
      </c>
      <c r="D54" s="556"/>
      <c r="E54" s="558" t="s">
        <v>51</v>
      </c>
    </row>
    <row r="55" spans="2:256" ht="15" x14ac:dyDescent="0.2">
      <c r="C55" s="616" t="s">
        <v>57</v>
      </c>
      <c r="D55" s="556"/>
      <c r="E55" s="566"/>
    </row>
    <row r="56" spans="2:256" ht="15" x14ac:dyDescent="0.2">
      <c r="C56" s="616" t="s">
        <v>58</v>
      </c>
      <c r="D56" s="556"/>
      <c r="E56" s="566"/>
    </row>
    <row r="57" spans="2:256" ht="15" x14ac:dyDescent="0.2">
      <c r="C57" s="616" t="s">
        <v>59</v>
      </c>
      <c r="D57" s="556"/>
      <c r="E57" s="566"/>
    </row>
    <row r="58" spans="2:256" ht="15" x14ac:dyDescent="0.2">
      <c r="C58" s="616" t="s">
        <v>60</v>
      </c>
      <c r="D58" s="556"/>
      <c r="E58" s="566"/>
    </row>
  </sheetData>
  <mergeCells count="14">
    <mergeCell ref="C25:D25"/>
    <mergeCell ref="C50:D50"/>
    <mergeCell ref="C52:D52"/>
    <mergeCell ref="C29:D29"/>
    <mergeCell ref="C31:D31"/>
    <mergeCell ref="C34:D34"/>
    <mergeCell ref="C40:D40"/>
    <mergeCell ref="C44:D44"/>
    <mergeCell ref="C48:D48"/>
    <mergeCell ref="E6:E7"/>
    <mergeCell ref="D9:E9"/>
    <mergeCell ref="C12:D12"/>
    <mergeCell ref="C14:D14"/>
    <mergeCell ref="C21:D21"/>
  </mergeCells>
  <printOptions horizontalCentered="1" verticalCentered="1"/>
  <pageMargins left="0.35972222222222222" right="0.35972222222222222" top="0.60972222222222228" bottom="0.6097222222222222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7"/>
  <sheetViews>
    <sheetView topLeftCell="A50" workbookViewId="0">
      <selection activeCell="P30" sqref="P30"/>
    </sheetView>
  </sheetViews>
  <sheetFormatPr baseColWidth="10" defaultColWidth="11.44140625" defaultRowHeight="22.9" customHeight="1" x14ac:dyDescent="0.2"/>
  <cols>
    <col min="1" max="2" width="3.21875" style="22" customWidth="1"/>
    <col min="3" max="3" width="14" style="22" customWidth="1"/>
    <col min="4" max="4" width="72.21875" style="22" customWidth="1"/>
    <col min="5" max="5" width="17.77734375" style="559" customWidth="1"/>
    <col min="6" max="6" width="3.21875" style="22" customWidth="1"/>
    <col min="7" max="16384" width="11.44140625" style="22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4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4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560"/>
      <c r="C5" s="561"/>
      <c r="D5" s="561"/>
      <c r="E5" s="562"/>
      <c r="F5" s="563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564"/>
      <c r="C6" s="565" t="s">
        <v>2</v>
      </c>
      <c r="D6" s="556"/>
      <c r="E6" s="981">
        <f>ejercicio</f>
        <v>2018</v>
      </c>
      <c r="F6" s="567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564"/>
      <c r="C7" s="565" t="s">
        <v>3</v>
      </c>
      <c r="D7" s="556"/>
      <c r="E7" s="981"/>
      <c r="F7" s="56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564"/>
      <c r="C8" s="555"/>
      <c r="D8" s="556"/>
      <c r="E8" s="568"/>
      <c r="F8" s="56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569"/>
      <c r="C9" s="35" t="s">
        <v>62</v>
      </c>
      <c r="D9" s="995" t="str">
        <f>Entidad</f>
        <v>BALSAS DE TENERIFE (BALTEN), EPEL</v>
      </c>
      <c r="E9" s="995"/>
      <c r="F9" s="570"/>
    </row>
    <row r="10" spans="1:256" ht="7.15" customHeight="1" x14ac:dyDescent="0.2">
      <c r="A10"/>
      <c r="B10" s="564"/>
      <c r="C10" s="556"/>
      <c r="D10" s="556"/>
      <c r="E10" s="566"/>
      <c r="F10" s="56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571" customFormat="1" ht="30" customHeight="1" x14ac:dyDescent="0.25">
      <c r="B11" s="572"/>
      <c r="C11" s="573" t="s">
        <v>904</v>
      </c>
      <c r="D11" s="573"/>
      <c r="E11" s="574"/>
      <c r="F11" s="575"/>
    </row>
    <row r="12" spans="1:256" ht="30" customHeight="1" x14ac:dyDescent="0.25">
      <c r="A12" s="571"/>
      <c r="B12" s="572"/>
      <c r="C12" s="1007"/>
      <c r="D12" s="1007"/>
      <c r="E12" s="577"/>
      <c r="F12" s="575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9" customHeight="1" x14ac:dyDescent="0.2">
      <c r="A13"/>
      <c r="B13" s="579"/>
      <c r="C13" s="660"/>
      <c r="D13" s="660"/>
      <c r="E13" s="577"/>
      <c r="F13" s="567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882" customFormat="1" ht="24" customHeight="1" x14ac:dyDescent="0.2">
      <c r="B14" s="883"/>
      <c r="C14" s="1005" t="s">
        <v>905</v>
      </c>
      <c r="D14" s="1005"/>
      <c r="E14" s="618" t="s">
        <v>717</v>
      </c>
      <c r="F14" s="884"/>
    </row>
    <row r="15" spans="1:256" ht="9" customHeight="1" x14ac:dyDescent="0.2">
      <c r="A15"/>
      <c r="B15" s="579"/>
      <c r="C15" s="233"/>
      <c r="D15" s="660"/>
      <c r="E15" s="577"/>
      <c r="F15" s="567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">
      <c r="B16" s="569"/>
      <c r="C16" s="928" t="s">
        <v>355</v>
      </c>
      <c r="D16" s="929" t="s">
        <v>906</v>
      </c>
      <c r="E16" s="930">
        <v>0</v>
      </c>
      <c r="F16" s="570"/>
    </row>
    <row r="17" spans="2:256" ht="22.9" customHeight="1" x14ac:dyDescent="0.2">
      <c r="B17" s="569"/>
      <c r="C17" s="917" t="s">
        <v>366</v>
      </c>
      <c r="D17" s="859" t="s">
        <v>907</v>
      </c>
      <c r="E17" s="931">
        <v>0</v>
      </c>
      <c r="F17" s="570"/>
    </row>
    <row r="18" spans="2:256" ht="22.9" customHeight="1" x14ac:dyDescent="0.2">
      <c r="B18" s="569"/>
      <c r="C18" s="917" t="s">
        <v>371</v>
      </c>
      <c r="D18" s="859" t="s">
        <v>908</v>
      </c>
      <c r="E18" s="931">
        <f>+'FC-3_CPyG'!G16+'FC-3_1_INF_ADIC_CPyG'!G74+'FC-3_1_INF_ADIC_CPyG'!G76</f>
        <v>9819969.4299999997</v>
      </c>
      <c r="F18" s="570"/>
    </row>
    <row r="19" spans="2:256" ht="22.9" customHeight="1" x14ac:dyDescent="0.2">
      <c r="B19" s="569"/>
      <c r="C19" s="917" t="s">
        <v>375</v>
      </c>
      <c r="D19" s="859" t="s">
        <v>909</v>
      </c>
      <c r="E19" s="931">
        <f>'FC-3_CPyG'!G29</f>
        <v>0</v>
      </c>
      <c r="F19" s="570"/>
    </row>
    <row r="20" spans="2:256" ht="22.9" customHeight="1" x14ac:dyDescent="0.2">
      <c r="B20" s="569"/>
      <c r="C20" s="920" t="s">
        <v>383</v>
      </c>
      <c r="D20" s="862" t="s">
        <v>910</v>
      </c>
      <c r="E20" s="932">
        <f>'FC-3_1_INF_ADIC_CPyG'!G75+'FC-3_CPyG'!G52+'FC-3_CPyG'!G55+'FC-3_CPyG'!G72+'FC-3_CPyG'!G73</f>
        <v>2287.86</v>
      </c>
      <c r="F20" s="570"/>
    </row>
    <row r="21" spans="2:256" ht="22.9" customHeight="1" x14ac:dyDescent="0.25">
      <c r="B21" s="569"/>
      <c r="C21" s="1035" t="s">
        <v>911</v>
      </c>
      <c r="D21" s="1035"/>
      <c r="E21" s="914">
        <f>SUM(E16:E20)</f>
        <v>9822257.2899999991</v>
      </c>
      <c r="F21" s="570"/>
    </row>
    <row r="22" spans="2:256" ht="9" customHeight="1" x14ac:dyDescent="0.2">
      <c r="B22" s="569"/>
      <c r="C22" s="16"/>
      <c r="D22" s="660"/>
      <c r="E22" s="868"/>
      <c r="F22" s="570"/>
    </row>
    <row r="23" spans="2:256" ht="22.9" customHeight="1" x14ac:dyDescent="0.2">
      <c r="B23" s="569"/>
      <c r="C23" s="928" t="s">
        <v>386</v>
      </c>
      <c r="D23" s="929" t="s">
        <v>912</v>
      </c>
      <c r="E23" s="930"/>
      <c r="F23" s="570"/>
    </row>
    <row r="24" spans="2:256" ht="22.9" customHeight="1" x14ac:dyDescent="0.2">
      <c r="B24" s="569"/>
      <c r="C24" s="917" t="s">
        <v>388</v>
      </c>
      <c r="D24" s="859" t="s">
        <v>913</v>
      </c>
      <c r="E24" s="931"/>
      <c r="F24" s="570"/>
    </row>
    <row r="25" spans="2:256" ht="22.9" customHeight="1" x14ac:dyDescent="0.25">
      <c r="B25" s="569"/>
      <c r="C25" s="1035" t="s">
        <v>914</v>
      </c>
      <c r="D25" s="1035"/>
      <c r="E25" s="914">
        <f>SUM(E23:E24)</f>
        <v>0</v>
      </c>
      <c r="F25" s="570"/>
    </row>
    <row r="26" spans="2:256" ht="9" customHeight="1" x14ac:dyDescent="0.2">
      <c r="B26" s="569"/>
      <c r="C26" s="16"/>
      <c r="D26" s="660"/>
      <c r="E26" s="868"/>
      <c r="F26" s="570"/>
    </row>
    <row r="27" spans="2:256" ht="22.9" customHeight="1" x14ac:dyDescent="0.2">
      <c r="B27" s="569"/>
      <c r="C27" s="928" t="s">
        <v>439</v>
      </c>
      <c r="D27" s="929" t="s">
        <v>915</v>
      </c>
      <c r="E27" s="930"/>
      <c r="F27" s="570"/>
    </row>
    <row r="28" spans="2:256" ht="22.9" customHeight="1" x14ac:dyDescent="0.2">
      <c r="B28" s="569"/>
      <c r="C28" s="917" t="s">
        <v>441</v>
      </c>
      <c r="D28" s="859" t="s">
        <v>916</v>
      </c>
      <c r="E28" s="931"/>
      <c r="F28" s="570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2:256" ht="22.9" customHeight="1" x14ac:dyDescent="0.25">
      <c r="B29" s="569"/>
      <c r="C29" s="1035" t="s">
        <v>917</v>
      </c>
      <c r="D29" s="1035"/>
      <c r="E29" s="914">
        <f>SUM(E27:E28)</f>
        <v>0</v>
      </c>
      <c r="F29" s="570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2:256" ht="22.9" customHeight="1" x14ac:dyDescent="0.2">
      <c r="B30" s="569"/>
      <c r="C30" s="660"/>
      <c r="D30" s="4"/>
      <c r="E30" s="612"/>
      <c r="F30" s="57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2:256" s="933" customFormat="1" ht="22.9" customHeight="1" x14ac:dyDescent="0.25">
      <c r="B31" s="572"/>
      <c r="C31" s="1036" t="s">
        <v>918</v>
      </c>
      <c r="D31" s="1036"/>
      <c r="E31" s="934">
        <f>E21+E25+E29</f>
        <v>9822257.2899999991</v>
      </c>
      <c r="F31" s="575"/>
    </row>
    <row r="32" spans="2:256" ht="9" customHeight="1" x14ac:dyDescent="0.2">
      <c r="B32" s="569"/>
      <c r="C32" s="16"/>
      <c r="D32" s="660"/>
      <c r="E32" s="868"/>
      <c r="F32" s="570"/>
    </row>
    <row r="33" spans="1:256" ht="22.9" customHeight="1" x14ac:dyDescent="0.25">
      <c r="B33" s="569"/>
      <c r="C33" s="1035" t="s">
        <v>919</v>
      </c>
      <c r="D33" s="1035"/>
      <c r="E33" s="914">
        <f>IF('FC-3_CPyG'!G20&gt;0,'FC-3_CPyG'!G20,0)+'FC-3_CPyG'!G21+'FC-3_CPyG'!G41+'FC-3_CPyG'!G42+'FC-3_CPyG'!G45+'FC-3_CPyG'!G47+'FC-3_CPyG'!G58+'FC-3_CPyG'!G63</f>
        <v>2490310.7000000002</v>
      </c>
      <c r="F33" s="570"/>
    </row>
    <row r="34" spans="1:256" ht="9" customHeight="1" x14ac:dyDescent="0.2">
      <c r="B34" s="569"/>
      <c r="C34" s="16"/>
      <c r="D34" s="660"/>
      <c r="E34" s="868"/>
      <c r="F34" s="57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5">
      <c r="B35" s="569"/>
      <c r="C35" s="1036" t="s">
        <v>942</v>
      </c>
      <c r="D35" s="1036"/>
      <c r="E35" s="934">
        <f>+E31+E33</f>
        <v>12312567.989999998</v>
      </c>
      <c r="F35" s="57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5">
      <c r="B36" s="569"/>
      <c r="C36" s="552"/>
      <c r="D36" s="552"/>
      <c r="E36" s="554"/>
      <c r="F36" s="57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882" customFormat="1" ht="24" customHeight="1" x14ac:dyDescent="0.2">
      <c r="B37" s="883"/>
      <c r="C37" s="1005" t="s">
        <v>920</v>
      </c>
      <c r="D37" s="1005"/>
      <c r="E37" s="618" t="s">
        <v>717</v>
      </c>
      <c r="F37" s="884"/>
    </row>
    <row r="38" spans="1:256" ht="9" customHeight="1" x14ac:dyDescent="0.2">
      <c r="A38"/>
      <c r="B38" s="579"/>
      <c r="C38" s="233"/>
      <c r="D38" s="660"/>
      <c r="E38" s="577"/>
      <c r="F38" s="567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B39" s="569"/>
      <c r="C39" s="928" t="s">
        <v>355</v>
      </c>
      <c r="D39" s="929" t="s">
        <v>921</v>
      </c>
      <c r="E39" s="930">
        <f>-'FC-3_CPyG'!G30+'FC-3_CPyG'!G33</f>
        <v>1678656.25</v>
      </c>
      <c r="F39" s="570"/>
    </row>
    <row r="40" spans="1:256" ht="22.9" customHeight="1" x14ac:dyDescent="0.2">
      <c r="B40" s="569"/>
      <c r="C40" s="917" t="s">
        <v>366</v>
      </c>
      <c r="D40" s="859" t="s">
        <v>922</v>
      </c>
      <c r="E40" s="931">
        <f>-'FC-3_CPyG'!G22+'FC-3_CPyG'!G26-'FC-3_CPyG'!G35-'FC-3_CPyG'!G36-'FC-3_CPyG'!G38-'FC-3_CPyG'!G77-'FC-3_1_INF_ADIC_CPyG'!G57-E42</f>
        <v>8982984.9299999997</v>
      </c>
      <c r="F40" s="570"/>
    </row>
    <row r="41" spans="1:256" ht="22.9" customHeight="1" x14ac:dyDescent="0.2">
      <c r="B41" s="569"/>
      <c r="C41" s="917" t="s">
        <v>371</v>
      </c>
      <c r="D41" s="859" t="s">
        <v>923</v>
      </c>
      <c r="E41" s="931">
        <f>-'FC-3_CPyG'!G60-'FC-3_CPyG'!G61-'FC-3_CPyG'!G70</f>
        <v>92.83</v>
      </c>
      <c r="F41" s="570"/>
    </row>
    <row r="42" spans="1:256" ht="22.9" customHeight="1" x14ac:dyDescent="0.2">
      <c r="B42" s="569"/>
      <c r="C42" s="917" t="s">
        <v>375</v>
      </c>
      <c r="D42" s="859" t="s">
        <v>924</v>
      </c>
      <c r="E42" s="932">
        <f>+'FC-3_1_INF_ADIC_CPyG'!G87</f>
        <v>0</v>
      </c>
      <c r="F42" s="570"/>
    </row>
    <row r="43" spans="1:256" ht="22.9" customHeight="1" x14ac:dyDescent="0.25">
      <c r="B43" s="569"/>
      <c r="C43" s="1035" t="s">
        <v>925</v>
      </c>
      <c r="D43" s="1035"/>
      <c r="E43" s="914">
        <f>SUM(E39:E42)</f>
        <v>10661734.01</v>
      </c>
      <c r="F43" s="570"/>
    </row>
    <row r="44" spans="1:256" ht="9" customHeight="1" x14ac:dyDescent="0.2">
      <c r="B44" s="569"/>
      <c r="C44" s="16"/>
      <c r="D44" s="660"/>
      <c r="E44" s="868"/>
      <c r="F44" s="570"/>
    </row>
    <row r="45" spans="1:256" ht="22.9" customHeight="1" x14ac:dyDescent="0.2">
      <c r="B45" s="569"/>
      <c r="C45" s="928" t="s">
        <v>386</v>
      </c>
      <c r="D45" s="929" t="s">
        <v>926</v>
      </c>
      <c r="E45" s="930"/>
      <c r="F45" s="570"/>
    </row>
    <row r="46" spans="1:256" ht="22.9" customHeight="1" x14ac:dyDescent="0.2">
      <c r="B46" s="569"/>
      <c r="C46" s="917" t="s">
        <v>388</v>
      </c>
      <c r="D46" s="859" t="s">
        <v>913</v>
      </c>
      <c r="E46" s="931"/>
      <c r="F46" s="570"/>
    </row>
    <row r="47" spans="1:256" ht="22.9" customHeight="1" x14ac:dyDescent="0.25">
      <c r="B47" s="569"/>
      <c r="C47" s="1035" t="s">
        <v>927</v>
      </c>
      <c r="D47" s="1035"/>
      <c r="E47" s="914">
        <f>SUM(E45:E46)</f>
        <v>0</v>
      </c>
      <c r="F47" s="570"/>
    </row>
    <row r="48" spans="1:256" ht="9" customHeight="1" x14ac:dyDescent="0.2">
      <c r="B48" s="569"/>
      <c r="C48" s="16"/>
      <c r="D48" s="660"/>
      <c r="E48" s="868"/>
      <c r="F48" s="570"/>
    </row>
    <row r="49" spans="2:256" ht="22.9" customHeight="1" x14ac:dyDescent="0.2">
      <c r="B49" s="569"/>
      <c r="C49" s="928" t="s">
        <v>439</v>
      </c>
      <c r="D49" s="929" t="s">
        <v>915</v>
      </c>
      <c r="E49" s="930"/>
      <c r="F49" s="570"/>
    </row>
    <row r="50" spans="2:256" ht="22.9" customHeight="1" x14ac:dyDescent="0.2">
      <c r="B50" s="569"/>
      <c r="C50" s="917" t="s">
        <v>441</v>
      </c>
      <c r="D50" s="859" t="s">
        <v>916</v>
      </c>
      <c r="E50" s="931"/>
      <c r="F50" s="57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2:256" ht="22.9" customHeight="1" x14ac:dyDescent="0.25">
      <c r="B51" s="569"/>
      <c r="C51" s="1035" t="s">
        <v>928</v>
      </c>
      <c r="D51" s="1035"/>
      <c r="E51" s="914">
        <f>SUM(E49:E50)</f>
        <v>0</v>
      </c>
      <c r="F51" s="570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2:256" ht="22.9" customHeight="1" x14ac:dyDescent="0.2">
      <c r="B52" s="569"/>
      <c r="C52" s="660"/>
      <c r="D52" s="4"/>
      <c r="E52" s="612"/>
      <c r="F52" s="570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2:256" s="933" customFormat="1" ht="22.9" customHeight="1" x14ac:dyDescent="0.25">
      <c r="B53" s="572"/>
      <c r="C53" s="1036" t="s">
        <v>929</v>
      </c>
      <c r="D53" s="1036"/>
      <c r="E53" s="934">
        <f>E43+E47+E51</f>
        <v>10661734.01</v>
      </c>
      <c r="F53" s="575"/>
    </row>
    <row r="54" spans="2:256" ht="9" customHeight="1" x14ac:dyDescent="0.2">
      <c r="B54" s="569"/>
      <c r="C54" s="16"/>
      <c r="D54" s="660"/>
      <c r="E54" s="868"/>
      <c r="F54" s="570"/>
    </row>
    <row r="55" spans="2:256" ht="22.9" customHeight="1" x14ac:dyDescent="0.25">
      <c r="B55" s="569"/>
      <c r="C55" s="1035" t="s">
        <v>930</v>
      </c>
      <c r="D55" s="1035"/>
      <c r="E55" s="914">
        <f>IF('FC-3_CPyG'!G20&lt;0,-'FC-3_CPyG'!G20,0)-'FC-3_CPyG'!G26-'FC-3_CPyG'!G33-'FC-3_CPyG'!G37-'FC-3_CPyG'!G40-'FC-3_CPyG'!G44-'FC-3_CPyG'!G62-'FC-3_CPyG'!G66-'FC-3_CPyG'!G67</f>
        <v>2580021.33</v>
      </c>
      <c r="F55" s="570"/>
    </row>
    <row r="56" spans="2:256" ht="9" customHeight="1" x14ac:dyDescent="0.2">
      <c r="B56" s="569"/>
      <c r="C56" s="16"/>
      <c r="D56" s="660"/>
      <c r="E56" s="868"/>
      <c r="F56" s="570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2:256" ht="22.9" customHeight="1" x14ac:dyDescent="0.25">
      <c r="B57" s="569"/>
      <c r="C57" s="1036" t="s">
        <v>943</v>
      </c>
      <c r="D57" s="1036"/>
      <c r="E57" s="934">
        <f>+E53+E55</f>
        <v>13241755.34</v>
      </c>
      <c r="F57" s="570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2:256" ht="22.9" customHeight="1" x14ac:dyDescent="0.25">
      <c r="B58" s="569"/>
      <c r="C58" s="552"/>
      <c r="D58" s="552"/>
      <c r="E58" s="554"/>
      <c r="F58" s="570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2:256" s="933" customFormat="1" ht="22.9" customHeight="1" x14ac:dyDescent="0.25">
      <c r="B59" s="572"/>
      <c r="C59" s="935" t="s">
        <v>931</v>
      </c>
      <c r="D59" s="936"/>
      <c r="E59" s="937">
        <f>+E35-E57</f>
        <v>-929187.35000000149</v>
      </c>
      <c r="F59" s="575"/>
      <c r="H59" s="22"/>
    </row>
    <row r="60" spans="2:256" ht="22.9" customHeight="1" x14ac:dyDescent="0.2">
      <c r="B60" s="569"/>
      <c r="C60" s="16"/>
      <c r="D60" s="660"/>
      <c r="E60" s="868"/>
      <c r="F60" s="570"/>
    </row>
    <row r="61" spans="2:256" ht="22.9" customHeight="1" x14ac:dyDescent="0.2">
      <c r="B61" s="613"/>
      <c r="C61" s="996"/>
      <c r="D61" s="996"/>
      <c r="E61" s="614"/>
      <c r="F61" s="615"/>
    </row>
    <row r="62" spans="2:256" ht="22.9" customHeight="1" x14ac:dyDescent="0.2">
      <c r="C62" s="556"/>
      <c r="D62" s="556"/>
      <c r="E62" s="566"/>
    </row>
    <row r="63" spans="2:256" ht="15" x14ac:dyDescent="0.2">
      <c r="C63" s="556" t="s">
        <v>55</v>
      </c>
      <c r="D63" s="556"/>
      <c r="E63" s="558" t="s">
        <v>944</v>
      </c>
    </row>
    <row r="64" spans="2:256" ht="15" x14ac:dyDescent="0.2">
      <c r="C64" s="616" t="s">
        <v>57</v>
      </c>
      <c r="D64" s="556"/>
      <c r="E64" s="566"/>
    </row>
    <row r="65" spans="3:5" ht="15" x14ac:dyDescent="0.2">
      <c r="C65" s="616" t="s">
        <v>58</v>
      </c>
      <c r="D65" s="556"/>
      <c r="E65" s="566"/>
    </row>
    <row r="66" spans="3:5" ht="15" x14ac:dyDescent="0.2">
      <c r="C66" s="616" t="s">
        <v>59</v>
      </c>
      <c r="D66" s="556"/>
      <c r="E66" s="566"/>
    </row>
    <row r="67" spans="3:5" ht="15" x14ac:dyDescent="0.2">
      <c r="C67" s="616" t="s">
        <v>60</v>
      </c>
      <c r="D67" s="556"/>
      <c r="E67" s="566"/>
    </row>
  </sheetData>
  <sheetProtection password="E059" sheet="1"/>
  <mergeCells count="18">
    <mergeCell ref="C55:D55"/>
    <mergeCell ref="C57:D57"/>
    <mergeCell ref="C61:D61"/>
    <mergeCell ref="C37:D37"/>
    <mergeCell ref="C43:D43"/>
    <mergeCell ref="C47:D47"/>
    <mergeCell ref="C51:D51"/>
    <mergeCell ref="C53:D53"/>
    <mergeCell ref="C25:D25"/>
    <mergeCell ref="C29:D29"/>
    <mergeCell ref="C31:D31"/>
    <mergeCell ref="C33:D33"/>
    <mergeCell ref="C35:D35"/>
    <mergeCell ref="E6:E7"/>
    <mergeCell ref="D9:E9"/>
    <mergeCell ref="C12:D12"/>
    <mergeCell ref="C14:D14"/>
    <mergeCell ref="C21:D21"/>
  </mergeCells>
  <printOptions horizontalCentered="1" verticalCentered="1"/>
  <pageMargins left="0.35972222222222222" right="0.35972222222222222" top="0.60972222222222228" bottom="0.6097222222222222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showGridLines="0" tabSelected="1" zoomScale="85" zoomScaleNormal="85" workbookViewId="0">
      <selection activeCell="H24" sqref="H24"/>
    </sheetView>
  </sheetViews>
  <sheetFormatPr baseColWidth="10" defaultColWidth="11.44140625" defaultRowHeight="22.9" customHeight="1" x14ac:dyDescent="0.2"/>
  <cols>
    <col min="1" max="2" width="3.21875" style="2" customWidth="1"/>
    <col min="3" max="3" width="13" style="2" customWidth="1"/>
    <col min="4" max="4" width="8" style="2" customWidth="1"/>
    <col min="5" max="5" width="16.21875" style="2" customWidth="1"/>
    <col min="6" max="7" width="19.21875" style="2" customWidth="1"/>
    <col min="8" max="8" width="13.77734375" style="2" customWidth="1"/>
    <col min="9" max="9" width="3.77734375" style="2" customWidth="1"/>
    <col min="10" max="16384" width="11.44140625" style="2"/>
  </cols>
  <sheetData>
    <row r="1" spans="1:256" ht="22.9" customHeight="1" x14ac:dyDescent="0.2">
      <c r="A1"/>
      <c r="B1"/>
      <c r="C1"/>
      <c r="D1"/>
      <c r="E1" s="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5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5" t="s">
        <v>1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6"/>
      <c r="C5" s="7"/>
      <c r="D5" s="7"/>
      <c r="E5" s="7"/>
      <c r="F5" s="7"/>
      <c r="G5" s="7"/>
      <c r="H5" s="7"/>
      <c r="I5" s="8"/>
      <c r="J5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35">
      <c r="A6"/>
      <c r="B6" s="9"/>
      <c r="C6" s="10" t="s">
        <v>2</v>
      </c>
      <c r="D6" s="31"/>
      <c r="E6" s="31"/>
      <c r="F6" s="31"/>
      <c r="G6" s="3"/>
      <c r="H6" s="981">
        <f>ejercicio</f>
        <v>2018</v>
      </c>
      <c r="I6" s="11"/>
      <c r="J6"/>
      <c r="K6" s="65"/>
      <c r="L6" s="66" t="s">
        <v>93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8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9"/>
      <c r="C7" s="10" t="s">
        <v>3</v>
      </c>
      <c r="D7" s="3"/>
      <c r="E7" s="3"/>
      <c r="F7" s="3"/>
      <c r="G7" s="3"/>
      <c r="H7" s="981">
        <v>2018</v>
      </c>
      <c r="I7" s="11"/>
      <c r="J7"/>
      <c r="K7" s="65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8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9"/>
      <c r="C8" s="3"/>
      <c r="D8" s="3"/>
      <c r="E8" s="3"/>
      <c r="F8" s="3"/>
      <c r="G8" s="3"/>
      <c r="H8" s="32"/>
      <c r="I8" s="11"/>
      <c r="J8"/>
      <c r="K8" s="65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A9"/>
      <c r="B9" s="9"/>
      <c r="C9" s="34" t="s">
        <v>62</v>
      </c>
      <c r="D9" s="984" t="str">
        <f>Entidad</f>
        <v>BALSAS DE TENERIFE (BALTEN), EPEL</v>
      </c>
      <c r="E9" s="984"/>
      <c r="F9" s="984"/>
      <c r="G9" s="984"/>
      <c r="H9" s="984"/>
      <c r="I9" s="11"/>
      <c r="J9"/>
      <c r="K9" s="69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1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7.15" customHeight="1" x14ac:dyDescent="0.2">
      <c r="A10"/>
      <c r="B10" s="9"/>
      <c r="C10" s="3"/>
      <c r="D10" s="3"/>
      <c r="E10" s="3"/>
      <c r="F10" s="3"/>
      <c r="G10" s="3"/>
      <c r="H10" s="12"/>
      <c r="I10" s="11"/>
      <c r="J10"/>
      <c r="K10" s="65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9" customFormat="1" ht="30" customHeight="1" x14ac:dyDescent="0.25">
      <c r="B11" s="36"/>
      <c r="C11" s="13" t="s">
        <v>94</v>
      </c>
      <c r="D11" s="13"/>
      <c r="E11" s="13"/>
      <c r="F11" s="13"/>
      <c r="G11" s="13"/>
      <c r="H11" s="13"/>
      <c r="I11" s="39"/>
      <c r="K11" s="72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</row>
    <row r="12" spans="1:256" ht="22.9" customHeight="1" x14ac:dyDescent="0.2">
      <c r="A12"/>
      <c r="B12" s="9"/>
      <c r="C12" s="3"/>
      <c r="D12" s="3"/>
      <c r="E12" s="3"/>
      <c r="F12" s="3"/>
      <c r="G12" s="3"/>
      <c r="H12" s="3"/>
      <c r="I12" s="11"/>
      <c r="J12"/>
      <c r="K12" s="72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9"/>
      <c r="C13" s="75" t="s">
        <v>95</v>
      </c>
      <c r="D13" s="75"/>
      <c r="E13" s="75"/>
      <c r="F13" s="75"/>
      <c r="G13" s="75"/>
      <c r="H13" s="76">
        <f>+H15+H19</f>
        <v>11</v>
      </c>
      <c r="I13" s="11"/>
      <c r="J13"/>
      <c r="K13" s="65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8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2">
      <c r="A14"/>
      <c r="B14" s="9"/>
      <c r="C14" s="3"/>
      <c r="D14" s="3"/>
      <c r="E14" s="3"/>
      <c r="F14" s="3"/>
      <c r="G14" s="3"/>
      <c r="H14" s="3"/>
      <c r="I14" s="11"/>
      <c r="J14"/>
      <c r="K14" s="65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8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5">
      <c r="A15"/>
      <c r="B15" s="9"/>
      <c r="C15" s="3"/>
      <c r="D15" s="77" t="s">
        <v>96</v>
      </c>
      <c r="E15" s="77"/>
      <c r="F15" s="77"/>
      <c r="G15" s="77"/>
      <c r="H15" s="78">
        <f>H16+H17</f>
        <v>11</v>
      </c>
      <c r="I15" s="11"/>
      <c r="J15"/>
      <c r="K15" s="65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">
      <c r="A16"/>
      <c r="B16" s="9"/>
      <c r="C16" s="3"/>
      <c r="D16" s="3"/>
      <c r="E16" s="79" t="s">
        <v>97</v>
      </c>
      <c r="F16" s="79"/>
      <c r="G16" s="79"/>
      <c r="H16" s="80">
        <v>11</v>
      </c>
      <c r="I16" s="11"/>
      <c r="J16"/>
      <c r="K16" s="65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8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/>
      <c r="B17" s="9"/>
      <c r="C17" s="3"/>
      <c r="D17" s="3"/>
      <c r="E17" s="79" t="s">
        <v>98</v>
      </c>
      <c r="F17" s="79"/>
      <c r="G17" s="79"/>
      <c r="H17" s="80"/>
      <c r="I17" s="11"/>
      <c r="J17"/>
      <c r="K17" s="65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8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9"/>
      <c r="C18" s="3"/>
      <c r="D18" s="3"/>
      <c r="E18" s="3"/>
      <c r="F18" s="3"/>
      <c r="G18" s="3"/>
      <c r="H18" s="3"/>
      <c r="I18" s="11"/>
      <c r="J18"/>
      <c r="K18" s="65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5">
      <c r="A19"/>
      <c r="B19" s="9"/>
      <c r="C19" s="3"/>
      <c r="D19" s="77" t="s">
        <v>99</v>
      </c>
      <c r="E19" s="77"/>
      <c r="F19" s="77"/>
      <c r="G19" s="77"/>
      <c r="H19" s="81"/>
      <c r="I19" s="11"/>
      <c r="J19"/>
      <c r="K19" s="65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8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9"/>
      <c r="C20" s="3"/>
      <c r="D20" s="3"/>
      <c r="E20" s="3"/>
      <c r="F20" s="3"/>
      <c r="G20" s="3"/>
      <c r="H20" s="3"/>
      <c r="I20" s="11"/>
      <c r="J20"/>
      <c r="K20" s="65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8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9"/>
      <c r="C21" s="3"/>
      <c r="D21" s="3"/>
      <c r="E21" s="3"/>
      <c r="F21" s="3"/>
      <c r="G21" s="3"/>
      <c r="H21" s="3"/>
      <c r="I21" s="11"/>
      <c r="J21"/>
      <c r="K21" s="65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8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1.15" customHeight="1" x14ac:dyDescent="0.25">
      <c r="A22"/>
      <c r="B22" s="9"/>
      <c r="C22" s="82" t="s">
        <v>100</v>
      </c>
      <c r="D22" s="82" t="s">
        <v>101</v>
      </c>
      <c r="E22" s="82"/>
      <c r="F22" s="82"/>
      <c r="G22" s="82"/>
      <c r="H22" s="83" t="s">
        <v>102</v>
      </c>
      <c r="I22" s="11"/>
      <c r="J22"/>
      <c r="K22" s="65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8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9"/>
      <c r="C23" s="84" t="s">
        <v>103</v>
      </c>
      <c r="D23" s="85" t="s">
        <v>104</v>
      </c>
      <c r="E23" s="86"/>
      <c r="F23" s="86"/>
      <c r="G23" s="86"/>
      <c r="H23" s="87">
        <v>42272</v>
      </c>
      <c r="I23" s="11"/>
      <c r="J23"/>
      <c r="K23" s="65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9"/>
      <c r="C24" s="88" t="s">
        <v>105</v>
      </c>
      <c r="D24" s="85" t="s">
        <v>106</v>
      </c>
      <c r="E24" s="89"/>
      <c r="F24" s="89"/>
      <c r="G24" s="89"/>
      <c r="H24" s="87">
        <v>42272</v>
      </c>
      <c r="I24" s="11"/>
      <c r="J24"/>
      <c r="K24" s="65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8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9"/>
      <c r="C25" s="88" t="s">
        <v>107</v>
      </c>
      <c r="D25" s="85" t="s">
        <v>108</v>
      </c>
      <c r="E25" s="89"/>
      <c r="F25" s="89"/>
      <c r="G25" s="89"/>
      <c r="H25" s="90">
        <v>42870</v>
      </c>
      <c r="I25" s="11"/>
      <c r="J25"/>
      <c r="K25" s="65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8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9"/>
      <c r="C26" s="88" t="s">
        <v>109</v>
      </c>
      <c r="D26" s="85"/>
      <c r="E26" s="89"/>
      <c r="F26" s="89"/>
      <c r="G26" s="89"/>
      <c r="H26" s="90"/>
      <c r="I26" s="11"/>
      <c r="J26"/>
      <c r="K26" s="65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8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/>
      <c r="B27" s="9"/>
      <c r="C27" s="88" t="s">
        <v>110</v>
      </c>
      <c r="D27" s="85" t="s">
        <v>111</v>
      </c>
      <c r="E27" s="85"/>
      <c r="F27" s="89"/>
      <c r="G27" s="89"/>
      <c r="H27" s="87">
        <v>42272</v>
      </c>
      <c r="I27" s="11"/>
      <c r="J27"/>
      <c r="K27" s="65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8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9"/>
      <c r="C28" s="88" t="s">
        <v>112</v>
      </c>
      <c r="D28" s="85" t="s">
        <v>113</v>
      </c>
      <c r="E28" s="85"/>
      <c r="F28" s="89"/>
      <c r="G28" s="89"/>
      <c r="H28" s="87">
        <v>42272</v>
      </c>
      <c r="I28" s="11"/>
      <c r="J28"/>
      <c r="K28" s="65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9"/>
      <c r="C29" s="88" t="s">
        <v>114</v>
      </c>
      <c r="D29" s="85" t="s">
        <v>115</v>
      </c>
      <c r="E29" s="85"/>
      <c r="F29" s="89"/>
      <c r="G29" s="89"/>
      <c r="H29" s="87">
        <v>42773</v>
      </c>
      <c r="I29" s="11"/>
      <c r="J29"/>
      <c r="K29" s="65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/>
      <c r="B30" s="9"/>
      <c r="C30" s="88" t="s">
        <v>116</v>
      </c>
      <c r="D30" s="85" t="s">
        <v>117</v>
      </c>
      <c r="E30" s="85"/>
      <c r="F30" s="89"/>
      <c r="G30" s="89"/>
      <c r="H30" s="87">
        <v>42272</v>
      </c>
      <c r="I30" s="11"/>
      <c r="J30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3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/>
      <c r="B31" s="9"/>
      <c r="C31" s="88" t="s">
        <v>118</v>
      </c>
      <c r="D31" s="85" t="s">
        <v>119</v>
      </c>
      <c r="E31" s="85"/>
      <c r="F31" s="89"/>
      <c r="G31" s="89"/>
      <c r="H31" s="87">
        <v>42272</v>
      </c>
      <c r="I31" s="11"/>
      <c r="J31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3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9"/>
      <c r="C32" s="88" t="s">
        <v>120</v>
      </c>
      <c r="D32" s="85" t="s">
        <v>121</v>
      </c>
      <c r="E32" s="85"/>
      <c r="F32" s="89"/>
      <c r="G32" s="89"/>
      <c r="H32" s="87">
        <v>42272</v>
      </c>
      <c r="I32" s="11"/>
      <c r="J32"/>
      <c r="K32" s="65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9"/>
      <c r="C33" s="88" t="s">
        <v>122</v>
      </c>
      <c r="D33" s="85" t="s">
        <v>123</v>
      </c>
      <c r="E33" s="85"/>
      <c r="F33" s="89"/>
      <c r="G33" s="89"/>
      <c r="H33" s="87">
        <v>42272</v>
      </c>
      <c r="I33" s="11"/>
      <c r="J33"/>
      <c r="K33" s="65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8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9"/>
      <c r="C34" s="88" t="s">
        <v>124</v>
      </c>
      <c r="D34" s="85" t="s">
        <v>125</v>
      </c>
      <c r="E34" s="85"/>
      <c r="F34" s="89"/>
      <c r="G34" s="89"/>
      <c r="H34" s="87">
        <v>42272</v>
      </c>
      <c r="I34" s="11"/>
      <c r="J34"/>
      <c r="K34" s="65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9"/>
      <c r="C35" s="88" t="s">
        <v>126</v>
      </c>
      <c r="D35" s="89"/>
      <c r="E35" s="89"/>
      <c r="F35" s="89"/>
      <c r="G35" s="89"/>
      <c r="H35" s="90"/>
      <c r="I35" s="11"/>
      <c r="J35"/>
      <c r="K35" s="65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8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/>
      <c r="B36" s="9"/>
      <c r="C36" s="88" t="s">
        <v>127</v>
      </c>
      <c r="D36" s="89"/>
      <c r="E36" s="89"/>
      <c r="F36" s="89"/>
      <c r="G36" s="89"/>
      <c r="H36" s="90"/>
      <c r="I36" s="11"/>
      <c r="J36"/>
      <c r="K36" s="94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9"/>
      <c r="C37" s="88" t="s">
        <v>128</v>
      </c>
      <c r="D37" s="89"/>
      <c r="E37" s="89"/>
      <c r="F37" s="89"/>
      <c r="G37" s="89"/>
      <c r="H37" s="90"/>
      <c r="I37" s="11"/>
      <c r="J37"/>
      <c r="K37" s="94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6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/>
      <c r="B38" s="9"/>
      <c r="C38" s="88" t="s">
        <v>129</v>
      </c>
      <c r="D38" s="89"/>
      <c r="E38" s="89"/>
      <c r="F38" s="89"/>
      <c r="G38" s="89"/>
      <c r="H38" s="90"/>
      <c r="I38" s="11"/>
      <c r="J38"/>
      <c r="K38" s="94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6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9"/>
      <c r="C39" s="97"/>
      <c r="D39" s="98"/>
      <c r="E39" s="98"/>
      <c r="F39" s="98"/>
      <c r="G39" s="98"/>
      <c r="H39" s="99"/>
      <c r="I39" s="11"/>
      <c r="J39"/>
      <c r="K39" s="94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6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">
      <c r="A40"/>
      <c r="B40" s="9"/>
      <c r="C40" s="100" t="s">
        <v>130</v>
      </c>
      <c r="D40" s="101" t="s">
        <v>131</v>
      </c>
      <c r="E40" s="101"/>
      <c r="F40" s="101"/>
      <c r="G40" s="101"/>
      <c r="H40" s="102">
        <v>40909</v>
      </c>
      <c r="I40" s="11"/>
      <c r="J40"/>
      <c r="K40" s="65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9"/>
      <c r="C41" s="100" t="s">
        <v>132</v>
      </c>
      <c r="D41" s="89"/>
      <c r="E41" s="89"/>
      <c r="F41" s="89"/>
      <c r="G41" s="89"/>
      <c r="H41" s="102"/>
      <c r="I41" s="11"/>
      <c r="J41"/>
      <c r="K41" s="65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8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23"/>
      <c r="C42" s="24"/>
      <c r="D42" s="24"/>
      <c r="E42" s="24"/>
      <c r="F42" s="24"/>
      <c r="G42" s="60"/>
      <c r="H42" s="24"/>
      <c r="I42" s="25"/>
      <c r="J42"/>
      <c r="K42" s="103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5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/>
      <c r="C43"/>
      <c r="D43"/>
      <c r="E43"/>
      <c r="F43"/>
      <c r="G43" s="6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26" customFormat="1" ht="15" x14ac:dyDescent="0.2">
      <c r="C44" s="27" t="s">
        <v>55</v>
      </c>
      <c r="G44" s="28"/>
      <c r="H44" s="29" t="s">
        <v>9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6" ht="15" x14ac:dyDescent="0.2">
      <c r="A45" s="26"/>
      <c r="B45" s="26"/>
      <c r="C45" s="26" t="s">
        <v>57</v>
      </c>
      <c r="G45" s="28"/>
    </row>
    <row r="46" spans="1:256" ht="15" x14ac:dyDescent="0.2">
      <c r="A46" s="26"/>
      <c r="B46" s="26"/>
      <c r="C46" s="26" t="s">
        <v>58</v>
      </c>
      <c r="G46" s="28"/>
    </row>
    <row r="47" spans="1:256" ht="15" x14ac:dyDescent="0.2">
      <c r="A47" s="26"/>
      <c r="B47" s="26"/>
      <c r="C47" s="26" t="s">
        <v>59</v>
      </c>
      <c r="G47" s="28"/>
    </row>
    <row r="48" spans="1:256" ht="15" x14ac:dyDescent="0.2">
      <c r="A48" s="26"/>
      <c r="B48" s="26"/>
      <c r="C48" s="26" t="s">
        <v>60</v>
      </c>
      <c r="G48" s="28"/>
    </row>
  </sheetData>
  <sheetProtection password="E059" sheet="1"/>
  <mergeCells count="2">
    <mergeCell ref="H6:H7"/>
    <mergeCell ref="D9:H9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71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zoomScale="60" zoomScaleNormal="60" workbookViewId="0">
      <selection activeCell="E39" sqref="E39"/>
    </sheetView>
  </sheetViews>
  <sheetFormatPr baseColWidth="10" defaultColWidth="11.44140625" defaultRowHeight="22.9" customHeight="1" x14ac:dyDescent="0.2"/>
  <cols>
    <col min="1" max="2" width="3.21875" style="106" customWidth="1"/>
    <col min="3" max="3" width="14.21875" style="106" customWidth="1"/>
    <col min="4" max="4" width="28.21875" style="106" customWidth="1"/>
    <col min="5" max="5" width="14.77734375" style="106" customWidth="1"/>
    <col min="6" max="7" width="17.21875" style="106" customWidth="1"/>
    <col min="8" max="8" width="10.77734375" style="106" customWidth="1"/>
    <col min="9" max="9" width="13.77734375" style="106" customWidth="1"/>
    <col min="10" max="10" width="11.44140625" style="106"/>
    <col min="11" max="11" width="2" style="106" customWidth="1"/>
    <col min="12" max="15" width="11.44140625" style="106"/>
    <col min="16" max="16" width="34" style="106" customWidth="1"/>
    <col min="17" max="17" width="3.21875" style="106" customWidth="1"/>
    <col min="18" max="16384" width="11.44140625" style="106"/>
  </cols>
  <sheetData>
    <row r="1" spans="1:256" ht="22.9" customHeight="1" x14ac:dyDescent="0.2">
      <c r="A1"/>
      <c r="B1"/>
      <c r="C1"/>
      <c r="D1" s="10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108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108" t="s">
        <v>1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/>
      <c r="S5" s="62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4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112"/>
      <c r="C6" s="113" t="s">
        <v>2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/>
      <c r="P6" s="988">
        <f>ejercicio</f>
        <v>2018</v>
      </c>
      <c r="Q6" s="114"/>
      <c r="R6"/>
      <c r="S6" s="65"/>
      <c r="T6" s="66" t="s">
        <v>93</v>
      </c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8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112"/>
      <c r="C7" s="113" t="s">
        <v>3</v>
      </c>
      <c r="D7" s="107"/>
      <c r="E7" s="107"/>
      <c r="F7" s="107"/>
      <c r="G7" s="107"/>
      <c r="H7" s="107"/>
      <c r="I7" s="107"/>
      <c r="J7" s="107"/>
      <c r="K7" s="107"/>
      <c r="L7" s="107"/>
      <c r="M7" s="115"/>
      <c r="N7" s="107"/>
      <c r="O7"/>
      <c r="P7" s="988"/>
      <c r="Q7" s="114"/>
      <c r="R7"/>
      <c r="S7" s="65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8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112"/>
      <c r="C8" s="116"/>
      <c r="D8" s="107"/>
      <c r="E8" s="107"/>
      <c r="F8" s="107"/>
      <c r="G8" s="107"/>
      <c r="H8" s="107"/>
      <c r="I8" s="107"/>
      <c r="J8" s="107"/>
      <c r="K8" s="107"/>
      <c r="L8" s="107"/>
      <c r="M8" s="115"/>
      <c r="N8" s="107"/>
      <c r="O8" s="117"/>
      <c r="P8" s="117"/>
      <c r="Q8" s="114"/>
      <c r="R8"/>
      <c r="S8" s="65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118"/>
      <c r="C9" s="119" t="s">
        <v>62</v>
      </c>
      <c r="D9" s="989" t="str">
        <f>Entidad</f>
        <v>BALSAS DE TENERIFE (BALTEN), EPEL</v>
      </c>
      <c r="E9" s="989"/>
      <c r="F9" s="989"/>
      <c r="G9" s="989"/>
      <c r="H9" s="989"/>
      <c r="I9" s="989"/>
      <c r="J9" s="989"/>
      <c r="K9" s="989"/>
      <c r="L9" s="989"/>
      <c r="M9" s="989"/>
      <c r="N9" s="989"/>
      <c r="O9" s="989"/>
      <c r="P9" s="120"/>
      <c r="Q9" s="121"/>
      <c r="S9" s="69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1"/>
    </row>
    <row r="10" spans="1:256" ht="7.15" customHeight="1" x14ac:dyDescent="0.2">
      <c r="A10"/>
      <c r="B10" s="112"/>
      <c r="C10" s="107"/>
      <c r="D10" s="107"/>
      <c r="E10" s="107"/>
      <c r="F10" s="107"/>
      <c r="G10" s="107"/>
      <c r="H10" s="107"/>
      <c r="I10" s="115"/>
      <c r="J10" s="107"/>
      <c r="K10" s="107"/>
      <c r="L10" s="107"/>
      <c r="M10" s="107"/>
      <c r="N10" s="107"/>
      <c r="O10" s="107"/>
      <c r="P10" s="107"/>
      <c r="Q10" s="114"/>
      <c r="R10"/>
      <c r="S10" s="65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8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22" customFormat="1" ht="30" customHeight="1" x14ac:dyDescent="0.25">
      <c r="B11" s="123"/>
      <c r="C11" s="124" t="s">
        <v>133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5"/>
      <c r="S11" s="72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4"/>
    </row>
    <row r="12" spans="1:256" ht="22.9" customHeight="1" x14ac:dyDescent="0.2">
      <c r="A12"/>
      <c r="B12" s="112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14"/>
      <c r="R12"/>
      <c r="S12" s="72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4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112"/>
      <c r="C13" s="126" t="s">
        <v>134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14"/>
      <c r="R13"/>
      <c r="S13" s="65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8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2">
      <c r="A14"/>
      <c r="B14" s="112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4"/>
      <c r="R14"/>
      <c r="S14" s="65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8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">
      <c r="A15"/>
      <c r="B15" s="112"/>
      <c r="C15" s="107"/>
      <c r="D15" s="107"/>
      <c r="E15" s="107"/>
      <c r="F15" s="990" t="s">
        <v>135</v>
      </c>
      <c r="G15" s="990"/>
      <c r="H15" s="990"/>
      <c r="I15" s="127">
        <f>ejercicio-2</f>
        <v>2016</v>
      </c>
      <c r="J15" s="128"/>
      <c r="K15" s="107"/>
      <c r="L15" s="990" t="s">
        <v>136</v>
      </c>
      <c r="M15" s="990"/>
      <c r="N15" s="990"/>
      <c r="O15" s="129">
        <f>ejercicio-1</f>
        <v>2017</v>
      </c>
      <c r="P15" s="130"/>
      <c r="Q15" s="114"/>
      <c r="R15"/>
      <c r="S15" s="65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8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31" customFormat="1" ht="51" customHeight="1" x14ac:dyDescent="0.2">
      <c r="B16" s="132"/>
      <c r="C16" s="133" t="s">
        <v>137</v>
      </c>
      <c r="D16" s="133"/>
      <c r="E16" s="134" t="s">
        <v>138</v>
      </c>
      <c r="F16" s="134" t="s">
        <v>139</v>
      </c>
      <c r="G16" s="134" t="s">
        <v>140</v>
      </c>
      <c r="H16" s="135" t="s">
        <v>141</v>
      </c>
      <c r="I16" s="134" t="s">
        <v>142</v>
      </c>
      <c r="J16" s="134" t="s">
        <v>143</v>
      </c>
      <c r="K16" s="134"/>
      <c r="L16" s="136" t="s">
        <v>144</v>
      </c>
      <c r="M16" s="136" t="s">
        <v>145</v>
      </c>
      <c r="N16" s="136" t="s">
        <v>146</v>
      </c>
      <c r="O16" s="136" t="s">
        <v>147</v>
      </c>
      <c r="P16" s="137" t="s">
        <v>148</v>
      </c>
      <c r="Q16" s="138"/>
      <c r="S16" s="65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8"/>
    </row>
    <row r="17" spans="2:32" ht="22.9" customHeight="1" x14ac:dyDescent="0.2">
      <c r="B17" s="112"/>
      <c r="C17" s="139" t="s">
        <v>149</v>
      </c>
      <c r="D17" s="139"/>
      <c r="E17" s="140" t="s">
        <v>150</v>
      </c>
      <c r="F17" s="141">
        <v>1</v>
      </c>
      <c r="G17" s="142" t="s">
        <v>151</v>
      </c>
      <c r="H17" s="142" t="s">
        <v>151</v>
      </c>
      <c r="I17" s="142" t="s">
        <v>151</v>
      </c>
      <c r="J17" s="142" t="s">
        <v>151</v>
      </c>
      <c r="K17" s="143"/>
      <c r="L17" s="142" t="s">
        <v>151</v>
      </c>
      <c r="M17" s="142" t="s">
        <v>151</v>
      </c>
      <c r="N17" s="142" t="s">
        <v>151</v>
      </c>
      <c r="O17" s="142" t="s">
        <v>151</v>
      </c>
      <c r="P17" s="143" t="s">
        <v>152</v>
      </c>
      <c r="Q17" s="114"/>
      <c r="S17" s="65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</row>
    <row r="18" spans="2:32" ht="22.9" customHeight="1" x14ac:dyDescent="0.2">
      <c r="B18" s="112"/>
      <c r="C18" s="144"/>
      <c r="D18" s="144"/>
      <c r="E18" s="145"/>
      <c r="F18" s="146"/>
      <c r="G18" s="147"/>
      <c r="H18" s="147"/>
      <c r="I18" s="148"/>
      <c r="J18" s="148"/>
      <c r="K18" s="148"/>
      <c r="L18" s="148"/>
      <c r="M18" s="148"/>
      <c r="N18" s="148"/>
      <c r="O18" s="148"/>
      <c r="P18" s="148"/>
      <c r="Q18" s="114"/>
      <c r="S18" s="65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8"/>
    </row>
    <row r="19" spans="2:32" ht="22.9" customHeight="1" x14ac:dyDescent="0.2">
      <c r="B19" s="112"/>
      <c r="C19" s="144"/>
      <c r="D19" s="144"/>
      <c r="E19" s="145"/>
      <c r="F19" s="146"/>
      <c r="G19" s="147"/>
      <c r="H19" s="147"/>
      <c r="I19" s="148"/>
      <c r="J19" s="148"/>
      <c r="K19" s="148"/>
      <c r="L19" s="148"/>
      <c r="M19" s="148"/>
      <c r="N19" s="148"/>
      <c r="O19" s="148"/>
      <c r="P19" s="148"/>
      <c r="Q19" s="114"/>
      <c r="S19" s="65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8"/>
    </row>
    <row r="20" spans="2:32" ht="22.9" customHeight="1" x14ac:dyDescent="0.2">
      <c r="B20" s="112"/>
      <c r="C20" s="144"/>
      <c r="D20" s="144"/>
      <c r="E20" s="145"/>
      <c r="F20" s="146"/>
      <c r="G20" s="147"/>
      <c r="H20" s="147"/>
      <c r="I20" s="148"/>
      <c r="J20" s="148"/>
      <c r="K20" s="148"/>
      <c r="L20" s="148"/>
      <c r="M20" s="148"/>
      <c r="N20" s="148"/>
      <c r="O20" s="148"/>
      <c r="P20" s="148"/>
      <c r="Q20" s="114"/>
      <c r="S20" s="65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8"/>
    </row>
    <row r="21" spans="2:32" ht="22.9" customHeight="1" x14ac:dyDescent="0.2">
      <c r="B21" s="112"/>
      <c r="C21" s="144"/>
      <c r="D21" s="144"/>
      <c r="E21" s="145"/>
      <c r="F21" s="146"/>
      <c r="G21" s="147"/>
      <c r="H21" s="147"/>
      <c r="I21" s="148"/>
      <c r="J21" s="148"/>
      <c r="K21" s="148"/>
      <c r="L21" s="148"/>
      <c r="M21" s="148"/>
      <c r="N21" s="148"/>
      <c r="O21" s="148"/>
      <c r="P21" s="148"/>
      <c r="Q21" s="114"/>
      <c r="S21" s="65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</row>
    <row r="22" spans="2:32" ht="22.9" customHeight="1" x14ac:dyDescent="0.2">
      <c r="B22" s="112"/>
      <c r="C22" s="144"/>
      <c r="D22" s="144"/>
      <c r="E22" s="145"/>
      <c r="F22" s="146"/>
      <c r="G22" s="147"/>
      <c r="H22" s="147"/>
      <c r="I22" s="148"/>
      <c r="J22" s="148"/>
      <c r="K22" s="148"/>
      <c r="L22" s="148"/>
      <c r="M22" s="148"/>
      <c r="N22" s="148"/>
      <c r="O22" s="148"/>
      <c r="P22" s="148"/>
      <c r="Q22" s="114"/>
      <c r="S22" s="65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</row>
    <row r="23" spans="2:32" ht="22.9" customHeight="1" x14ac:dyDescent="0.2">
      <c r="B23" s="112"/>
      <c r="C23" s="144"/>
      <c r="D23" s="144"/>
      <c r="E23" s="145"/>
      <c r="F23" s="146"/>
      <c r="G23" s="147"/>
      <c r="H23" s="147"/>
      <c r="I23" s="148"/>
      <c r="J23" s="148"/>
      <c r="K23" s="148"/>
      <c r="L23" s="148"/>
      <c r="M23" s="148"/>
      <c r="N23" s="148"/>
      <c r="O23" s="148"/>
      <c r="P23" s="148"/>
      <c r="Q23" s="114"/>
      <c r="S23" s="65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8"/>
    </row>
    <row r="24" spans="2:32" ht="22.9" customHeight="1" x14ac:dyDescent="0.2">
      <c r="B24" s="112"/>
      <c r="C24" s="144"/>
      <c r="D24" s="144"/>
      <c r="E24" s="145"/>
      <c r="F24" s="146"/>
      <c r="G24" s="147"/>
      <c r="H24" s="147"/>
      <c r="I24" s="148"/>
      <c r="J24" s="148"/>
      <c r="K24" s="148"/>
      <c r="L24" s="148"/>
      <c r="M24" s="148"/>
      <c r="N24" s="148"/>
      <c r="O24" s="148"/>
      <c r="P24" s="148"/>
      <c r="Q24" s="114"/>
      <c r="S24" s="65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8"/>
    </row>
    <row r="25" spans="2:32" ht="22.9" customHeight="1" x14ac:dyDescent="0.2">
      <c r="B25" s="112"/>
      <c r="C25" s="144"/>
      <c r="D25" s="144"/>
      <c r="E25" s="145"/>
      <c r="F25" s="146"/>
      <c r="G25" s="147"/>
      <c r="H25" s="147"/>
      <c r="I25" s="148"/>
      <c r="J25" s="148"/>
      <c r="K25" s="148"/>
      <c r="L25" s="148"/>
      <c r="M25" s="148"/>
      <c r="N25" s="148"/>
      <c r="O25" s="148"/>
      <c r="P25" s="148"/>
      <c r="Q25" s="114"/>
      <c r="S25" s="65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8"/>
    </row>
    <row r="26" spans="2:32" ht="22.9" customHeight="1" x14ac:dyDescent="0.2">
      <c r="B26" s="112"/>
      <c r="C26" s="144"/>
      <c r="D26" s="144"/>
      <c r="E26" s="145"/>
      <c r="F26" s="146"/>
      <c r="G26" s="147"/>
      <c r="H26" s="147"/>
      <c r="I26" s="148"/>
      <c r="J26" s="148"/>
      <c r="K26" s="148"/>
      <c r="L26" s="148"/>
      <c r="M26" s="148"/>
      <c r="N26" s="148"/>
      <c r="O26" s="148"/>
      <c r="P26" s="148"/>
      <c r="Q26" s="114"/>
      <c r="S26" s="65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8"/>
    </row>
    <row r="27" spans="2:32" ht="22.9" customHeight="1" x14ac:dyDescent="0.2">
      <c r="B27" s="112"/>
      <c r="C27" s="144"/>
      <c r="D27" s="144"/>
      <c r="E27" s="145"/>
      <c r="F27" s="146"/>
      <c r="G27" s="147"/>
      <c r="H27" s="147"/>
      <c r="I27" s="148"/>
      <c r="J27" s="148"/>
      <c r="K27" s="148"/>
      <c r="L27" s="148"/>
      <c r="M27" s="148"/>
      <c r="N27" s="148"/>
      <c r="O27" s="148"/>
      <c r="P27" s="148"/>
      <c r="Q27" s="114"/>
      <c r="S27" s="65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8"/>
    </row>
    <row r="28" spans="2:32" ht="22.9" customHeight="1" x14ac:dyDescent="0.2">
      <c r="B28" s="112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14"/>
      <c r="S28" s="65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8"/>
    </row>
    <row r="29" spans="2:32" ht="22.9" customHeight="1" x14ac:dyDescent="0.25">
      <c r="B29" s="112"/>
      <c r="C29" s="126" t="s">
        <v>153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14"/>
      <c r="S29" s="65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</row>
    <row r="30" spans="2:32" ht="22.9" customHeight="1" x14ac:dyDescent="0.2">
      <c r="B30" s="112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4"/>
      <c r="S30" s="91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3"/>
    </row>
    <row r="31" spans="2:32" ht="22.9" customHeight="1" x14ac:dyDescent="0.2">
      <c r="B31" s="112"/>
      <c r="C31" s="107"/>
      <c r="D31" s="107"/>
      <c r="E31" s="107"/>
      <c r="F31" s="990" t="s">
        <v>135</v>
      </c>
      <c r="G31" s="990"/>
      <c r="H31" s="990"/>
      <c r="I31" s="127">
        <f>ejercicio-2</f>
        <v>2016</v>
      </c>
      <c r="J31" s="128"/>
      <c r="K31" s="107"/>
      <c r="L31" s="990" t="s">
        <v>136</v>
      </c>
      <c r="M31" s="990"/>
      <c r="N31" s="990"/>
      <c r="O31" s="129">
        <f>ejercicio-1</f>
        <v>2017</v>
      </c>
      <c r="P31"/>
      <c r="Q31" s="114"/>
      <c r="S31" s="91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3"/>
    </row>
    <row r="32" spans="2:32" ht="43.9" customHeight="1" x14ac:dyDescent="0.2">
      <c r="B32" s="112"/>
      <c r="C32" s="133" t="s">
        <v>137</v>
      </c>
      <c r="D32" s="133"/>
      <c r="E32" s="134" t="s">
        <v>138</v>
      </c>
      <c r="F32" s="134" t="s">
        <v>139</v>
      </c>
      <c r="G32" s="134" t="s">
        <v>140</v>
      </c>
      <c r="H32" s="135" t="s">
        <v>141</v>
      </c>
      <c r="I32" s="134" t="s">
        <v>142</v>
      </c>
      <c r="J32" s="134" t="s">
        <v>154</v>
      </c>
      <c r="K32" s="134"/>
      <c r="L32" s="134" t="s">
        <v>155</v>
      </c>
      <c r="M32" s="134" t="s">
        <v>145</v>
      </c>
      <c r="N32" s="134" t="s">
        <v>156</v>
      </c>
      <c r="O32" s="134" t="s">
        <v>147</v>
      </c>
      <c r="P32" s="137" t="s">
        <v>148</v>
      </c>
      <c r="Q32" s="114"/>
      <c r="S32" s="65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8"/>
    </row>
    <row r="33" spans="2:32" ht="22.9" customHeight="1" x14ac:dyDescent="0.2">
      <c r="B33" s="112"/>
      <c r="C33" s="139" t="s">
        <v>157</v>
      </c>
      <c r="D33" s="139"/>
      <c r="E33" s="140" t="s">
        <v>158</v>
      </c>
      <c r="F33" s="149">
        <f>109/109</f>
        <v>1</v>
      </c>
      <c r="G33" s="142">
        <v>109</v>
      </c>
      <c r="H33" s="150"/>
      <c r="I33" s="143"/>
      <c r="J33" s="148">
        <v>0</v>
      </c>
      <c r="K33" s="143"/>
      <c r="L33" s="143">
        <v>0</v>
      </c>
      <c r="M33" s="143">
        <v>0</v>
      </c>
      <c r="N33" s="143">
        <v>0</v>
      </c>
      <c r="O33" s="143">
        <v>0</v>
      </c>
      <c r="P33" s="143" t="s">
        <v>159</v>
      </c>
      <c r="Q33" s="114"/>
      <c r="S33" s="65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8"/>
    </row>
    <row r="34" spans="2:32" ht="22.9" customHeight="1" x14ac:dyDescent="0.2">
      <c r="B34" s="112"/>
      <c r="C34" s="144" t="s">
        <v>160</v>
      </c>
      <c r="D34" s="144"/>
      <c r="E34" s="145" t="s">
        <v>161</v>
      </c>
      <c r="F34" s="151">
        <f>15/720</f>
        <v>2.0833333333333332E-2</v>
      </c>
      <c r="G34" s="147">
        <v>15</v>
      </c>
      <c r="H34" s="152"/>
      <c r="I34" s="148"/>
      <c r="J34" s="148">
        <v>0</v>
      </c>
      <c r="K34" s="148"/>
      <c r="L34" s="148">
        <v>0</v>
      </c>
      <c r="M34" s="148">
        <v>0</v>
      </c>
      <c r="N34" s="148">
        <v>0</v>
      </c>
      <c r="O34" s="148">
        <v>0</v>
      </c>
      <c r="P34" s="148" t="s">
        <v>159</v>
      </c>
      <c r="Q34" s="114"/>
      <c r="S34" s="65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8"/>
    </row>
    <row r="35" spans="2:32" ht="22.9" customHeight="1" x14ac:dyDescent="0.2">
      <c r="B35" s="112"/>
      <c r="C35" s="144" t="s">
        <v>162</v>
      </c>
      <c r="D35" s="144"/>
      <c r="E35" s="145" t="s">
        <v>163</v>
      </c>
      <c r="F35" s="151">
        <f>80/400</f>
        <v>0.2</v>
      </c>
      <c r="G35" s="147">
        <v>80</v>
      </c>
      <c r="H35" s="152"/>
      <c r="I35" s="148"/>
      <c r="J35" s="148">
        <v>0</v>
      </c>
      <c r="K35" s="148"/>
      <c r="L35" s="148">
        <v>0</v>
      </c>
      <c r="M35" s="148">
        <v>0</v>
      </c>
      <c r="N35" s="148">
        <v>0</v>
      </c>
      <c r="O35" s="148">
        <v>0</v>
      </c>
      <c r="P35" s="148" t="s">
        <v>159</v>
      </c>
      <c r="Q35" s="114"/>
      <c r="S35" s="65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8"/>
    </row>
    <row r="36" spans="2:32" ht="22.9" customHeight="1" x14ac:dyDescent="0.2">
      <c r="B36" s="112"/>
      <c r="C36" s="144"/>
      <c r="D36" s="144"/>
      <c r="E36" s="145"/>
      <c r="F36" s="151"/>
      <c r="G36" s="147"/>
      <c r="H36" s="152"/>
      <c r="I36" s="148"/>
      <c r="J36" s="148"/>
      <c r="K36" s="148"/>
      <c r="L36" s="148"/>
      <c r="M36" s="148"/>
      <c r="N36" s="148"/>
      <c r="O36" s="148"/>
      <c r="P36" s="148"/>
      <c r="Q36" s="114"/>
      <c r="S36" s="94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6"/>
    </row>
    <row r="37" spans="2:32" ht="22.9" customHeight="1" x14ac:dyDescent="0.2">
      <c r="B37" s="112"/>
      <c r="C37" s="144"/>
      <c r="D37" s="144"/>
      <c r="E37" s="145"/>
      <c r="F37" s="151"/>
      <c r="G37" s="147"/>
      <c r="H37" s="152"/>
      <c r="I37" s="148"/>
      <c r="J37" s="148"/>
      <c r="K37" s="148"/>
      <c r="L37" s="148"/>
      <c r="M37" s="148"/>
      <c r="N37" s="148"/>
      <c r="O37" s="148"/>
      <c r="P37" s="148"/>
      <c r="Q37" s="114"/>
      <c r="S37" s="94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6"/>
    </row>
    <row r="38" spans="2:32" ht="22.9" customHeight="1" x14ac:dyDescent="0.2">
      <c r="B38" s="112"/>
      <c r="C38" s="144"/>
      <c r="D38" s="144"/>
      <c r="E38" s="145"/>
      <c r="F38" s="151"/>
      <c r="G38" s="147"/>
      <c r="H38" s="152"/>
      <c r="I38" s="148"/>
      <c r="J38" s="148"/>
      <c r="K38" s="148"/>
      <c r="L38" s="148"/>
      <c r="M38" s="148"/>
      <c r="N38" s="148"/>
      <c r="O38" s="148"/>
      <c r="P38" s="148"/>
      <c r="Q38" s="114"/>
      <c r="S38" s="94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6"/>
    </row>
    <row r="39" spans="2:32" ht="22.9" customHeight="1" x14ac:dyDescent="0.2">
      <c r="B39" s="112"/>
      <c r="C39" s="144"/>
      <c r="D39" s="144"/>
      <c r="E39" s="145"/>
      <c r="F39" s="151"/>
      <c r="G39" s="147"/>
      <c r="H39" s="152"/>
      <c r="I39" s="148"/>
      <c r="J39" s="148"/>
      <c r="K39" s="148"/>
      <c r="L39" s="148"/>
      <c r="M39" s="148"/>
      <c r="N39" s="148"/>
      <c r="O39" s="148"/>
      <c r="P39" s="148"/>
      <c r="Q39" s="114"/>
      <c r="S39" s="94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6"/>
    </row>
    <row r="40" spans="2:32" ht="22.9" customHeight="1" x14ac:dyDescent="0.2">
      <c r="B40" s="112"/>
      <c r="C40" s="144"/>
      <c r="D40" s="144"/>
      <c r="E40" s="145"/>
      <c r="F40" s="151"/>
      <c r="G40" s="147"/>
      <c r="H40" s="152"/>
      <c r="I40" s="148"/>
      <c r="J40" s="148"/>
      <c r="K40" s="148"/>
      <c r="L40" s="148"/>
      <c r="M40" s="148"/>
      <c r="N40" s="148"/>
      <c r="O40" s="148"/>
      <c r="P40" s="148"/>
      <c r="Q40" s="114"/>
      <c r="S40" s="94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6"/>
    </row>
    <row r="41" spans="2:32" ht="22.9" customHeight="1" x14ac:dyDescent="0.2">
      <c r="B41" s="112"/>
      <c r="C41" s="144"/>
      <c r="D41" s="144"/>
      <c r="E41" s="145"/>
      <c r="F41" s="151"/>
      <c r="G41" s="147"/>
      <c r="H41" s="152"/>
      <c r="I41" s="148"/>
      <c r="J41" s="148"/>
      <c r="K41" s="148"/>
      <c r="L41" s="148"/>
      <c r="M41" s="148"/>
      <c r="N41" s="148"/>
      <c r="O41" s="148"/>
      <c r="P41" s="148"/>
      <c r="Q41" s="114"/>
      <c r="S41" s="94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2:32" ht="22.9" customHeight="1" x14ac:dyDescent="0.2">
      <c r="B42" s="112"/>
      <c r="C42" s="144"/>
      <c r="D42" s="144"/>
      <c r="E42" s="145"/>
      <c r="F42" s="151"/>
      <c r="G42" s="147"/>
      <c r="H42" s="152"/>
      <c r="I42" s="148"/>
      <c r="J42" s="148"/>
      <c r="K42" s="148"/>
      <c r="L42" s="148"/>
      <c r="M42" s="148"/>
      <c r="N42" s="148"/>
      <c r="O42" s="148"/>
      <c r="P42" s="148"/>
      <c r="Q42" s="114"/>
      <c r="S42" s="94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6"/>
    </row>
    <row r="43" spans="2:32" ht="22.9" customHeight="1" x14ac:dyDescent="0.2">
      <c r="B43" s="112"/>
      <c r="C43" s="144"/>
      <c r="D43" s="144"/>
      <c r="E43" s="145"/>
      <c r="F43" s="151"/>
      <c r="G43" s="147"/>
      <c r="H43" s="152"/>
      <c r="I43" s="148"/>
      <c r="J43" s="148"/>
      <c r="K43" s="148"/>
      <c r="L43" s="148"/>
      <c r="M43" s="148"/>
      <c r="N43" s="148"/>
      <c r="O43" s="148"/>
      <c r="P43" s="148"/>
      <c r="Q43" s="114"/>
      <c r="S43" s="94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6"/>
    </row>
    <row r="44" spans="2:32" ht="22.9" customHeight="1" x14ac:dyDescent="0.2">
      <c r="B44" s="112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14"/>
      <c r="S44" s="94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6"/>
    </row>
    <row r="45" spans="2:32" ht="22.9" customHeight="1" x14ac:dyDescent="0.25">
      <c r="B45" s="112"/>
      <c r="C45" s="126" t="s">
        <v>164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13"/>
      <c r="Q45" s="114"/>
      <c r="S45" s="94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6"/>
    </row>
    <row r="46" spans="2:32" ht="22.9" customHeight="1" x14ac:dyDescent="0.25">
      <c r="B46" s="112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4"/>
      <c r="S46" s="94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6"/>
    </row>
    <row r="47" spans="2:32" ht="22.9" customHeight="1" x14ac:dyDescent="0.2">
      <c r="B47" s="112"/>
      <c r="C47" s="985" t="s">
        <v>165</v>
      </c>
      <c r="D47" s="985"/>
      <c r="E47" s="133"/>
      <c r="F47" s="134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14"/>
      <c r="S47" s="94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6"/>
    </row>
    <row r="48" spans="2:32" ht="22.9" customHeight="1" x14ac:dyDescent="0.2">
      <c r="B48" s="112"/>
      <c r="C48" s="986" t="s">
        <v>166</v>
      </c>
      <c r="D48" s="986"/>
      <c r="E48" s="986"/>
      <c r="F48" s="986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14"/>
      <c r="S48" s="94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6"/>
    </row>
    <row r="49" spans="2:32" ht="22.9" customHeight="1" x14ac:dyDescent="0.2">
      <c r="B49" s="112"/>
      <c r="C49" s="154"/>
      <c r="D49" s="154"/>
      <c r="E49" s="154"/>
      <c r="F49" s="154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14"/>
      <c r="S49" s="94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6"/>
    </row>
    <row r="50" spans="2:32" ht="22.9" customHeight="1" x14ac:dyDescent="0.2">
      <c r="B50" s="112"/>
      <c r="C50" s="154"/>
      <c r="D50" s="154"/>
      <c r="E50" s="154"/>
      <c r="F50" s="154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14"/>
      <c r="S50" s="94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6"/>
    </row>
    <row r="51" spans="2:32" ht="22.9" customHeight="1" x14ac:dyDescent="0.2">
      <c r="B51" s="112"/>
      <c r="C51" s="155" t="s">
        <v>167</v>
      </c>
      <c r="D51" s="154"/>
      <c r="E51" s="154"/>
      <c r="F51" s="154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14"/>
      <c r="S51" s="94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6"/>
    </row>
    <row r="52" spans="2:32" ht="22.9" customHeight="1" x14ac:dyDescent="0.2">
      <c r="B52" s="112"/>
      <c r="C52" s="156" t="s">
        <v>168</v>
      </c>
      <c r="D52" s="154"/>
      <c r="E52" s="154"/>
      <c r="F52" s="154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14"/>
      <c r="S52" s="94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6"/>
    </row>
    <row r="53" spans="2:32" ht="22.9" customHeight="1" x14ac:dyDescent="0.2">
      <c r="B53" s="112"/>
      <c r="C53" s="154" t="s">
        <v>169</v>
      </c>
      <c r="D53" s="154"/>
      <c r="E53" s="154"/>
      <c r="F53" s="154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14"/>
      <c r="S53" s="94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2:32" ht="22.9" customHeight="1" x14ac:dyDescent="0.2">
      <c r="B54" s="112"/>
      <c r="C54" s="154" t="s">
        <v>170</v>
      </c>
      <c r="D54" s="154"/>
      <c r="E54" s="154"/>
      <c r="F54" s="154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14"/>
      <c r="S54" s="94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6"/>
    </row>
    <row r="55" spans="2:32" ht="22.9" customHeight="1" x14ac:dyDescent="0.2">
      <c r="B55" s="157"/>
      <c r="C55" s="987"/>
      <c r="D55" s="987"/>
      <c r="E55" s="987"/>
      <c r="F55" s="987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60"/>
      <c r="S55" s="103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5"/>
    </row>
    <row r="56" spans="2:32" ht="22.9" customHeight="1" x14ac:dyDescent="0.2"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2:32" ht="15" x14ac:dyDescent="0.2">
      <c r="C57" s="107" t="s">
        <v>55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/>
      <c r="P57" s="161" t="s">
        <v>171</v>
      </c>
    </row>
    <row r="58" spans="2:32" ht="15" x14ac:dyDescent="0.2">
      <c r="C58" s="162" t="s">
        <v>57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</row>
    <row r="59" spans="2:32" ht="15" x14ac:dyDescent="0.2">
      <c r="C59" s="162" t="s">
        <v>58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</row>
    <row r="60" spans="2:32" ht="15" x14ac:dyDescent="0.2">
      <c r="C60" s="162" t="s">
        <v>59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</row>
    <row r="61" spans="2:32" ht="15" x14ac:dyDescent="0.2">
      <c r="C61" s="162" t="s">
        <v>60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</row>
  </sheetData>
  <sheetProtection password="E059" sheet="1" insertRows="0"/>
  <mergeCells count="9">
    <mergeCell ref="C47:D47"/>
    <mergeCell ref="C48:F48"/>
    <mergeCell ref="C55:F55"/>
    <mergeCell ref="P6:P7"/>
    <mergeCell ref="D9:O9"/>
    <mergeCell ref="F15:H15"/>
    <mergeCell ref="L15:N15"/>
    <mergeCell ref="F31:H31"/>
    <mergeCell ref="L31:N31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6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5"/>
  <sheetViews>
    <sheetView zoomScale="55" zoomScaleNormal="55" workbookViewId="0">
      <selection activeCell="G42" sqref="G42"/>
    </sheetView>
  </sheetViews>
  <sheetFormatPr baseColWidth="10" defaultColWidth="11.44140625" defaultRowHeight="22.9" customHeight="1" x14ac:dyDescent="0.2"/>
  <cols>
    <col min="1" max="2" width="3.21875" style="106" customWidth="1"/>
    <col min="3" max="4" width="15.77734375" style="106" customWidth="1"/>
    <col min="5" max="6" width="16.21875" style="106" customWidth="1"/>
    <col min="7" max="10" width="15.77734375" style="106" customWidth="1"/>
    <col min="11" max="12" width="17.21875" style="106" customWidth="1"/>
    <col min="13" max="13" width="64.5546875" style="106" customWidth="1"/>
    <col min="14" max="14" width="17.5546875" style="106" customWidth="1"/>
    <col min="15" max="15" width="4.21875" style="106" customWidth="1"/>
    <col min="16" max="16384" width="11.44140625" style="106"/>
  </cols>
  <sheetData>
    <row r="1" spans="1:256" ht="22.9" customHeight="1" x14ac:dyDescent="0.2">
      <c r="A1"/>
      <c r="B1"/>
      <c r="C1"/>
      <c r="D1" s="107"/>
      <c r="E1" s="10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108" t="s">
        <v>0</v>
      </c>
      <c r="E2" s="10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108" t="s">
        <v>1</v>
      </c>
      <c r="E3" s="10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  <c r="P5"/>
      <c r="Q5" s="62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112"/>
      <c r="C6" s="113" t="s">
        <v>2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88">
        <f>ejercicio</f>
        <v>2018</v>
      </c>
      <c r="O6" s="114"/>
      <c r="P6"/>
      <c r="Q6" s="65"/>
      <c r="R6" s="66" t="s">
        <v>93</v>
      </c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112"/>
      <c r="C7" s="113" t="s">
        <v>3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988"/>
      <c r="O7" s="114"/>
      <c r="P7"/>
      <c r="Q7" s="65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8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112"/>
      <c r="C8" s="11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17"/>
      <c r="O8" s="114"/>
      <c r="P8"/>
      <c r="Q8" s="65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118"/>
      <c r="C9" s="119" t="s">
        <v>62</v>
      </c>
      <c r="D9" s="989" t="str">
        <f>Entidad</f>
        <v>BALSAS DE TENERIFE (BALTEN), EPEL</v>
      </c>
      <c r="E9" s="989"/>
      <c r="F9" s="989"/>
      <c r="G9" s="989"/>
      <c r="H9" s="989"/>
      <c r="I9" s="989"/>
      <c r="J9" s="989"/>
      <c r="K9" s="989"/>
      <c r="L9" s="989"/>
      <c r="M9" s="989"/>
      <c r="N9" s="120"/>
      <c r="O9" s="121"/>
      <c r="Q9" s="69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</row>
    <row r="10" spans="1:256" ht="7.15" customHeight="1" x14ac:dyDescent="0.2">
      <c r="A10"/>
      <c r="B10" s="112"/>
      <c r="C10" s="107"/>
      <c r="D10" s="107"/>
      <c r="E10" s="107"/>
      <c r="F10" s="107"/>
      <c r="G10" s="107"/>
      <c r="H10" s="107"/>
      <c r="I10" s="107"/>
      <c r="J10" s="115"/>
      <c r="K10" s="107"/>
      <c r="L10" s="107"/>
      <c r="M10" s="107"/>
      <c r="N10" s="107"/>
      <c r="O10" s="114"/>
      <c r="P10"/>
      <c r="Q10" s="65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22" customFormat="1" ht="30" customHeight="1" x14ac:dyDescent="0.25">
      <c r="B11" s="123"/>
      <c r="C11" s="124" t="s">
        <v>172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Q11" s="72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</row>
    <row r="12" spans="1:256" ht="22.9" customHeight="1" x14ac:dyDescent="0.2">
      <c r="B12" s="118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21"/>
      <c r="Q12" s="164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6"/>
    </row>
    <row r="13" spans="1:256" ht="51" customHeight="1" x14ac:dyDescent="0.25">
      <c r="B13" s="118"/>
      <c r="C13" s="167" t="s">
        <v>173</v>
      </c>
      <c r="D13" s="167" t="s">
        <v>174</v>
      </c>
      <c r="E13" s="991" t="s">
        <v>175</v>
      </c>
      <c r="F13" s="991"/>
      <c r="G13" s="167" t="s">
        <v>141</v>
      </c>
      <c r="H13" s="167" t="s">
        <v>176</v>
      </c>
      <c r="I13" s="167" t="s">
        <v>177</v>
      </c>
      <c r="J13" s="167" t="s">
        <v>178</v>
      </c>
      <c r="K13" s="167" t="s">
        <v>179</v>
      </c>
      <c r="L13" s="167" t="s">
        <v>180</v>
      </c>
      <c r="M13" s="991" t="s">
        <v>181</v>
      </c>
      <c r="N13" s="991"/>
      <c r="O13" s="121"/>
      <c r="P13"/>
      <c r="Q13" s="69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25">
      <c r="B14" s="118"/>
      <c r="C14" s="168"/>
      <c r="D14" s="169"/>
      <c r="E14" s="170"/>
      <c r="F14" s="171"/>
      <c r="G14" s="172"/>
      <c r="H14" s="173"/>
      <c r="I14" s="173"/>
      <c r="J14" s="174">
        <f t="shared" ref="J14:J43" si="0">(D14*(H14+I14))</f>
        <v>0</v>
      </c>
      <c r="K14" s="175"/>
      <c r="L14" s="176"/>
      <c r="M14" s="992" t="s">
        <v>182</v>
      </c>
      <c r="N14" s="992"/>
      <c r="O14" s="121"/>
      <c r="P14"/>
      <c r="Q14" s="69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77" customFormat="1" ht="22.9" customHeight="1" x14ac:dyDescent="0.25">
      <c r="B15" s="178"/>
      <c r="C15" s="179"/>
      <c r="D15" s="180"/>
      <c r="E15" s="181"/>
      <c r="F15" s="182"/>
      <c r="G15" s="183"/>
      <c r="H15" s="184"/>
      <c r="I15" s="184"/>
      <c r="J15" s="185">
        <f t="shared" si="0"/>
        <v>0</v>
      </c>
      <c r="K15" s="186"/>
      <c r="L15" s="187"/>
      <c r="M15" s="993"/>
      <c r="N15" s="993"/>
      <c r="O15" s="188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</row>
    <row r="16" spans="1:256" ht="22.9" customHeight="1" x14ac:dyDescent="0.25">
      <c r="B16" s="118"/>
      <c r="C16" s="189"/>
      <c r="D16" s="190"/>
      <c r="E16" s="191"/>
      <c r="F16" s="192"/>
      <c r="G16" s="193"/>
      <c r="H16" s="194"/>
      <c r="I16" s="194"/>
      <c r="J16" s="185">
        <f t="shared" si="0"/>
        <v>0</v>
      </c>
      <c r="K16" s="195"/>
      <c r="L16" s="196"/>
      <c r="M16" s="993"/>
      <c r="N16" s="993"/>
      <c r="O16" s="121"/>
      <c r="Q16" s="69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</row>
    <row r="17" spans="2:30" ht="22.9" customHeight="1" x14ac:dyDescent="0.25">
      <c r="B17" s="118"/>
      <c r="C17" s="189"/>
      <c r="D17" s="190"/>
      <c r="E17" s="191"/>
      <c r="F17" s="192"/>
      <c r="G17" s="193"/>
      <c r="H17" s="194"/>
      <c r="I17" s="194"/>
      <c r="J17" s="185">
        <f t="shared" si="0"/>
        <v>0</v>
      </c>
      <c r="K17" s="195"/>
      <c r="L17" s="196"/>
      <c r="M17" s="993"/>
      <c r="N17" s="993"/>
      <c r="O17" s="121"/>
      <c r="Q17" s="69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/>
    </row>
    <row r="18" spans="2:30" ht="22.9" customHeight="1" x14ac:dyDescent="0.25">
      <c r="B18" s="118"/>
      <c r="C18" s="189"/>
      <c r="D18" s="190"/>
      <c r="E18" s="191"/>
      <c r="F18" s="192"/>
      <c r="G18" s="193"/>
      <c r="H18" s="194"/>
      <c r="I18" s="194"/>
      <c r="J18" s="185">
        <f t="shared" si="0"/>
        <v>0</v>
      </c>
      <c r="K18" s="195"/>
      <c r="L18" s="196"/>
      <c r="M18" s="993"/>
      <c r="N18" s="993"/>
      <c r="O18" s="121"/>
      <c r="Q18" s="69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/>
    </row>
    <row r="19" spans="2:30" ht="22.9" customHeight="1" x14ac:dyDescent="0.25">
      <c r="B19" s="118"/>
      <c r="C19" s="189"/>
      <c r="D19" s="190"/>
      <c r="E19" s="191"/>
      <c r="F19" s="192"/>
      <c r="G19" s="193"/>
      <c r="H19" s="194"/>
      <c r="I19" s="194"/>
      <c r="J19" s="185">
        <f t="shared" si="0"/>
        <v>0</v>
      </c>
      <c r="K19" s="195"/>
      <c r="L19" s="196"/>
      <c r="M19" s="993"/>
      <c r="N19" s="993"/>
      <c r="O19" s="121"/>
      <c r="Q19" s="69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</row>
    <row r="20" spans="2:30" ht="22.9" customHeight="1" x14ac:dyDescent="0.25">
      <c r="B20" s="118"/>
      <c r="C20" s="189"/>
      <c r="D20" s="190"/>
      <c r="E20" s="191"/>
      <c r="F20" s="192"/>
      <c r="G20" s="193"/>
      <c r="H20" s="194"/>
      <c r="I20" s="194"/>
      <c r="J20" s="185">
        <f t="shared" si="0"/>
        <v>0</v>
      </c>
      <c r="K20" s="195"/>
      <c r="L20" s="196"/>
      <c r="M20" s="993"/>
      <c r="N20" s="993"/>
      <c r="O20" s="121"/>
      <c r="Q20" s="69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</row>
    <row r="21" spans="2:30" ht="22.9" customHeight="1" x14ac:dyDescent="0.25">
      <c r="B21" s="118"/>
      <c r="C21" s="189"/>
      <c r="D21" s="190"/>
      <c r="E21" s="191"/>
      <c r="F21" s="192"/>
      <c r="G21" s="193"/>
      <c r="H21" s="194"/>
      <c r="I21" s="194"/>
      <c r="J21" s="185">
        <f t="shared" si="0"/>
        <v>0</v>
      </c>
      <c r="K21" s="195"/>
      <c r="L21" s="196"/>
      <c r="M21" s="993"/>
      <c r="N21" s="993"/>
      <c r="O21" s="121"/>
      <c r="Q21" s="69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</row>
    <row r="22" spans="2:30" ht="22.9" customHeight="1" x14ac:dyDescent="0.25">
      <c r="B22" s="118"/>
      <c r="C22" s="189"/>
      <c r="D22" s="190"/>
      <c r="E22" s="191"/>
      <c r="F22" s="192"/>
      <c r="G22" s="193"/>
      <c r="H22" s="194"/>
      <c r="I22" s="194"/>
      <c r="J22" s="185">
        <f t="shared" si="0"/>
        <v>0</v>
      </c>
      <c r="K22" s="195"/>
      <c r="L22" s="196"/>
      <c r="M22" s="993"/>
      <c r="N22" s="993"/>
      <c r="O22" s="121"/>
      <c r="Q22" s="69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/>
    </row>
    <row r="23" spans="2:30" ht="22.9" customHeight="1" x14ac:dyDescent="0.25">
      <c r="B23" s="118"/>
      <c r="C23" s="189"/>
      <c r="D23" s="190"/>
      <c r="E23" s="191"/>
      <c r="F23" s="192"/>
      <c r="G23" s="193"/>
      <c r="H23" s="197"/>
      <c r="I23" s="197"/>
      <c r="J23" s="185">
        <f t="shared" si="0"/>
        <v>0</v>
      </c>
      <c r="K23" s="198"/>
      <c r="L23" s="199"/>
      <c r="M23" s="993"/>
      <c r="N23" s="993"/>
      <c r="O23" s="121"/>
      <c r="Q23" s="69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</row>
    <row r="24" spans="2:30" ht="22.9" customHeight="1" x14ac:dyDescent="0.25">
      <c r="B24" s="118"/>
      <c r="C24" s="189"/>
      <c r="D24" s="190"/>
      <c r="E24" s="191"/>
      <c r="F24" s="192"/>
      <c r="G24" s="193"/>
      <c r="H24" s="197"/>
      <c r="I24" s="197"/>
      <c r="J24" s="185">
        <f t="shared" si="0"/>
        <v>0</v>
      </c>
      <c r="K24" s="198"/>
      <c r="L24" s="199"/>
      <c r="M24" s="200"/>
      <c r="N24" s="201"/>
      <c r="O24" s="121"/>
      <c r="Q24" s="69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</row>
    <row r="25" spans="2:30" ht="22.9" customHeight="1" x14ac:dyDescent="0.25">
      <c r="B25" s="118"/>
      <c r="C25" s="189"/>
      <c r="D25" s="190"/>
      <c r="E25" s="191"/>
      <c r="F25" s="192"/>
      <c r="G25" s="193"/>
      <c r="H25" s="197"/>
      <c r="I25" s="197"/>
      <c r="J25" s="185">
        <f t="shared" si="0"/>
        <v>0</v>
      </c>
      <c r="K25" s="198"/>
      <c r="L25" s="199"/>
      <c r="M25" s="200"/>
      <c r="N25" s="201"/>
      <c r="O25" s="121"/>
      <c r="Q25" s="69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/>
    </row>
    <row r="26" spans="2:30" ht="22.9" customHeight="1" x14ac:dyDescent="0.25">
      <c r="B26" s="118"/>
      <c r="C26" s="189"/>
      <c r="D26" s="190"/>
      <c r="E26" s="191"/>
      <c r="F26" s="192"/>
      <c r="G26" s="193"/>
      <c r="H26" s="197"/>
      <c r="I26" s="197"/>
      <c r="J26" s="185">
        <f t="shared" si="0"/>
        <v>0</v>
      </c>
      <c r="K26" s="198"/>
      <c r="L26" s="199"/>
      <c r="M26" s="200"/>
      <c r="N26" s="201"/>
      <c r="O26" s="121"/>
      <c r="Q26" s="69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</row>
    <row r="27" spans="2:30" ht="22.9" customHeight="1" x14ac:dyDescent="0.25">
      <c r="B27" s="118"/>
      <c r="C27" s="189"/>
      <c r="D27" s="190"/>
      <c r="E27" s="191"/>
      <c r="F27" s="192"/>
      <c r="G27" s="193"/>
      <c r="H27" s="197"/>
      <c r="I27" s="197"/>
      <c r="J27" s="185">
        <f t="shared" si="0"/>
        <v>0</v>
      </c>
      <c r="K27" s="198"/>
      <c r="L27" s="199"/>
      <c r="M27" s="200"/>
      <c r="N27" s="201"/>
      <c r="O27" s="121"/>
      <c r="Q27" s="69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</row>
    <row r="28" spans="2:30" ht="22.9" customHeight="1" x14ac:dyDescent="0.25">
      <c r="B28" s="118"/>
      <c r="C28" s="189"/>
      <c r="D28" s="190"/>
      <c r="E28" s="191"/>
      <c r="F28" s="192"/>
      <c r="G28" s="193"/>
      <c r="H28" s="197"/>
      <c r="I28" s="197"/>
      <c r="J28" s="185">
        <f t="shared" si="0"/>
        <v>0</v>
      </c>
      <c r="K28" s="198"/>
      <c r="L28" s="199"/>
      <c r="M28" s="200"/>
      <c r="N28" s="201"/>
      <c r="O28" s="121"/>
      <c r="Q28" s="69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1"/>
    </row>
    <row r="29" spans="2:30" ht="22.9" customHeight="1" x14ac:dyDescent="0.25">
      <c r="B29" s="118"/>
      <c r="C29" s="189"/>
      <c r="D29" s="190"/>
      <c r="E29" s="191"/>
      <c r="F29" s="192"/>
      <c r="G29" s="193"/>
      <c r="H29" s="197"/>
      <c r="I29" s="197"/>
      <c r="J29" s="185">
        <f t="shared" si="0"/>
        <v>0</v>
      </c>
      <c r="K29" s="198"/>
      <c r="L29" s="199"/>
      <c r="M29" s="200"/>
      <c r="N29" s="201"/>
      <c r="O29" s="121"/>
      <c r="Q29" s="69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1"/>
    </row>
    <row r="30" spans="2:30" ht="22.9" customHeight="1" x14ac:dyDescent="0.25">
      <c r="B30" s="118"/>
      <c r="C30" s="189"/>
      <c r="D30" s="190"/>
      <c r="E30" s="191"/>
      <c r="F30" s="192"/>
      <c r="G30" s="193"/>
      <c r="H30" s="197"/>
      <c r="I30" s="197"/>
      <c r="J30" s="185">
        <f t="shared" si="0"/>
        <v>0</v>
      </c>
      <c r="K30" s="198"/>
      <c r="L30" s="199"/>
      <c r="M30" s="200"/>
      <c r="N30" s="201"/>
      <c r="O30" s="12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1"/>
    </row>
    <row r="31" spans="2:30" ht="22.9" customHeight="1" x14ac:dyDescent="0.25">
      <c r="B31" s="118"/>
      <c r="C31" s="189"/>
      <c r="D31" s="190"/>
      <c r="E31" s="191"/>
      <c r="F31" s="192"/>
      <c r="G31" s="193"/>
      <c r="H31" s="197"/>
      <c r="I31" s="197"/>
      <c r="J31" s="185">
        <f t="shared" si="0"/>
        <v>0</v>
      </c>
      <c r="K31" s="198"/>
      <c r="L31" s="199"/>
      <c r="M31" s="200"/>
      <c r="N31" s="201"/>
      <c r="O31" s="121"/>
      <c r="Q31" s="69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1"/>
    </row>
    <row r="32" spans="2:30" ht="22.9" customHeight="1" x14ac:dyDescent="0.25">
      <c r="B32" s="118"/>
      <c r="C32" s="189"/>
      <c r="D32" s="190"/>
      <c r="E32" s="191"/>
      <c r="F32" s="192"/>
      <c r="G32" s="193"/>
      <c r="H32" s="197"/>
      <c r="I32" s="197"/>
      <c r="J32" s="185">
        <f t="shared" si="0"/>
        <v>0</v>
      </c>
      <c r="K32" s="198"/>
      <c r="L32" s="199"/>
      <c r="M32" s="200"/>
      <c r="N32" s="201"/>
      <c r="O32" s="121"/>
      <c r="Q32" s="69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1"/>
    </row>
    <row r="33" spans="2:30" ht="22.9" customHeight="1" x14ac:dyDescent="0.25">
      <c r="B33" s="118"/>
      <c r="C33" s="189"/>
      <c r="D33" s="190"/>
      <c r="E33" s="191"/>
      <c r="F33" s="192"/>
      <c r="G33" s="193"/>
      <c r="H33" s="197"/>
      <c r="I33" s="197"/>
      <c r="J33" s="185">
        <f t="shared" si="0"/>
        <v>0</v>
      </c>
      <c r="K33" s="198"/>
      <c r="L33" s="199"/>
      <c r="M33" s="993"/>
      <c r="N33" s="993"/>
      <c r="O33" s="121"/>
      <c r="Q33" s="69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</row>
    <row r="34" spans="2:30" ht="22.9" customHeight="1" x14ac:dyDescent="0.25">
      <c r="B34" s="118"/>
      <c r="C34" s="189"/>
      <c r="D34" s="190"/>
      <c r="E34" s="191"/>
      <c r="F34" s="192"/>
      <c r="G34" s="193"/>
      <c r="H34" s="197"/>
      <c r="I34" s="197"/>
      <c r="J34" s="185">
        <f t="shared" si="0"/>
        <v>0</v>
      </c>
      <c r="K34" s="198"/>
      <c r="L34" s="199"/>
      <c r="M34" s="993"/>
      <c r="N34" s="993"/>
      <c r="O34" s="121"/>
      <c r="Q34" s="69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</row>
    <row r="35" spans="2:30" ht="22.9" customHeight="1" x14ac:dyDescent="0.25">
      <c r="B35" s="118"/>
      <c r="C35" s="189"/>
      <c r="D35" s="190"/>
      <c r="E35" s="191"/>
      <c r="F35" s="192"/>
      <c r="G35" s="193"/>
      <c r="H35" s="197"/>
      <c r="I35" s="197"/>
      <c r="J35" s="185">
        <f t="shared" si="0"/>
        <v>0</v>
      </c>
      <c r="K35" s="198"/>
      <c r="L35" s="199"/>
      <c r="M35" s="993"/>
      <c r="N35" s="993"/>
      <c r="O35" s="121"/>
      <c r="Q35" s="69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1"/>
    </row>
    <row r="36" spans="2:30" ht="22.9" customHeight="1" x14ac:dyDescent="0.25">
      <c r="B36" s="118"/>
      <c r="C36" s="189"/>
      <c r="D36" s="190"/>
      <c r="E36" s="191"/>
      <c r="F36" s="192"/>
      <c r="G36" s="193"/>
      <c r="H36" s="197"/>
      <c r="I36" s="197"/>
      <c r="J36" s="185">
        <f t="shared" si="0"/>
        <v>0</v>
      </c>
      <c r="K36" s="198"/>
      <c r="L36" s="199"/>
      <c r="M36" s="993"/>
      <c r="N36" s="993"/>
      <c r="O36" s="121"/>
      <c r="Q36" s="69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1"/>
    </row>
    <row r="37" spans="2:30" ht="22.9" customHeight="1" x14ac:dyDescent="0.25">
      <c r="B37" s="118"/>
      <c r="C37" s="189"/>
      <c r="D37" s="190"/>
      <c r="E37" s="191"/>
      <c r="F37" s="192"/>
      <c r="G37" s="193"/>
      <c r="H37" s="197"/>
      <c r="I37" s="197"/>
      <c r="J37" s="185">
        <f t="shared" si="0"/>
        <v>0</v>
      </c>
      <c r="K37" s="198"/>
      <c r="L37" s="199"/>
      <c r="M37" s="993"/>
      <c r="N37" s="993"/>
      <c r="O37" s="121"/>
      <c r="Q37" s="69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1"/>
    </row>
    <row r="38" spans="2:30" ht="22.9" customHeight="1" x14ac:dyDescent="0.25">
      <c r="B38" s="118"/>
      <c r="C38" s="189"/>
      <c r="D38" s="190"/>
      <c r="E38" s="191"/>
      <c r="F38" s="192"/>
      <c r="G38" s="193"/>
      <c r="H38" s="197"/>
      <c r="I38" s="197"/>
      <c r="J38" s="185">
        <f t="shared" si="0"/>
        <v>0</v>
      </c>
      <c r="K38" s="198"/>
      <c r="L38" s="199"/>
      <c r="M38" s="993"/>
      <c r="N38" s="993"/>
      <c r="O38" s="121"/>
      <c r="Q38" s="202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203"/>
    </row>
    <row r="39" spans="2:30" ht="22.9" customHeight="1" x14ac:dyDescent="0.25">
      <c r="B39" s="118"/>
      <c r="C39" s="189"/>
      <c r="D39" s="190"/>
      <c r="E39" s="191"/>
      <c r="F39" s="192"/>
      <c r="G39" s="193"/>
      <c r="H39" s="197"/>
      <c r="I39" s="197"/>
      <c r="J39" s="185">
        <f t="shared" si="0"/>
        <v>0</v>
      </c>
      <c r="K39" s="198"/>
      <c r="L39" s="199"/>
      <c r="M39" s="993"/>
      <c r="N39" s="993"/>
      <c r="O39" s="121"/>
      <c r="Q39" s="202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203"/>
    </row>
    <row r="40" spans="2:30" ht="22.9" customHeight="1" x14ac:dyDescent="0.25">
      <c r="B40" s="118"/>
      <c r="C40" s="189"/>
      <c r="D40" s="190"/>
      <c r="E40" s="191"/>
      <c r="F40" s="192"/>
      <c r="G40" s="193"/>
      <c r="H40" s="197"/>
      <c r="I40" s="197"/>
      <c r="J40" s="185">
        <f t="shared" si="0"/>
        <v>0</v>
      </c>
      <c r="K40" s="198"/>
      <c r="L40" s="199"/>
      <c r="M40" s="993"/>
      <c r="N40" s="993"/>
      <c r="O40" s="121"/>
      <c r="Q40" s="69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1"/>
    </row>
    <row r="41" spans="2:30" ht="22.9" customHeight="1" x14ac:dyDescent="0.25">
      <c r="B41" s="118"/>
      <c r="C41" s="189"/>
      <c r="D41" s="190"/>
      <c r="E41" s="191"/>
      <c r="F41" s="192"/>
      <c r="G41" s="193"/>
      <c r="H41" s="197"/>
      <c r="I41" s="197"/>
      <c r="J41" s="185">
        <f t="shared" si="0"/>
        <v>0</v>
      </c>
      <c r="K41" s="198"/>
      <c r="L41" s="199"/>
      <c r="M41" s="993"/>
      <c r="N41" s="993"/>
      <c r="O41" s="121"/>
      <c r="Q41" s="69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1"/>
    </row>
    <row r="42" spans="2:30" ht="22.9" customHeight="1" x14ac:dyDescent="0.25">
      <c r="B42" s="118"/>
      <c r="C42" s="189"/>
      <c r="D42" s="190"/>
      <c r="E42" s="191"/>
      <c r="F42" s="192"/>
      <c r="G42" s="193"/>
      <c r="H42" s="197"/>
      <c r="I42" s="197"/>
      <c r="J42" s="185">
        <f t="shared" si="0"/>
        <v>0</v>
      </c>
      <c r="K42" s="198"/>
      <c r="L42" s="199"/>
      <c r="M42" s="993"/>
      <c r="N42" s="993"/>
      <c r="O42" s="121"/>
      <c r="Q42" s="69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1"/>
    </row>
    <row r="43" spans="2:30" ht="22.9" customHeight="1" x14ac:dyDescent="0.25">
      <c r="B43" s="118"/>
      <c r="C43" s="204"/>
      <c r="D43" s="205"/>
      <c r="E43" s="205"/>
      <c r="F43" s="206"/>
      <c r="G43" s="207"/>
      <c r="H43" s="208"/>
      <c r="I43" s="208"/>
      <c r="J43" s="209">
        <f t="shared" si="0"/>
        <v>0</v>
      </c>
      <c r="K43" s="210"/>
      <c r="L43" s="211"/>
      <c r="M43" s="994"/>
      <c r="N43" s="994"/>
      <c r="O43" s="121"/>
      <c r="Q43" s="212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4"/>
    </row>
    <row r="44" spans="2:30" ht="22.9" customHeight="1" x14ac:dyDescent="0.3">
      <c r="B44" s="118"/>
      <c r="C44" s="215" t="s">
        <v>183</v>
      </c>
      <c r="D44" s="216">
        <f>SUM(D14:D43)</f>
        <v>0</v>
      </c>
      <c r="E44" s="217"/>
      <c r="F44" s="218"/>
      <c r="G44" s="219"/>
      <c r="H44" s="220"/>
      <c r="I44" s="220"/>
      <c r="J44" s="221">
        <f>SUM(J14:J43)</f>
        <v>0</v>
      </c>
      <c r="K44" s="220"/>
      <c r="L44" s="222">
        <f>K44*D44</f>
        <v>0</v>
      </c>
      <c r="M44" s="163"/>
      <c r="N44" s="163"/>
      <c r="O44" s="121"/>
      <c r="Q44" s="212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4"/>
    </row>
    <row r="45" spans="2:30" ht="22.9" customHeight="1" x14ac:dyDescent="0.2">
      <c r="B45" s="118"/>
      <c r="C45" s="223"/>
      <c r="D45" s="223"/>
      <c r="E45" s="223"/>
      <c r="F45" s="223"/>
      <c r="G45" s="223"/>
      <c r="H45" s="163"/>
      <c r="I45" s="163"/>
      <c r="J45" s="163"/>
      <c r="K45" s="163"/>
      <c r="L45" s="163"/>
      <c r="M45" s="163"/>
      <c r="N45" s="163"/>
      <c r="O45" s="121"/>
      <c r="Q45" s="212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4"/>
    </row>
    <row r="46" spans="2:30" ht="22.9" customHeight="1" x14ac:dyDescent="0.2">
      <c r="B46" s="112"/>
      <c r="C46" s="155" t="s">
        <v>167</v>
      </c>
      <c r="D46" s="154"/>
      <c r="E46" s="154"/>
      <c r="F46" s="154"/>
      <c r="G46" s="154"/>
      <c r="H46" s="107"/>
      <c r="I46" s="107"/>
      <c r="J46" s="107"/>
      <c r="K46" s="107"/>
      <c r="L46" s="107"/>
      <c r="M46" s="107"/>
      <c r="N46" s="107"/>
      <c r="O46" s="114"/>
      <c r="Q46" s="94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6"/>
    </row>
    <row r="47" spans="2:30" ht="22.9" customHeight="1" x14ac:dyDescent="0.2">
      <c r="B47" s="112"/>
      <c r="C47" s="154" t="s">
        <v>184</v>
      </c>
      <c r="D47" s="154"/>
      <c r="E47" s="154"/>
      <c r="F47" s="154"/>
      <c r="G47" s="154"/>
      <c r="H47" s="107"/>
      <c r="I47" s="107"/>
      <c r="J47" s="107"/>
      <c r="K47" s="107"/>
      <c r="L47" s="107"/>
      <c r="M47" s="107"/>
      <c r="N47" s="107"/>
      <c r="O47" s="114"/>
      <c r="Q47" s="94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6"/>
    </row>
    <row r="48" spans="2:30" ht="22.9" customHeight="1" x14ac:dyDescent="0.2">
      <c r="B48" s="112"/>
      <c r="C48" s="154" t="s">
        <v>185</v>
      </c>
      <c r="D48" s="154"/>
      <c r="E48" s="154"/>
      <c r="F48" s="154"/>
      <c r="G48" s="154"/>
      <c r="H48" s="107"/>
      <c r="I48" s="107"/>
      <c r="J48" s="154">
        <f>ejercicio-2</f>
        <v>2016</v>
      </c>
      <c r="K48" s="107" t="s">
        <v>186</v>
      </c>
      <c r="L48" s="107"/>
      <c r="M48" s="107"/>
      <c r="N48" s="107"/>
      <c r="O48" s="114"/>
      <c r="Q48" s="94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6"/>
    </row>
    <row r="49" spans="2:30" ht="22.9" customHeight="1" x14ac:dyDescent="0.2">
      <c r="B49" s="157"/>
      <c r="C49" s="987"/>
      <c r="D49" s="987"/>
      <c r="E49" s="987"/>
      <c r="F49" s="987"/>
      <c r="G49" s="987"/>
      <c r="H49" s="159"/>
      <c r="I49" s="159"/>
      <c r="J49" s="159"/>
      <c r="K49" s="159"/>
      <c r="L49" s="159"/>
      <c r="M49" s="159"/>
      <c r="N49" s="159"/>
      <c r="O49" s="160"/>
      <c r="Q49" s="103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5"/>
    </row>
    <row r="50" spans="2:30" ht="22.9" customHeight="1" x14ac:dyDescent="0.2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2:30" ht="15" x14ac:dyDescent="0.2">
      <c r="C51" s="107" t="s">
        <v>55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61" t="s">
        <v>187</v>
      </c>
    </row>
    <row r="52" spans="2:30" ht="15" x14ac:dyDescent="0.2">
      <c r="C52" s="162" t="s">
        <v>57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2:30" ht="15" x14ac:dyDescent="0.2">
      <c r="C53" s="162" t="s">
        <v>58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2:30" ht="15" x14ac:dyDescent="0.2">
      <c r="C54" s="162" t="s">
        <v>59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2:30" ht="15" x14ac:dyDescent="0.2">
      <c r="C55" s="162" t="s">
        <v>60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</sheetData>
  <sheetProtection password="E059" sheet="1"/>
  <mergeCells count="26">
    <mergeCell ref="M34:N34"/>
    <mergeCell ref="M35:N35"/>
    <mergeCell ref="M36:N36"/>
    <mergeCell ref="M43:N43"/>
    <mergeCell ref="C49:G49"/>
    <mergeCell ref="M37:N37"/>
    <mergeCell ref="M38:N38"/>
    <mergeCell ref="M39:N39"/>
    <mergeCell ref="M40:N40"/>
    <mergeCell ref="M41:N41"/>
    <mergeCell ref="M42:N42"/>
    <mergeCell ref="M20:N20"/>
    <mergeCell ref="M21:N21"/>
    <mergeCell ref="M22:N22"/>
    <mergeCell ref="M23:N23"/>
    <mergeCell ref="M33:N33"/>
    <mergeCell ref="M15:N15"/>
    <mergeCell ref="M16:N16"/>
    <mergeCell ref="M17:N17"/>
    <mergeCell ref="M18:N18"/>
    <mergeCell ref="M19:N19"/>
    <mergeCell ref="N6:N7"/>
    <mergeCell ref="D9:M9"/>
    <mergeCell ref="E13:F13"/>
    <mergeCell ref="M13:N13"/>
    <mergeCell ref="M14:N14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2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2"/>
  <sheetViews>
    <sheetView zoomScale="60" zoomScaleNormal="60" workbookViewId="0">
      <selection activeCell="D40" sqref="D40"/>
    </sheetView>
  </sheetViews>
  <sheetFormatPr baseColWidth="10" defaultColWidth="11.44140625" defaultRowHeight="22.9" customHeight="1" x14ac:dyDescent="0.2"/>
  <cols>
    <col min="1" max="2" width="3.21875" style="2" customWidth="1"/>
    <col min="3" max="3" width="14.21875" style="2" customWidth="1"/>
    <col min="4" max="4" width="81.5546875" style="2" customWidth="1"/>
    <col min="5" max="7" width="19.21875" style="2" customWidth="1"/>
    <col min="8" max="8" width="3.21875" style="2" customWidth="1"/>
    <col min="9" max="16384" width="11.44140625" style="2"/>
  </cols>
  <sheetData>
    <row r="1" spans="1:256" ht="22.9" customHeight="1" x14ac:dyDescent="0.2">
      <c r="A1"/>
      <c r="B1"/>
      <c r="C1"/>
      <c r="D1" s="2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5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5" t="s">
        <v>1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224"/>
      <c r="C5" s="225"/>
      <c r="D5" s="225"/>
      <c r="E5" s="225"/>
      <c r="F5" s="225"/>
      <c r="G5" s="225"/>
      <c r="H5" s="226"/>
      <c r="I5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227"/>
      <c r="C6" s="10" t="s">
        <v>2</v>
      </c>
      <c r="D6" s="27"/>
      <c r="E6" s="27"/>
      <c r="F6" s="27"/>
      <c r="G6" s="981">
        <f>ejercicio</f>
        <v>2018</v>
      </c>
      <c r="H6" s="228"/>
      <c r="I6"/>
      <c r="J6" s="65"/>
      <c r="K6" s="66" t="s">
        <v>93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8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227"/>
      <c r="C7" s="10" t="s">
        <v>3</v>
      </c>
      <c r="D7" s="27"/>
      <c r="E7" s="27"/>
      <c r="F7" s="27"/>
      <c r="G7" s="981"/>
      <c r="H7" s="228"/>
      <c r="I7"/>
      <c r="J7" s="65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227"/>
      <c r="C8" s="229"/>
      <c r="D8" s="27"/>
      <c r="E8" s="27"/>
      <c r="F8" s="27"/>
      <c r="G8" s="230"/>
      <c r="H8" s="228"/>
      <c r="I8"/>
      <c r="J8" s="65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9"/>
      <c r="C9" s="34" t="s">
        <v>62</v>
      </c>
      <c r="D9" s="995" t="str">
        <f>Entidad</f>
        <v>BALSAS DE TENERIFE (BALTEN), EPEL</v>
      </c>
      <c r="E9" s="995"/>
      <c r="F9" s="995"/>
      <c r="G9" s="995"/>
      <c r="H9" s="11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</row>
    <row r="10" spans="1:256" ht="7.15" customHeight="1" x14ac:dyDescent="0.2">
      <c r="A10"/>
      <c r="B10" s="227"/>
      <c r="C10" s="27"/>
      <c r="D10" s="27"/>
      <c r="E10" s="27"/>
      <c r="F10" s="27"/>
      <c r="G10" s="27"/>
      <c r="H10" s="228"/>
      <c r="I10"/>
      <c r="J10" s="65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31" customFormat="1" ht="30" customHeight="1" x14ac:dyDescent="0.25">
      <c r="B11" s="36"/>
      <c r="C11" s="13" t="s">
        <v>188</v>
      </c>
      <c r="D11" s="13"/>
      <c r="E11" s="13"/>
      <c r="F11" s="13"/>
      <c r="G11" s="13"/>
      <c r="H11" s="232"/>
      <c r="J11" s="72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4"/>
    </row>
    <row r="12" spans="1:256" ht="30" customHeight="1" x14ac:dyDescent="0.25">
      <c r="A12" s="231"/>
      <c r="B12" s="36"/>
      <c r="C12" s="233"/>
      <c r="D12" s="233"/>
      <c r="E12" s="233"/>
      <c r="F12" s="233"/>
      <c r="G12" s="233"/>
      <c r="H12" s="232"/>
      <c r="I12"/>
      <c r="J12" s="72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4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227"/>
      <c r="C13" s="234"/>
      <c r="D13" s="235"/>
      <c r="E13" s="236" t="s">
        <v>189</v>
      </c>
      <c r="F13" s="237" t="s">
        <v>190</v>
      </c>
      <c r="G13" s="238" t="s">
        <v>191</v>
      </c>
      <c r="H13" s="228"/>
      <c r="I13"/>
      <c r="J13" s="6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8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35">
      <c r="A14"/>
      <c r="B14" s="227"/>
      <c r="C14" s="239"/>
      <c r="D14" s="240"/>
      <c r="E14" s="241">
        <f>ejercicio-2</f>
        <v>2016</v>
      </c>
      <c r="F14" s="242">
        <f>ejercicio-1</f>
        <v>2017</v>
      </c>
      <c r="G14" s="243">
        <f>ejercicio</f>
        <v>2018</v>
      </c>
      <c r="H14" s="228"/>
      <c r="I14"/>
      <c r="J14" s="65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5">
      <c r="A15"/>
      <c r="B15" s="227"/>
      <c r="C15" s="244" t="s">
        <v>192</v>
      </c>
      <c r="D15" s="245" t="s">
        <v>193</v>
      </c>
      <c r="E15" s="246"/>
      <c r="F15" s="246"/>
      <c r="G15" s="246"/>
      <c r="H15" s="228"/>
      <c r="I15"/>
      <c r="J15" s="65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5">
      <c r="A16"/>
      <c r="B16" s="227"/>
      <c r="C16" s="247" t="s">
        <v>194</v>
      </c>
      <c r="D16" s="248" t="s">
        <v>195</v>
      </c>
      <c r="E16" s="249">
        <f>SUM(E17:E19)</f>
        <v>7714592.1900000004</v>
      </c>
      <c r="F16" s="249">
        <f>SUM(F17:F19)</f>
        <v>8809464.1400000006</v>
      </c>
      <c r="G16" s="249">
        <f>SUM(G17:G19)</f>
        <v>9798840.0800000001</v>
      </c>
      <c r="H16" s="228"/>
      <c r="I16"/>
      <c r="J16" s="65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">
      <c r="A17"/>
      <c r="B17" s="227"/>
      <c r="C17" s="250" t="s">
        <v>196</v>
      </c>
      <c r="D17" s="251" t="s">
        <v>197</v>
      </c>
      <c r="E17" s="252">
        <v>7265383.9500000002</v>
      </c>
      <c r="F17" s="252">
        <v>8414254.5800000001</v>
      </c>
      <c r="G17" s="252">
        <v>9402406.1600000001</v>
      </c>
      <c r="H17" s="228"/>
      <c r="I17"/>
      <c r="J17" s="65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8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227"/>
      <c r="C18" s="253" t="s">
        <v>198</v>
      </c>
      <c r="D18" s="254" t="s">
        <v>199</v>
      </c>
      <c r="E18" s="255">
        <v>449208.24</v>
      </c>
      <c r="F18" s="255">
        <v>395209.56</v>
      </c>
      <c r="G18" s="255">
        <v>396433.91999999998</v>
      </c>
      <c r="H18" s="228"/>
      <c r="I18"/>
      <c r="J18" s="65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227"/>
      <c r="C19" s="253" t="s">
        <v>200</v>
      </c>
      <c r="D19" s="254" t="s">
        <v>201</v>
      </c>
      <c r="E19" s="255"/>
      <c r="F19" s="255"/>
      <c r="G19" s="255"/>
      <c r="H19" s="228"/>
      <c r="I19"/>
      <c r="J19" s="65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5">
      <c r="A20"/>
      <c r="B20" s="227"/>
      <c r="C20" s="247" t="s">
        <v>202</v>
      </c>
      <c r="D20" s="248" t="s">
        <v>203</v>
      </c>
      <c r="E20" s="256">
        <v>-67888.490000000005</v>
      </c>
      <c r="F20" s="256">
        <v>0</v>
      </c>
      <c r="G20" s="256">
        <v>0</v>
      </c>
      <c r="H20" s="228"/>
      <c r="I20"/>
      <c r="J20" s="65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5">
      <c r="A21"/>
      <c r="B21" s="227"/>
      <c r="C21" s="247" t="s">
        <v>204</v>
      </c>
      <c r="D21" s="248" t="s">
        <v>205</v>
      </c>
      <c r="E21" s="256"/>
      <c r="F21" s="256"/>
      <c r="G21" s="256"/>
      <c r="H21" s="228"/>
      <c r="I21"/>
      <c r="J21" s="65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8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5">
      <c r="A22"/>
      <c r="B22" s="227"/>
      <c r="C22" s="247" t="s">
        <v>206</v>
      </c>
      <c r="D22" s="248" t="s">
        <v>207</v>
      </c>
      <c r="E22" s="249">
        <f>SUM(E23:E26)</f>
        <v>-3522055.8899999997</v>
      </c>
      <c r="F22" s="249">
        <f>SUM(F23:F26)</f>
        <v>-5230140.74</v>
      </c>
      <c r="G22" s="249">
        <f>SUM(G23:G26)</f>
        <v>-6028930.2000000002</v>
      </c>
      <c r="H22" s="228"/>
      <c r="I22"/>
      <c r="J22" s="65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227"/>
      <c r="C23" s="250" t="s">
        <v>196</v>
      </c>
      <c r="D23" s="251" t="s">
        <v>208</v>
      </c>
      <c r="E23" s="252">
        <v>-1488069.41</v>
      </c>
      <c r="F23" s="252">
        <v>-1929799.73</v>
      </c>
      <c r="G23" s="252">
        <v>-1947106.57</v>
      </c>
      <c r="H23" s="228"/>
      <c r="I23"/>
      <c r="J23" s="65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8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227"/>
      <c r="C24" s="253" t="s">
        <v>198</v>
      </c>
      <c r="D24" s="254" t="s">
        <v>209</v>
      </c>
      <c r="E24" s="255">
        <v>-387872.91</v>
      </c>
      <c r="F24" s="255">
        <v>-1455175.87</v>
      </c>
      <c r="G24" s="255">
        <v>-1901348.76</v>
      </c>
      <c r="H24" s="228"/>
      <c r="I24"/>
      <c r="J24" s="65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227"/>
      <c r="C25" s="253" t="s">
        <v>200</v>
      </c>
      <c r="D25" s="254" t="s">
        <v>210</v>
      </c>
      <c r="E25" s="255">
        <v>-1646113.57</v>
      </c>
      <c r="F25" s="255">
        <v>-1845165.14</v>
      </c>
      <c r="G25" s="255">
        <v>-2180474.87</v>
      </c>
      <c r="H25" s="228"/>
      <c r="I25"/>
      <c r="J25" s="65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227"/>
      <c r="C26" s="253" t="s">
        <v>211</v>
      </c>
      <c r="D26" s="254" t="s">
        <v>212</v>
      </c>
      <c r="E26" s="255"/>
      <c r="F26" s="255"/>
      <c r="G26" s="255"/>
      <c r="H26" s="228"/>
      <c r="I26"/>
      <c r="J26" s="65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5">
      <c r="A27"/>
      <c r="B27" s="227"/>
      <c r="C27" s="247" t="s">
        <v>213</v>
      </c>
      <c r="D27" s="248" t="s">
        <v>214</v>
      </c>
      <c r="E27" s="249">
        <f>SUM(E28:E29)</f>
        <v>18658.95</v>
      </c>
      <c r="F27" s="249">
        <f>SUM(F28:F29)</f>
        <v>269875.44</v>
      </c>
      <c r="G27" s="249">
        <f>SUM(G28:G29)</f>
        <v>21129.35</v>
      </c>
      <c r="H27" s="228"/>
      <c r="I27"/>
      <c r="J27" s="65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227"/>
      <c r="C28" s="250" t="s">
        <v>196</v>
      </c>
      <c r="D28" s="251" t="s">
        <v>215</v>
      </c>
      <c r="E28" s="252">
        <v>18658.95</v>
      </c>
      <c r="F28" s="252">
        <v>20875.439999999999</v>
      </c>
      <c r="G28" s="252">
        <v>21129.35</v>
      </c>
      <c r="H28" s="228"/>
      <c r="I28"/>
      <c r="J28" s="65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227"/>
      <c r="C29" s="253" t="s">
        <v>198</v>
      </c>
      <c r="D29" s="254" t="s">
        <v>216</v>
      </c>
      <c r="E29" s="255">
        <v>0</v>
      </c>
      <c r="F29" s="255">
        <v>249000</v>
      </c>
      <c r="G29" s="255">
        <v>0</v>
      </c>
      <c r="H29" s="228"/>
      <c r="I29"/>
      <c r="J29" s="65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5">
      <c r="A30"/>
      <c r="B30" s="227"/>
      <c r="C30" s="247" t="s">
        <v>217</v>
      </c>
      <c r="D30" s="248" t="s">
        <v>218</v>
      </c>
      <c r="E30" s="249">
        <f>SUM(E31:E33)</f>
        <v>-1678674.79</v>
      </c>
      <c r="F30" s="249">
        <f>SUM(F31:F33)</f>
        <v>-1650779.44</v>
      </c>
      <c r="G30" s="249">
        <f>SUM(G31:G33)</f>
        <v>-1678656.25</v>
      </c>
      <c r="H30" s="228"/>
      <c r="I30"/>
      <c r="J30" s="91"/>
      <c r="K30" s="517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3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/>
      <c r="B31" s="227"/>
      <c r="C31" s="250" t="s">
        <v>196</v>
      </c>
      <c r="D31" s="251" t="s">
        <v>219</v>
      </c>
      <c r="E31" s="252">
        <v>-1263820.46</v>
      </c>
      <c r="F31" s="252">
        <v>-1239652.8999999999</v>
      </c>
      <c r="G31" s="961">
        <f>-1247944.79+11480.23</f>
        <v>-1236464.56</v>
      </c>
      <c r="H31" s="228"/>
      <c r="I31"/>
      <c r="J31" s="91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227"/>
      <c r="C32" s="253" t="s">
        <v>198</v>
      </c>
      <c r="D32" s="254" t="s">
        <v>220</v>
      </c>
      <c r="E32" s="255">
        <v>-414854.33</v>
      </c>
      <c r="F32" s="255">
        <v>-411126.54</v>
      </c>
      <c r="G32" s="960">
        <f>-443797.19+1605.5</f>
        <v>-442191.69</v>
      </c>
      <c r="H32" s="228"/>
      <c r="I32"/>
      <c r="J32" s="65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">
      <c r="A33"/>
      <c r="B33" s="227"/>
      <c r="C33" s="253" t="s">
        <v>200</v>
      </c>
      <c r="D33" s="254" t="s">
        <v>221</v>
      </c>
      <c r="E33" s="255"/>
      <c r="F33" s="255"/>
      <c r="G33" s="255"/>
      <c r="H33" s="228"/>
      <c r="I33"/>
      <c r="J33" s="65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5">
      <c r="A34"/>
      <c r="B34" s="227"/>
      <c r="C34" s="247" t="s">
        <v>222</v>
      </c>
      <c r="D34" s="248" t="s">
        <v>223</v>
      </c>
      <c r="E34" s="249">
        <f>SUM(E35:E39)</f>
        <v>-2747554.6399999997</v>
      </c>
      <c r="F34" s="249">
        <f>SUM(F35:F39)</f>
        <v>-2855627.87</v>
      </c>
      <c r="G34" s="249">
        <f>SUM(G35:G39)</f>
        <v>-2954054.73</v>
      </c>
      <c r="H34" s="228"/>
      <c r="I34"/>
      <c r="J34" s="65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227"/>
      <c r="C35" s="250" t="s">
        <v>196</v>
      </c>
      <c r="D35" s="251" t="s">
        <v>224</v>
      </c>
      <c r="E35" s="252">
        <v>-2754756.98</v>
      </c>
      <c r="F35" s="252">
        <v>-2851201.54</v>
      </c>
      <c r="G35" s="961">
        <f>-2936658.73-1605.5-11480.23</f>
        <v>-2949744.46</v>
      </c>
      <c r="H35" s="228"/>
      <c r="I35"/>
      <c r="J35" s="65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/>
      <c r="B36" s="227"/>
      <c r="C36" s="253" t="s">
        <v>198</v>
      </c>
      <c r="D36" s="254" t="s">
        <v>225</v>
      </c>
      <c r="E36" s="255">
        <v>-4272.05</v>
      </c>
      <c r="F36" s="255">
        <v>-4426.33</v>
      </c>
      <c r="G36" s="255">
        <v>-4310.2700000000004</v>
      </c>
      <c r="H36" s="228"/>
      <c r="I36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227"/>
      <c r="C37" s="253" t="s">
        <v>200</v>
      </c>
      <c r="D37" s="254" t="s">
        <v>226</v>
      </c>
      <c r="E37" s="255">
        <v>11474.39</v>
      </c>
      <c r="F37" s="255">
        <v>0</v>
      </c>
      <c r="G37" s="255">
        <v>0</v>
      </c>
      <c r="H37" s="228"/>
      <c r="I37"/>
      <c r="J37" s="9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6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/>
      <c r="B38" s="227"/>
      <c r="C38" s="253" t="s">
        <v>211</v>
      </c>
      <c r="D38" s="254" t="s">
        <v>227</v>
      </c>
      <c r="E38" s="255"/>
      <c r="F38" s="255"/>
      <c r="G38" s="255"/>
      <c r="H38" s="228"/>
      <c r="I38"/>
      <c r="J38" s="94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227"/>
      <c r="C39" s="253" t="s">
        <v>228</v>
      </c>
      <c r="D39" s="254" t="s">
        <v>229</v>
      </c>
      <c r="E39" s="255"/>
      <c r="F39" s="255"/>
      <c r="G39" s="255"/>
      <c r="H39" s="228"/>
      <c r="I39"/>
      <c r="J39" s="9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5">
      <c r="A40"/>
      <c r="B40" s="227"/>
      <c r="C40" s="247" t="s">
        <v>230</v>
      </c>
      <c r="D40" s="248" t="s">
        <v>231</v>
      </c>
      <c r="E40" s="256">
        <v>-2576739.4700000002</v>
      </c>
      <c r="F40" s="256">
        <v>-2564125.2999999998</v>
      </c>
      <c r="G40" s="256">
        <v>-2580021.33</v>
      </c>
      <c r="H40" s="228"/>
      <c r="I40"/>
      <c r="J40" s="94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5">
      <c r="A41"/>
      <c r="B41" s="227"/>
      <c r="C41" s="247" t="s">
        <v>232</v>
      </c>
      <c r="D41" s="248" t="s">
        <v>233</v>
      </c>
      <c r="E41" s="256">
        <v>2542819.33</v>
      </c>
      <c r="F41" s="256">
        <v>2492714.09</v>
      </c>
      <c r="G41" s="256">
        <v>2490310.7000000002</v>
      </c>
      <c r="H41" s="228"/>
      <c r="I41"/>
      <c r="J41" s="94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5">
      <c r="A42"/>
      <c r="B42" s="227"/>
      <c r="C42" s="247" t="s">
        <v>234</v>
      </c>
      <c r="D42" s="248" t="s">
        <v>235</v>
      </c>
      <c r="E42" s="256"/>
      <c r="F42" s="256"/>
      <c r="G42" s="256"/>
      <c r="H42" s="228"/>
      <c r="I42"/>
      <c r="J42" s="94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5">
      <c r="A43"/>
      <c r="B43" s="227"/>
      <c r="C43" s="247" t="s">
        <v>236</v>
      </c>
      <c r="D43" s="248" t="s">
        <v>237</v>
      </c>
      <c r="E43" s="249">
        <f>SUM(E44:E46)</f>
        <v>-12850.6</v>
      </c>
      <c r="F43" s="249">
        <f>SUM(F44:F46)</f>
        <v>0</v>
      </c>
      <c r="G43" s="249">
        <f>SUM(G44:G46)</f>
        <v>0</v>
      </c>
      <c r="H43" s="228"/>
      <c r="I43"/>
      <c r="J43" s="94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/>
      <c r="B44" s="227"/>
      <c r="C44" s="250" t="s">
        <v>196</v>
      </c>
      <c r="D44" s="251" t="s">
        <v>238</v>
      </c>
      <c r="E44" s="252"/>
      <c r="F44" s="252"/>
      <c r="G44" s="252"/>
      <c r="H44" s="228"/>
      <c r="I44"/>
      <c r="J44" s="94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6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/>
      <c r="B45" s="227"/>
      <c r="C45" s="253" t="s">
        <v>198</v>
      </c>
      <c r="D45" s="254" t="s">
        <v>239</v>
      </c>
      <c r="E45" s="255">
        <v>-12850.6</v>
      </c>
      <c r="F45" s="255">
        <v>0</v>
      </c>
      <c r="G45" s="255">
        <v>0</v>
      </c>
      <c r="H45" s="228"/>
      <c r="I45"/>
      <c r="J45" s="94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227"/>
      <c r="C46" s="253" t="s">
        <v>200</v>
      </c>
      <c r="D46" s="254" t="s">
        <v>240</v>
      </c>
      <c r="E46" s="255"/>
      <c r="F46" s="255"/>
      <c r="G46" s="255"/>
      <c r="H46" s="228"/>
      <c r="I46"/>
      <c r="J46" s="94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5">
      <c r="A47"/>
      <c r="B47" s="227"/>
      <c r="C47" s="247" t="s">
        <v>241</v>
      </c>
      <c r="D47" s="248" t="s">
        <v>242</v>
      </c>
      <c r="E47" s="256"/>
      <c r="F47" s="256"/>
      <c r="G47" s="256"/>
      <c r="H47" s="228"/>
      <c r="I47"/>
      <c r="J47" s="94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6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5">
      <c r="A48"/>
      <c r="B48" s="227"/>
      <c r="C48" s="247" t="s">
        <v>243</v>
      </c>
      <c r="D48" s="248" t="s">
        <v>244</v>
      </c>
      <c r="E48" s="256">
        <v>-59049.37</v>
      </c>
      <c r="F48" s="256">
        <v>0</v>
      </c>
      <c r="G48" s="256">
        <v>0</v>
      </c>
      <c r="H48" s="228"/>
      <c r="I48"/>
      <c r="J48" s="94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6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257" customFormat="1" ht="22.9" customHeight="1" x14ac:dyDescent="0.3">
      <c r="B49" s="36"/>
      <c r="C49" s="258" t="s">
        <v>245</v>
      </c>
      <c r="D49" s="259" t="s">
        <v>246</v>
      </c>
      <c r="E49" s="260">
        <f>E16+E20+E21+E22+E27+E30+E34+E40+E41+E42+E43+E47+E48</f>
        <v>-388742.7799999991</v>
      </c>
      <c r="F49" s="260">
        <f>F16+F20+F21+F22+F27+F30+F34+F40+F41+F42+F43+F47+F48</f>
        <v>-728619.6799999997</v>
      </c>
      <c r="G49" s="260">
        <f>G16+G20+G21+G22+G27+G30+G34+G40+G41+G42+G43+G47+G48</f>
        <v>-931382.37999999989</v>
      </c>
      <c r="H49" s="232"/>
      <c r="J49" s="94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6"/>
    </row>
    <row r="50" spans="1:256" ht="22.9" customHeight="1" x14ac:dyDescent="0.25">
      <c r="A50"/>
      <c r="B50" s="227"/>
      <c r="C50" s="261"/>
      <c r="D50" s="10"/>
      <c r="E50" s="246"/>
      <c r="F50" s="246"/>
      <c r="G50" s="246"/>
      <c r="H50" s="228"/>
      <c r="I50"/>
      <c r="J50" s="94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6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2.9" customHeight="1" x14ac:dyDescent="0.25">
      <c r="A51"/>
      <c r="B51" s="227"/>
      <c r="C51" s="247" t="s">
        <v>247</v>
      </c>
      <c r="D51" s="248" t="s">
        <v>248</v>
      </c>
      <c r="E51" s="249">
        <f>E52+E55+E58</f>
        <v>4251.24</v>
      </c>
      <c r="F51" s="249">
        <f>F52+F55+F58</f>
        <v>2287.86</v>
      </c>
      <c r="G51" s="249">
        <f>G52+G55+G58</f>
        <v>2287.86</v>
      </c>
      <c r="H51" s="228"/>
      <c r="I51"/>
      <c r="J51" s="94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6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2.9" customHeight="1" x14ac:dyDescent="0.2">
      <c r="A52"/>
      <c r="B52" s="227"/>
      <c r="C52" s="250" t="s">
        <v>196</v>
      </c>
      <c r="D52" s="251" t="s">
        <v>249</v>
      </c>
      <c r="E52" s="262">
        <f>SUM(E53:E54)</f>
        <v>0</v>
      </c>
      <c r="F52" s="262">
        <f>SUM(F53:F54)</f>
        <v>0</v>
      </c>
      <c r="G52" s="262">
        <f>SUM(G53:G54)</f>
        <v>0</v>
      </c>
      <c r="H52" s="228"/>
      <c r="I52"/>
      <c r="J52" s="94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6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2.9" customHeight="1" x14ac:dyDescent="0.2">
      <c r="A53"/>
      <c r="B53" s="227"/>
      <c r="C53" s="263" t="s">
        <v>250</v>
      </c>
      <c r="D53" s="264" t="s">
        <v>251</v>
      </c>
      <c r="E53" s="265"/>
      <c r="F53" s="265"/>
      <c r="G53" s="265"/>
      <c r="H53" s="228"/>
      <c r="I53"/>
      <c r="J53" s="94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6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2.9" customHeight="1" x14ac:dyDescent="0.2">
      <c r="A54"/>
      <c r="B54" s="227"/>
      <c r="C54" s="263" t="s">
        <v>252</v>
      </c>
      <c r="D54" s="264" t="s">
        <v>253</v>
      </c>
      <c r="E54" s="265"/>
      <c r="F54" s="265"/>
      <c r="G54" s="265"/>
      <c r="H54" s="228"/>
      <c r="I54"/>
      <c r="J54" s="94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2.9" customHeight="1" x14ac:dyDescent="0.2">
      <c r="A55"/>
      <c r="B55" s="227"/>
      <c r="C55" s="266" t="s">
        <v>198</v>
      </c>
      <c r="D55" s="267" t="s">
        <v>254</v>
      </c>
      <c r="E55" s="268">
        <f>SUM(E56:E57)</f>
        <v>4251.24</v>
      </c>
      <c r="F55" s="268">
        <f>SUM(F56:F57)</f>
        <v>2287.86</v>
      </c>
      <c r="G55" s="268">
        <f>SUM(G56:G57)</f>
        <v>2287.86</v>
      </c>
      <c r="H55" s="228"/>
      <c r="I55"/>
      <c r="J55" s="94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6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2.9" customHeight="1" x14ac:dyDescent="0.2">
      <c r="A56"/>
      <c r="B56" s="227"/>
      <c r="C56" s="263" t="s">
        <v>255</v>
      </c>
      <c r="D56" s="264" t="s">
        <v>256</v>
      </c>
      <c r="E56" s="265"/>
      <c r="F56" s="265"/>
      <c r="G56" s="265"/>
      <c r="H56" s="228"/>
      <c r="I56"/>
      <c r="J56" s="94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2.9" customHeight="1" x14ac:dyDescent="0.2">
      <c r="A57"/>
      <c r="B57" s="227"/>
      <c r="C57" s="263" t="s">
        <v>257</v>
      </c>
      <c r="D57" s="264" t="s">
        <v>258</v>
      </c>
      <c r="E57" s="265">
        <v>4251.24</v>
      </c>
      <c r="F57" s="265">
        <v>2287.86</v>
      </c>
      <c r="G57" s="265">
        <v>2287.86</v>
      </c>
      <c r="H57" s="228"/>
      <c r="I57"/>
      <c r="J57" s="94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6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2.9" customHeight="1" x14ac:dyDescent="0.2">
      <c r="A58"/>
      <c r="B58" s="227"/>
      <c r="C58" s="266" t="s">
        <v>200</v>
      </c>
      <c r="D58" s="267" t="s">
        <v>259</v>
      </c>
      <c r="E58" s="269"/>
      <c r="F58" s="269"/>
      <c r="G58" s="269"/>
      <c r="H58" s="228"/>
      <c r="I58"/>
      <c r="J58" s="94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6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2.9" customHeight="1" x14ac:dyDescent="0.25">
      <c r="A59"/>
      <c r="B59" s="227"/>
      <c r="C59" s="247" t="s">
        <v>260</v>
      </c>
      <c r="D59" s="248" t="s">
        <v>261</v>
      </c>
      <c r="E59" s="249">
        <f>SUM(E60:E62)</f>
        <v>-278.49</v>
      </c>
      <c r="F59" s="249">
        <f>SUM(F60:F62)</f>
        <v>-92.83</v>
      </c>
      <c r="G59" s="249">
        <f>SUM(G60:G62)</f>
        <v>-92.83</v>
      </c>
      <c r="H59" s="228"/>
      <c r="I59"/>
      <c r="J59" s="94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6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2.9" customHeight="1" x14ac:dyDescent="0.2">
      <c r="A60"/>
      <c r="B60" s="227"/>
      <c r="C60" s="266" t="s">
        <v>196</v>
      </c>
      <c r="D60" s="267" t="s">
        <v>262</v>
      </c>
      <c r="E60" s="269"/>
      <c r="F60" s="269"/>
      <c r="G60" s="269"/>
      <c r="H60" s="228"/>
      <c r="I60"/>
      <c r="J60" s="94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6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2.9" customHeight="1" x14ac:dyDescent="0.2">
      <c r="A61"/>
      <c r="B61" s="227"/>
      <c r="C61" s="266" t="s">
        <v>198</v>
      </c>
      <c r="D61" s="267" t="s">
        <v>263</v>
      </c>
      <c r="E61" s="269">
        <v>-278.49</v>
      </c>
      <c r="F61" s="269">
        <v>-92.83</v>
      </c>
      <c r="G61" s="269">
        <v>-92.83</v>
      </c>
      <c r="H61" s="228"/>
      <c r="I61"/>
      <c r="J61" s="94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6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2.9" customHeight="1" x14ac:dyDescent="0.2">
      <c r="A62"/>
      <c r="B62" s="227"/>
      <c r="C62" s="266" t="s">
        <v>200</v>
      </c>
      <c r="D62" s="267" t="s">
        <v>264</v>
      </c>
      <c r="E62" s="269"/>
      <c r="F62" s="269"/>
      <c r="G62" s="269"/>
      <c r="H62" s="228"/>
      <c r="I62"/>
      <c r="J62" s="94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6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2.9" customHeight="1" x14ac:dyDescent="0.25">
      <c r="A63"/>
      <c r="B63" s="227"/>
      <c r="C63" s="247" t="s">
        <v>265</v>
      </c>
      <c r="D63" s="248" t="s">
        <v>266</v>
      </c>
      <c r="E63" s="249">
        <f>SUM(E64:E65)</f>
        <v>0</v>
      </c>
      <c r="F63" s="249">
        <f>SUM(F64:F65)</f>
        <v>0</v>
      </c>
      <c r="G63" s="249">
        <f>SUM(G64:G65)</f>
        <v>0</v>
      </c>
      <c r="H63" s="228"/>
      <c r="I63"/>
      <c r="J63" s="94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6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2.9" customHeight="1" x14ac:dyDescent="0.2">
      <c r="A64"/>
      <c r="B64" s="227"/>
      <c r="C64" s="266" t="s">
        <v>196</v>
      </c>
      <c r="D64" s="267" t="s">
        <v>267</v>
      </c>
      <c r="E64" s="269"/>
      <c r="F64" s="269"/>
      <c r="G64" s="269"/>
      <c r="H64" s="228"/>
      <c r="I64"/>
      <c r="J64" s="94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6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2.9" customHeight="1" x14ac:dyDescent="0.2">
      <c r="A65"/>
      <c r="B65" s="227"/>
      <c r="C65" s="266" t="s">
        <v>198</v>
      </c>
      <c r="D65" s="267" t="s">
        <v>268</v>
      </c>
      <c r="E65" s="269"/>
      <c r="F65" s="269"/>
      <c r="G65" s="269"/>
      <c r="H65" s="228"/>
      <c r="I65"/>
      <c r="J65" s="94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6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2.9" customHeight="1" x14ac:dyDescent="0.25">
      <c r="A66"/>
      <c r="B66" s="227"/>
      <c r="C66" s="247" t="s">
        <v>269</v>
      </c>
      <c r="D66" s="248" t="s">
        <v>270</v>
      </c>
      <c r="E66" s="249">
        <v>0</v>
      </c>
      <c r="F66" s="249">
        <v>0</v>
      </c>
      <c r="G66" s="249">
        <v>0</v>
      </c>
      <c r="H66" s="228"/>
      <c r="I66"/>
      <c r="J66" s="94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2.9" customHeight="1" x14ac:dyDescent="0.25">
      <c r="A67"/>
      <c r="B67" s="227"/>
      <c r="C67" s="247" t="s">
        <v>271</v>
      </c>
      <c r="D67" s="248" t="s">
        <v>272</v>
      </c>
      <c r="E67" s="249">
        <f>SUM(E68:E69)</f>
        <v>0</v>
      </c>
      <c r="F67" s="249">
        <f>SUM(F68:F69)</f>
        <v>27687.88</v>
      </c>
      <c r="G67" s="249">
        <f>SUM(G68:G69)</f>
        <v>0</v>
      </c>
      <c r="H67" s="228"/>
      <c r="I67"/>
      <c r="J67" s="94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2.9" customHeight="1" x14ac:dyDescent="0.2">
      <c r="A68"/>
      <c r="B68" s="227"/>
      <c r="C68" s="266" t="s">
        <v>196</v>
      </c>
      <c r="D68" s="267" t="s">
        <v>273</v>
      </c>
      <c r="E68" s="269">
        <v>0</v>
      </c>
      <c r="F68" s="269">
        <v>27687.88</v>
      </c>
      <c r="G68" s="269">
        <v>0</v>
      </c>
      <c r="H68" s="228"/>
      <c r="I68"/>
      <c r="J68" s="94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6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2.9" customHeight="1" x14ac:dyDescent="0.2">
      <c r="A69"/>
      <c r="B69" s="227"/>
      <c r="C69" s="266" t="s">
        <v>198</v>
      </c>
      <c r="D69" s="267" t="s">
        <v>239</v>
      </c>
      <c r="E69" s="269"/>
      <c r="F69" s="269"/>
      <c r="G69" s="269"/>
      <c r="H69" s="228"/>
      <c r="I69"/>
      <c r="J69" s="94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2.9" customHeight="1" x14ac:dyDescent="0.25">
      <c r="A70"/>
      <c r="B70" s="227"/>
      <c r="C70" s="247" t="s">
        <v>274</v>
      </c>
      <c r="D70" s="248" t="s">
        <v>275</v>
      </c>
      <c r="E70" s="249">
        <f>SUM(E71:E73)</f>
        <v>0</v>
      </c>
      <c r="F70" s="249">
        <f>SUM(F71:F73)</f>
        <v>0</v>
      </c>
      <c r="G70" s="249">
        <f>SUM(G71:G73)</f>
        <v>0</v>
      </c>
      <c r="H70" s="228"/>
      <c r="I70"/>
      <c r="J70" s="94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2.9" customHeight="1" x14ac:dyDescent="0.2">
      <c r="A71"/>
      <c r="B71" s="227"/>
      <c r="C71" s="266" t="s">
        <v>196</v>
      </c>
      <c r="D71" s="267" t="s">
        <v>276</v>
      </c>
      <c r="E71" s="269"/>
      <c r="F71" s="269"/>
      <c r="G71" s="269"/>
      <c r="H71" s="228"/>
      <c r="I71"/>
      <c r="J71" s="94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2.9" customHeight="1" x14ac:dyDescent="0.2">
      <c r="A72"/>
      <c r="B72" s="227"/>
      <c r="C72" s="266" t="s">
        <v>198</v>
      </c>
      <c r="D72" s="267" t="s">
        <v>277</v>
      </c>
      <c r="E72" s="269"/>
      <c r="F72" s="269"/>
      <c r="G72" s="269"/>
      <c r="H72" s="228"/>
      <c r="I72"/>
      <c r="J72" s="94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6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2.9" customHeight="1" x14ac:dyDescent="0.2">
      <c r="A73"/>
      <c r="B73" s="227"/>
      <c r="C73" s="266" t="s">
        <v>200</v>
      </c>
      <c r="D73" s="267" t="s">
        <v>278</v>
      </c>
      <c r="E73" s="269"/>
      <c r="F73" s="269"/>
      <c r="G73" s="269"/>
      <c r="H73" s="228"/>
      <c r="I73"/>
      <c r="J73" s="94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6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257" customFormat="1" ht="22.9" customHeight="1" x14ac:dyDescent="0.25">
      <c r="B74" s="36"/>
      <c r="C74" s="270" t="s">
        <v>279</v>
      </c>
      <c r="D74" s="271" t="s">
        <v>280</v>
      </c>
      <c r="E74" s="260">
        <f>E51+E59+E63+E67+E70</f>
        <v>3972.75</v>
      </c>
      <c r="F74" s="260">
        <f>F51+F59+F63+F67+F70</f>
        <v>29882.91</v>
      </c>
      <c r="G74" s="260">
        <f>G51+G59+G63+G67+G70</f>
        <v>2195.0300000000002</v>
      </c>
      <c r="H74" s="232"/>
      <c r="J74" s="94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6"/>
    </row>
    <row r="75" spans="1:256" ht="22.9" customHeight="1" x14ac:dyDescent="0.2">
      <c r="A75"/>
      <c r="B75" s="227"/>
      <c r="C75" s="272"/>
      <c r="D75" s="273"/>
      <c r="E75" s="274"/>
      <c r="F75" s="274"/>
      <c r="G75" s="274"/>
      <c r="H75" s="228"/>
      <c r="I75"/>
      <c r="J75" s="94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257" customFormat="1" ht="22.9" customHeight="1" x14ac:dyDescent="0.25">
      <c r="B76" s="36"/>
      <c r="C76" s="275" t="s">
        <v>281</v>
      </c>
      <c r="D76" s="276" t="s">
        <v>282</v>
      </c>
      <c r="E76" s="277">
        <f>E74+E49</f>
        <v>-384770.0299999991</v>
      </c>
      <c r="F76" s="277">
        <f>F74+F49</f>
        <v>-698736.76999999967</v>
      </c>
      <c r="G76" s="277">
        <f>G74+G49</f>
        <v>-929187.34999999986</v>
      </c>
      <c r="H76" s="232"/>
      <c r="J76" s="94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6"/>
    </row>
    <row r="77" spans="1:256" ht="22.9" customHeight="1" x14ac:dyDescent="0.25">
      <c r="A77"/>
      <c r="B77" s="227"/>
      <c r="C77" s="247" t="s">
        <v>283</v>
      </c>
      <c r="D77" s="248" t="s">
        <v>284</v>
      </c>
      <c r="E77" s="256"/>
      <c r="F77" s="256"/>
      <c r="G77" s="256"/>
      <c r="H77" s="228"/>
      <c r="I77"/>
      <c r="J77" s="94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2.9" customHeight="1" x14ac:dyDescent="0.2">
      <c r="A78"/>
      <c r="B78" s="227"/>
      <c r="C78" s="278"/>
      <c r="D78" s="3"/>
      <c r="E78" s="246"/>
      <c r="F78" s="246"/>
      <c r="G78" s="246"/>
      <c r="H78" s="228"/>
      <c r="I78"/>
      <c r="J78" s="94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257" customFormat="1" ht="22.9" customHeight="1" x14ac:dyDescent="0.25">
      <c r="B79" s="36"/>
      <c r="C79" s="275" t="s">
        <v>285</v>
      </c>
      <c r="D79" s="276" t="s">
        <v>286</v>
      </c>
      <c r="E79" s="277">
        <f>E76+E77</f>
        <v>-384770.0299999991</v>
      </c>
      <c r="F79" s="277">
        <f>F76+F77</f>
        <v>-698736.76999999967</v>
      </c>
      <c r="G79" s="277">
        <f>G76+G77</f>
        <v>-929187.34999999986</v>
      </c>
      <c r="H79" s="232"/>
      <c r="J79" s="94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</row>
    <row r="80" spans="1:256" ht="22.9" customHeight="1" x14ac:dyDescent="0.2">
      <c r="A80"/>
      <c r="B80" s="227"/>
      <c r="C80" s="278"/>
      <c r="D80" s="3"/>
      <c r="E80" s="246"/>
      <c r="F80" s="246"/>
      <c r="G80" s="246"/>
      <c r="H80" s="228"/>
      <c r="I80"/>
      <c r="J80" s="94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6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2.9" customHeight="1" x14ac:dyDescent="0.25">
      <c r="A81"/>
      <c r="B81" s="227"/>
      <c r="C81" s="244" t="s">
        <v>287</v>
      </c>
      <c r="D81" s="245" t="s">
        <v>288</v>
      </c>
      <c r="E81" s="246"/>
      <c r="F81" s="246"/>
      <c r="G81" s="246"/>
      <c r="H81" s="228"/>
      <c r="I81"/>
      <c r="J81" s="94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6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2.9" customHeight="1" x14ac:dyDescent="0.25">
      <c r="A82"/>
      <c r="B82" s="227"/>
      <c r="C82" s="247" t="s">
        <v>289</v>
      </c>
      <c r="D82" s="248" t="s">
        <v>290</v>
      </c>
      <c r="E82" s="256"/>
      <c r="F82" s="256"/>
      <c r="G82" s="256"/>
      <c r="H82" s="228"/>
      <c r="I82"/>
      <c r="J82" s="94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6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2.9" customHeight="1" x14ac:dyDescent="0.2">
      <c r="A83"/>
      <c r="B83" s="227"/>
      <c r="C83" s="278"/>
      <c r="D83" s="3"/>
      <c r="E83" s="246"/>
      <c r="F83" s="246"/>
      <c r="G83" s="246"/>
      <c r="H83" s="228"/>
      <c r="I83"/>
      <c r="J83" s="94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6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257" customFormat="1" ht="22.9" customHeight="1" x14ac:dyDescent="0.3">
      <c r="B84" s="36"/>
      <c r="C84" s="279" t="s">
        <v>291</v>
      </c>
      <c r="D84" s="280" t="s">
        <v>292</v>
      </c>
      <c r="E84" s="281">
        <f>E79+E82</f>
        <v>-384770.0299999991</v>
      </c>
      <c r="F84" s="281">
        <f>F79+F82</f>
        <v>-698736.76999999967</v>
      </c>
      <c r="G84" s="281">
        <f>G79+G82</f>
        <v>-929187.34999999986</v>
      </c>
      <c r="H84" s="232"/>
      <c r="J84" s="94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</row>
    <row r="85" spans="1:256" ht="22.9" customHeight="1" x14ac:dyDescent="0.2">
      <c r="B85" s="227"/>
      <c r="C85" s="27"/>
      <c r="D85" s="27"/>
      <c r="E85" s="27"/>
      <c r="F85" s="27"/>
      <c r="G85" s="27"/>
      <c r="H85" s="228"/>
      <c r="J85" s="94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</row>
    <row r="86" spans="1:256" ht="22.9" customHeight="1" x14ac:dyDescent="0.2">
      <c r="B86" s="282"/>
      <c r="C86" s="996"/>
      <c r="D86" s="996"/>
      <c r="E86" s="996"/>
      <c r="F86" s="996"/>
      <c r="G86" s="284"/>
      <c r="H86" s="285"/>
      <c r="J86" s="103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</row>
    <row r="87" spans="1:256" ht="22.9" customHeight="1" x14ac:dyDescent="0.2">
      <c r="C87" s="27"/>
      <c r="D87" s="27"/>
      <c r="E87" s="27"/>
      <c r="F87" s="27"/>
      <c r="G87" s="27"/>
    </row>
    <row r="88" spans="1:256" ht="15" x14ac:dyDescent="0.2">
      <c r="C88" s="27" t="s">
        <v>55</v>
      </c>
      <c r="D88" s="27"/>
      <c r="E88" s="27"/>
      <c r="F88" s="27"/>
      <c r="G88" s="29" t="s">
        <v>15</v>
      </c>
    </row>
    <row r="89" spans="1:256" ht="15" x14ac:dyDescent="0.2">
      <c r="C89" s="26" t="s">
        <v>57</v>
      </c>
      <c r="D89" s="27"/>
      <c r="E89" s="27"/>
      <c r="F89" s="27"/>
      <c r="G89" s="27"/>
    </row>
    <row r="90" spans="1:256" ht="15" x14ac:dyDescent="0.2">
      <c r="C90" s="26" t="s">
        <v>58</v>
      </c>
      <c r="D90" s="27"/>
      <c r="E90" s="27"/>
      <c r="F90" s="27"/>
      <c r="G90" s="27"/>
    </row>
    <row r="91" spans="1:256" ht="15" x14ac:dyDescent="0.2">
      <c r="C91" s="26" t="s">
        <v>59</v>
      </c>
      <c r="D91" s="27"/>
      <c r="E91" s="27"/>
      <c r="F91" s="27"/>
      <c r="G91" s="27"/>
    </row>
    <row r="92" spans="1:256" ht="15" x14ac:dyDescent="0.2">
      <c r="C92" s="26" t="s">
        <v>60</v>
      </c>
      <c r="D92" s="27"/>
      <c r="E92" s="27"/>
      <c r="F92" s="27"/>
      <c r="G92" s="27"/>
    </row>
  </sheetData>
  <mergeCells count="3">
    <mergeCell ref="G6:G7"/>
    <mergeCell ref="D9:G9"/>
    <mergeCell ref="C86:F86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8" scale="54" firstPageNumber="0" orientation="portrait" horizontalDpi="300" verticalDpi="300" r:id="rId1"/>
  <headerFooter alignWithMargins="0"/>
  <ignoredErrors>
    <ignoredError sqref="G31:G3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2"/>
  <sheetViews>
    <sheetView zoomScale="60" zoomScaleNormal="60" workbookViewId="0">
      <selection activeCell="F45" sqref="F45"/>
    </sheetView>
  </sheetViews>
  <sheetFormatPr baseColWidth="10" defaultColWidth="11.44140625" defaultRowHeight="22.9" customHeight="1" x14ac:dyDescent="0.2"/>
  <cols>
    <col min="1" max="2" width="3.21875" style="286" customWidth="1"/>
    <col min="3" max="3" width="14.21875" style="286" customWidth="1"/>
    <col min="4" max="4" width="51.77734375" style="286" customWidth="1"/>
    <col min="5" max="6" width="16.77734375" style="287" customWidth="1"/>
    <col min="7" max="7" width="32.77734375" style="287" customWidth="1"/>
    <col min="8" max="8" width="16.44140625" style="287" customWidth="1"/>
    <col min="9" max="9" width="17.77734375" style="287" customWidth="1"/>
    <col min="10" max="10" width="32.21875" style="287" customWidth="1"/>
    <col min="11" max="12" width="16.77734375" style="287" customWidth="1"/>
    <col min="13" max="13" width="28.77734375" style="287" customWidth="1"/>
    <col min="14" max="14" width="3.21875" style="286" customWidth="1"/>
    <col min="15" max="16384" width="11.44140625" style="286"/>
  </cols>
  <sheetData>
    <row r="1" spans="1:256" ht="22.9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288" t="s">
        <v>293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288" t="s">
        <v>294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289"/>
      <c r="C5" s="290"/>
      <c r="D5" s="290"/>
      <c r="E5" s="291"/>
      <c r="F5" s="291"/>
      <c r="G5" s="291"/>
      <c r="H5" s="291"/>
      <c r="I5" s="291"/>
      <c r="J5" s="291"/>
      <c r="K5" s="291"/>
      <c r="L5" s="291"/>
      <c r="M5" s="291"/>
      <c r="N5" s="292"/>
      <c r="O5"/>
      <c r="P5" s="62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4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293"/>
      <c r="C6" s="294" t="s">
        <v>2</v>
      </c>
      <c r="D6" s="154"/>
      <c r="E6" s="295"/>
      <c r="F6" s="295"/>
      <c r="G6" s="295"/>
      <c r="H6" s="295"/>
      <c r="I6" s="295"/>
      <c r="J6" s="295"/>
      <c r="K6" s="295"/>
      <c r="L6" s="295"/>
      <c r="M6" s="988">
        <f>ejercicio</f>
        <v>2018</v>
      </c>
      <c r="N6" s="296"/>
      <c r="O6"/>
      <c r="P6" s="65"/>
      <c r="Q6" s="66" t="s">
        <v>93</v>
      </c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293"/>
      <c r="C7" s="294" t="s">
        <v>3</v>
      </c>
      <c r="D7" s="154"/>
      <c r="E7" s="295"/>
      <c r="F7" s="295"/>
      <c r="G7" s="295"/>
      <c r="H7" s="295"/>
      <c r="I7" s="295"/>
      <c r="J7" s="295"/>
      <c r="K7" s="295"/>
      <c r="L7" s="295"/>
      <c r="M7" s="988"/>
      <c r="N7" s="297"/>
      <c r="O7"/>
      <c r="P7" s="65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293"/>
      <c r="C8" s="298"/>
      <c r="D8" s="154"/>
      <c r="E8" s="295"/>
      <c r="F8" s="295"/>
      <c r="G8" s="295"/>
      <c r="H8" s="295"/>
      <c r="I8" s="295"/>
      <c r="J8" s="295"/>
      <c r="K8" s="295"/>
      <c r="L8" s="295"/>
      <c r="M8" s="295"/>
      <c r="N8" s="297"/>
      <c r="O8"/>
      <c r="P8" s="65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299"/>
      <c r="C9" s="300" t="s">
        <v>62</v>
      </c>
      <c r="D9" s="989" t="str">
        <f>Entidad</f>
        <v>BALSAS DE TENERIFE (BALTEN), EPEL</v>
      </c>
      <c r="E9" s="989"/>
      <c r="F9" s="989"/>
      <c r="G9" s="989"/>
      <c r="H9" s="989"/>
      <c r="I9" s="989"/>
      <c r="J9" s="989"/>
      <c r="K9" s="989"/>
      <c r="L9" s="989"/>
      <c r="M9" s="989"/>
      <c r="N9" s="297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1"/>
    </row>
    <row r="10" spans="1:256" ht="7.15" customHeight="1" x14ac:dyDescent="0.2">
      <c r="A10"/>
      <c r="B10" s="293"/>
      <c r="C10" s="154"/>
      <c r="D10" s="154"/>
      <c r="E10" s="295"/>
      <c r="F10" s="295"/>
      <c r="G10" s="295"/>
      <c r="H10" s="295"/>
      <c r="I10" s="295"/>
      <c r="J10" s="295"/>
      <c r="K10" s="295"/>
      <c r="L10" s="295"/>
      <c r="M10" s="295"/>
      <c r="N10" s="297"/>
      <c r="O10"/>
      <c r="P10" s="65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301" customFormat="1" ht="30" customHeight="1" x14ac:dyDescent="0.25">
      <c r="B11" s="302"/>
      <c r="C11" s="303" t="s">
        <v>295</v>
      </c>
      <c r="D11" s="303"/>
      <c r="E11" s="304"/>
      <c r="F11" s="304"/>
      <c r="G11" s="304"/>
      <c r="H11" s="304"/>
      <c r="I11" s="304"/>
      <c r="J11" s="304"/>
      <c r="K11" s="304"/>
      <c r="L11" s="304"/>
      <c r="M11" s="304"/>
      <c r="N11" s="297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/>
    </row>
    <row r="12" spans="1:256" ht="30" customHeight="1" x14ac:dyDescent="0.25">
      <c r="A12" s="301"/>
      <c r="B12" s="302"/>
      <c r="C12" s="1001"/>
      <c r="D12" s="1001"/>
      <c r="E12" s="305"/>
      <c r="F12" s="305"/>
      <c r="G12" s="305"/>
      <c r="H12" s="305"/>
      <c r="I12" s="305"/>
      <c r="J12" s="305"/>
      <c r="K12" s="305"/>
      <c r="L12" s="305"/>
      <c r="M12" s="305"/>
      <c r="N12" s="297"/>
      <c r="O1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0" customHeight="1" x14ac:dyDescent="0.25">
      <c r="A13" s="301"/>
      <c r="B13" s="302"/>
      <c r="C13"/>
      <c r="D13" s="306"/>
      <c r="E13" s="305"/>
      <c r="F13" s="305"/>
      <c r="G13" s="305"/>
      <c r="H13" s="305"/>
      <c r="I13" s="305"/>
      <c r="J13" s="305"/>
      <c r="K13" s="305"/>
      <c r="L13" s="305"/>
      <c r="M13" s="305"/>
      <c r="N13" s="297"/>
      <c r="O13"/>
      <c r="P13" s="65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307" customFormat="1" ht="22.9" customHeight="1" x14ac:dyDescent="0.2">
      <c r="B14" s="308"/>
      <c r="C14" s="309"/>
      <c r="D14" s="310"/>
      <c r="E14" s="311"/>
      <c r="F14" s="312" t="s">
        <v>189</v>
      </c>
      <c r="G14" s="313">
        <f>ejercicio-2</f>
        <v>2016</v>
      </c>
      <c r="H14" s="311"/>
      <c r="I14" s="314" t="s">
        <v>190</v>
      </c>
      <c r="J14" s="313">
        <f>ejercicio-1</f>
        <v>2017</v>
      </c>
      <c r="K14" s="311"/>
      <c r="L14" s="312" t="s">
        <v>191</v>
      </c>
      <c r="M14" s="313">
        <f>ejercicio</f>
        <v>2018</v>
      </c>
      <c r="N14" s="297"/>
      <c r="P14" s="65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</row>
    <row r="15" spans="1:256" s="315" customFormat="1" ht="22.9" customHeight="1" x14ac:dyDescent="0.2">
      <c r="B15" s="316"/>
      <c r="C15" s="317" t="s">
        <v>296</v>
      </c>
      <c r="D15" s="318"/>
      <c r="E15" s="319" t="s">
        <v>297</v>
      </c>
      <c r="F15" s="319" t="s">
        <v>298</v>
      </c>
      <c r="G15" s="319" t="s">
        <v>148</v>
      </c>
      <c r="H15" s="319" t="s">
        <v>297</v>
      </c>
      <c r="I15" s="319" t="s">
        <v>298</v>
      </c>
      <c r="J15" s="319" t="s">
        <v>148</v>
      </c>
      <c r="K15" s="319" t="s">
        <v>297</v>
      </c>
      <c r="L15" s="319" t="s">
        <v>298</v>
      </c>
      <c r="M15" s="319" t="s">
        <v>148</v>
      </c>
      <c r="N15" s="297"/>
      <c r="P15" s="6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</row>
    <row r="16" spans="1:256" s="320" customFormat="1" ht="22.9" customHeight="1" x14ac:dyDescent="0.25">
      <c r="B16" s="321"/>
      <c r="C16" s="322" t="s">
        <v>299</v>
      </c>
      <c r="D16" s="323"/>
      <c r="E16" s="324">
        <f>SUM(E17:E18)</f>
        <v>21862.84</v>
      </c>
      <c r="F16" s="324">
        <f>SUM(F17:F18)</f>
        <v>0</v>
      </c>
      <c r="G16" s="325"/>
      <c r="H16" s="324">
        <f>SUM(H17:H18)</f>
        <v>27054.32</v>
      </c>
      <c r="I16" s="324">
        <f>SUM(I17:I18)</f>
        <v>0</v>
      </c>
      <c r="J16" s="325"/>
      <c r="K16" s="324">
        <f>SUM(K17:K18)</f>
        <v>50050.49</v>
      </c>
      <c r="L16" s="324">
        <f>SUM(L17:L18)</f>
        <v>0</v>
      </c>
      <c r="M16" s="326"/>
      <c r="N16" s="297"/>
      <c r="P16" s="65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8"/>
    </row>
    <row r="17" spans="1:256" ht="19.899999999999999" customHeight="1" x14ac:dyDescent="0.25">
      <c r="A17" s="320"/>
      <c r="B17" s="321"/>
      <c r="C17" s="327"/>
      <c r="D17" s="328" t="s">
        <v>300</v>
      </c>
      <c r="E17" s="329">
        <v>21862.84</v>
      </c>
      <c r="F17" s="329"/>
      <c r="G17" s="330"/>
      <c r="H17" s="329">
        <v>27054.32</v>
      </c>
      <c r="I17" s="329"/>
      <c r="J17" s="330"/>
      <c r="K17" s="329">
        <v>50050.49</v>
      </c>
      <c r="L17" s="329"/>
      <c r="M17" s="331"/>
      <c r="N17" s="332"/>
      <c r="O17"/>
      <c r="P17" s="91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3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9.899999999999999" customHeight="1" x14ac:dyDescent="0.25">
      <c r="A18" s="320"/>
      <c r="B18" s="321"/>
      <c r="C18" s="333"/>
      <c r="D18" s="334" t="s">
        <v>301</v>
      </c>
      <c r="E18" s="335"/>
      <c r="F18" s="335"/>
      <c r="G18" s="336"/>
      <c r="H18" s="335"/>
      <c r="I18" s="335"/>
      <c r="J18" s="336"/>
      <c r="K18" s="335"/>
      <c r="L18" s="335"/>
      <c r="M18" s="337"/>
      <c r="N18" s="332"/>
      <c r="O18"/>
      <c r="P18" s="91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3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5">
      <c r="A19" s="320"/>
      <c r="B19" s="321"/>
      <c r="C19" s="322" t="s">
        <v>302</v>
      </c>
      <c r="D19" s="323"/>
      <c r="E19" s="324">
        <f>+E20+E27</f>
        <v>57961.11</v>
      </c>
      <c r="F19" s="324">
        <f>+F20+F27</f>
        <v>0</v>
      </c>
      <c r="G19" s="325"/>
      <c r="H19" s="324">
        <f>+H20+H27</f>
        <v>58130.289999999994</v>
      </c>
      <c r="I19" s="324">
        <f>+I20+I27</f>
        <v>0</v>
      </c>
      <c r="J19" s="325"/>
      <c r="K19" s="324">
        <f>+K20+K27</f>
        <v>78148.45</v>
      </c>
      <c r="L19" s="324">
        <f>+L20+L27</f>
        <v>0</v>
      </c>
      <c r="M19" s="326"/>
      <c r="N19" s="297"/>
      <c r="O19"/>
      <c r="P19" s="65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8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9.899999999999999" customHeight="1" x14ac:dyDescent="0.25">
      <c r="A20" s="320"/>
      <c r="B20" s="321"/>
      <c r="C20" s="327"/>
      <c r="D20" s="328" t="s">
        <v>303</v>
      </c>
      <c r="E20" s="338">
        <f>SUM(E21:E26)</f>
        <v>57961.11</v>
      </c>
      <c r="F20" s="338">
        <f>SUM(F21:F26)</f>
        <v>0</v>
      </c>
      <c r="G20" s="339"/>
      <c r="H20" s="338">
        <f>SUM(H21:H26)</f>
        <v>58130.289999999994</v>
      </c>
      <c r="I20" s="338">
        <f>SUM(I21:I26)</f>
        <v>0</v>
      </c>
      <c r="J20" s="339"/>
      <c r="K20" s="338">
        <f>SUM(K21:K26)</f>
        <v>78148.45</v>
      </c>
      <c r="L20" s="338">
        <f>SUM(L21:L26)</f>
        <v>0</v>
      </c>
      <c r="M20" s="340"/>
      <c r="N20" s="332"/>
      <c r="O20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3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341" customFormat="1" ht="19.899999999999999" customHeight="1" x14ac:dyDescent="0.2">
      <c r="B21" s="299"/>
      <c r="C21" s="342"/>
      <c r="D21" s="343" t="s">
        <v>304</v>
      </c>
      <c r="E21" s="344">
        <v>14937.6</v>
      </c>
      <c r="F21" s="344"/>
      <c r="G21" s="345"/>
      <c r="H21" s="344">
        <v>7896</v>
      </c>
      <c r="I21" s="344"/>
      <c r="J21" s="345"/>
      <c r="K21" s="344">
        <v>7896</v>
      </c>
      <c r="L21" s="344"/>
      <c r="M21" s="346"/>
      <c r="N21" s="297"/>
      <c r="P21" s="6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8"/>
    </row>
    <row r="22" spans="1:256" s="341" customFormat="1" ht="19.899999999999999" customHeight="1" x14ac:dyDescent="0.2">
      <c r="B22" s="299"/>
      <c r="C22" s="342"/>
      <c r="D22" s="343" t="s">
        <v>305</v>
      </c>
      <c r="E22" s="344">
        <v>16171.93</v>
      </c>
      <c r="F22" s="344"/>
      <c r="G22" s="345"/>
      <c r="H22" s="344">
        <v>18844.32</v>
      </c>
      <c r="I22" s="344"/>
      <c r="J22" s="345"/>
      <c r="K22" s="344">
        <v>37688.639999999999</v>
      </c>
      <c r="L22" s="344"/>
      <c r="M22" s="346"/>
      <c r="N22" s="297"/>
      <c r="P22" s="65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8"/>
    </row>
    <row r="23" spans="1:256" s="341" customFormat="1" ht="19.899999999999999" customHeight="1" x14ac:dyDescent="0.2">
      <c r="B23" s="299"/>
      <c r="C23" s="342"/>
      <c r="D23" s="343" t="s">
        <v>306</v>
      </c>
      <c r="E23" s="344">
        <v>7285.2</v>
      </c>
      <c r="F23" s="344"/>
      <c r="G23" s="345"/>
      <c r="H23" s="344">
        <v>7268</v>
      </c>
      <c r="I23" s="344"/>
      <c r="J23" s="345"/>
      <c r="K23" s="344">
        <v>7268</v>
      </c>
      <c r="L23" s="344"/>
      <c r="M23" s="346"/>
      <c r="N23" s="297"/>
      <c r="P23" s="65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8"/>
    </row>
    <row r="24" spans="1:256" s="341" customFormat="1" ht="19.899999999999999" customHeight="1" x14ac:dyDescent="0.2">
      <c r="B24" s="299"/>
      <c r="C24" s="342"/>
      <c r="D24" s="343" t="s">
        <v>307</v>
      </c>
      <c r="E24" s="344">
        <v>3456</v>
      </c>
      <c r="F24" s="344"/>
      <c r="G24" s="345"/>
      <c r="H24" s="344">
        <v>2915.2</v>
      </c>
      <c r="I24" s="344"/>
      <c r="J24" s="345"/>
      <c r="K24" s="344">
        <v>2915.2</v>
      </c>
      <c r="L24" s="344"/>
      <c r="M24" s="346"/>
      <c r="N24" s="297"/>
      <c r="P24" s="65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8"/>
    </row>
    <row r="25" spans="1:256" s="341" customFormat="1" ht="19.899999999999999" customHeight="1" x14ac:dyDescent="0.2">
      <c r="B25" s="299"/>
      <c r="C25" s="342"/>
      <c r="D25" s="343" t="s">
        <v>308</v>
      </c>
      <c r="E25" s="344">
        <v>1577.18</v>
      </c>
      <c r="F25" s="344"/>
      <c r="G25" s="345"/>
      <c r="H25" s="344">
        <v>3259.57</v>
      </c>
      <c r="I25" s="344"/>
      <c r="J25" s="345"/>
      <c r="K25" s="344">
        <v>4074.47</v>
      </c>
      <c r="L25" s="344"/>
      <c r="M25" s="346"/>
      <c r="N25" s="297"/>
      <c r="P25" s="65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8"/>
    </row>
    <row r="26" spans="1:256" s="341" customFormat="1" ht="19.899999999999999" customHeight="1" x14ac:dyDescent="0.2">
      <c r="B26" s="299"/>
      <c r="C26" s="342"/>
      <c r="D26" s="343" t="s">
        <v>309</v>
      </c>
      <c r="E26" s="344">
        <v>14533.2</v>
      </c>
      <c r="F26" s="344"/>
      <c r="G26" s="345"/>
      <c r="H26" s="344">
        <v>17947.2</v>
      </c>
      <c r="I26" s="344"/>
      <c r="J26" s="345"/>
      <c r="K26" s="344">
        <v>18306.14</v>
      </c>
      <c r="L26" s="344"/>
      <c r="M26" s="346"/>
      <c r="N26" s="297"/>
      <c r="P26" s="65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8"/>
    </row>
    <row r="27" spans="1:256" s="320" customFormat="1" ht="19.899999999999999" customHeight="1" x14ac:dyDescent="0.25">
      <c r="B27" s="321"/>
      <c r="C27" s="347"/>
      <c r="D27" s="348" t="s">
        <v>310</v>
      </c>
      <c r="E27" s="349">
        <f>SUM(E28:E31)</f>
        <v>0</v>
      </c>
      <c r="F27" s="349">
        <f>SUM(F28:F31)</f>
        <v>0</v>
      </c>
      <c r="G27" s="350"/>
      <c r="H27" s="349">
        <f>SUM(H28:H31)</f>
        <v>0</v>
      </c>
      <c r="I27" s="349">
        <f>SUM(I28:I31)</f>
        <v>0</v>
      </c>
      <c r="J27" s="350"/>
      <c r="K27" s="349">
        <f>SUM(K28:K31)</f>
        <v>0</v>
      </c>
      <c r="L27" s="349">
        <f>SUM(L28:L31)</f>
        <v>0</v>
      </c>
      <c r="M27" s="351"/>
      <c r="N27" s="332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3"/>
    </row>
    <row r="28" spans="1:256" s="341" customFormat="1" ht="19.899999999999999" customHeight="1" x14ac:dyDescent="0.2">
      <c r="B28" s="299"/>
      <c r="C28" s="342"/>
      <c r="D28" s="343"/>
      <c r="E28" s="344"/>
      <c r="F28" s="344"/>
      <c r="G28" s="345"/>
      <c r="H28" s="344"/>
      <c r="I28" s="344"/>
      <c r="J28" s="345"/>
      <c r="K28" s="344"/>
      <c r="L28" s="344"/>
      <c r="M28" s="346"/>
      <c r="N28" s="297"/>
      <c r="P28" s="65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8"/>
    </row>
    <row r="29" spans="1:256" s="341" customFormat="1" ht="19.899999999999999" customHeight="1" x14ac:dyDescent="0.2">
      <c r="B29" s="299"/>
      <c r="C29" s="342"/>
      <c r="D29" s="343"/>
      <c r="E29" s="344"/>
      <c r="F29" s="344"/>
      <c r="G29" s="345"/>
      <c r="H29" s="344"/>
      <c r="I29" s="344"/>
      <c r="J29" s="345"/>
      <c r="K29" s="344"/>
      <c r="L29" s="344"/>
      <c r="M29" s="346"/>
      <c r="N29" s="297"/>
      <c r="P29" s="65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8"/>
    </row>
    <row r="30" spans="1:256" s="341" customFormat="1" ht="19.899999999999999" customHeight="1" x14ac:dyDescent="0.2">
      <c r="B30" s="299"/>
      <c r="C30" s="342"/>
      <c r="D30" s="343"/>
      <c r="E30" s="344"/>
      <c r="F30" s="344"/>
      <c r="G30" s="345"/>
      <c r="H30" s="344"/>
      <c r="I30" s="344"/>
      <c r="J30" s="345"/>
      <c r="K30" s="344"/>
      <c r="L30" s="344"/>
      <c r="M30" s="346"/>
      <c r="N30" s="297"/>
      <c r="P30" s="65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8"/>
    </row>
    <row r="31" spans="1:256" ht="19.899999999999999" customHeight="1" x14ac:dyDescent="0.2">
      <c r="A31" s="341"/>
      <c r="B31" s="299"/>
      <c r="C31" s="352"/>
      <c r="D31" s="353"/>
      <c r="E31" s="354"/>
      <c r="F31" s="354"/>
      <c r="G31" s="355"/>
      <c r="H31" s="354"/>
      <c r="I31" s="354"/>
      <c r="J31" s="355"/>
      <c r="K31" s="354"/>
      <c r="L31" s="354"/>
      <c r="M31" s="356"/>
      <c r="N31" s="297"/>
      <c r="O31"/>
      <c r="P31" s="65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8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320" customFormat="1" ht="22.9" customHeight="1" x14ac:dyDescent="0.25">
      <c r="B32" s="321"/>
      <c r="C32" s="322" t="s">
        <v>311</v>
      </c>
      <c r="D32" s="323"/>
      <c r="E32" s="324">
        <f>+E33+E42</f>
        <v>7634768.2400000002</v>
      </c>
      <c r="F32" s="324">
        <f>+F33+F42</f>
        <v>18620.38</v>
      </c>
      <c r="G32" s="325"/>
      <c r="H32" s="324">
        <f>+H33+H42</f>
        <v>8724279.5299999993</v>
      </c>
      <c r="I32" s="324">
        <f>+I33+I42</f>
        <v>17000</v>
      </c>
      <c r="J32" s="325"/>
      <c r="K32" s="324">
        <f>+K33+K42</f>
        <v>9670641.1400000006</v>
      </c>
      <c r="L32" s="324">
        <f>+L33+L42</f>
        <v>17000</v>
      </c>
      <c r="M32" s="326"/>
      <c r="N32" s="297"/>
      <c r="P32" s="91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3"/>
    </row>
    <row r="33" spans="1:256" s="357" customFormat="1" ht="19.149999999999999" customHeight="1" x14ac:dyDescent="0.2">
      <c r="B33" s="358"/>
      <c r="C33" s="359" t="s">
        <v>312</v>
      </c>
      <c r="D33" s="360"/>
      <c r="E33" s="361">
        <f>E34+E38</f>
        <v>0</v>
      </c>
      <c r="F33" s="361">
        <f>F34+F38</f>
        <v>0</v>
      </c>
      <c r="G33" s="362"/>
      <c r="H33" s="361">
        <f>H34+H38</f>
        <v>0</v>
      </c>
      <c r="I33" s="361">
        <f>I34+I38</f>
        <v>0</v>
      </c>
      <c r="J33" s="362"/>
      <c r="K33" s="361">
        <f>K34+K38</f>
        <v>0</v>
      </c>
      <c r="L33" s="361">
        <f>L34+L38</f>
        <v>0</v>
      </c>
      <c r="M33" s="363"/>
      <c r="N33" s="364"/>
      <c r="P33" s="365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7"/>
    </row>
    <row r="34" spans="1:256" s="320" customFormat="1" ht="19.149999999999999" customHeight="1" x14ac:dyDescent="0.25">
      <c r="B34" s="321"/>
      <c r="C34" s="327"/>
      <c r="D34" s="328" t="s">
        <v>313</v>
      </c>
      <c r="E34" s="338">
        <f>SUM(E35:E37)</f>
        <v>0</v>
      </c>
      <c r="F34" s="338">
        <f>SUM(F35:F37)</f>
        <v>0</v>
      </c>
      <c r="G34" s="339"/>
      <c r="H34" s="338">
        <f>SUM(H35:H37)</f>
        <v>0</v>
      </c>
      <c r="I34" s="338">
        <f>SUM(I35:I37)</f>
        <v>0</v>
      </c>
      <c r="J34" s="339"/>
      <c r="K34" s="338">
        <f>SUM(K35:K37)</f>
        <v>0</v>
      </c>
      <c r="L34" s="338">
        <f>SUM(L35:L37)</f>
        <v>0</v>
      </c>
      <c r="M34" s="340"/>
      <c r="N34" s="332"/>
      <c r="P34" s="91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3"/>
    </row>
    <row r="35" spans="1:256" s="341" customFormat="1" ht="19.149999999999999" customHeight="1" x14ac:dyDescent="0.2">
      <c r="B35" s="299"/>
      <c r="C35" s="368"/>
      <c r="D35" s="369"/>
      <c r="E35" s="370"/>
      <c r="F35" s="370"/>
      <c r="G35" s="371"/>
      <c r="H35" s="370"/>
      <c r="I35" s="370"/>
      <c r="J35" s="371"/>
      <c r="K35" s="370"/>
      <c r="L35" s="370"/>
      <c r="M35" s="372"/>
      <c r="N35" s="297"/>
      <c r="P35" s="65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8"/>
    </row>
    <row r="36" spans="1:256" s="341" customFormat="1" ht="19.149999999999999" customHeight="1" x14ac:dyDescent="0.2">
      <c r="B36" s="299"/>
      <c r="C36" s="368"/>
      <c r="D36" s="369"/>
      <c r="E36" s="370"/>
      <c r="F36" s="370"/>
      <c r="G36" s="371"/>
      <c r="H36" s="370"/>
      <c r="I36" s="370"/>
      <c r="J36" s="371"/>
      <c r="K36" s="370"/>
      <c r="L36" s="370"/>
      <c r="M36" s="372"/>
      <c r="N36" s="297"/>
      <c r="P36" s="65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</row>
    <row r="37" spans="1:256" s="341" customFormat="1" ht="19.149999999999999" customHeight="1" x14ac:dyDescent="0.2">
      <c r="B37" s="299"/>
      <c r="C37" s="368"/>
      <c r="D37" s="369"/>
      <c r="E37" s="370"/>
      <c r="F37" s="370"/>
      <c r="G37" s="371"/>
      <c r="H37" s="370"/>
      <c r="I37" s="370"/>
      <c r="J37" s="371"/>
      <c r="K37" s="370"/>
      <c r="L37" s="370"/>
      <c r="M37" s="372"/>
      <c r="N37" s="297"/>
      <c r="P37" s="65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8"/>
    </row>
    <row r="38" spans="1:256" s="320" customFormat="1" ht="19.149999999999999" customHeight="1" x14ac:dyDescent="0.25">
      <c r="B38" s="321"/>
      <c r="C38" s="327"/>
      <c r="D38" s="328" t="s">
        <v>314</v>
      </c>
      <c r="E38" s="338">
        <f>SUM(E39:E41)</f>
        <v>0</v>
      </c>
      <c r="F38" s="338">
        <f>SUM(F39:F41)</f>
        <v>0</v>
      </c>
      <c r="G38" s="339"/>
      <c r="H38" s="338">
        <f>SUM(H39:H41)</f>
        <v>0</v>
      </c>
      <c r="I38" s="338">
        <f>SUM(I39:I41)</f>
        <v>0</v>
      </c>
      <c r="J38" s="339"/>
      <c r="K38" s="338">
        <f>SUM(K39:K41)</f>
        <v>0</v>
      </c>
      <c r="L38" s="338">
        <f>SUM(L39:L41)</f>
        <v>0</v>
      </c>
      <c r="M38" s="340"/>
      <c r="N38" s="332"/>
      <c r="P38" s="373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5"/>
    </row>
    <row r="39" spans="1:256" s="341" customFormat="1" ht="19.149999999999999" customHeight="1" x14ac:dyDescent="0.2">
      <c r="B39" s="299"/>
      <c r="C39" s="368"/>
      <c r="D39" s="369"/>
      <c r="E39" s="370"/>
      <c r="F39" s="370"/>
      <c r="G39" s="371"/>
      <c r="H39" s="370"/>
      <c r="I39" s="370"/>
      <c r="J39" s="371"/>
      <c r="K39" s="370"/>
      <c r="L39" s="370"/>
      <c r="M39" s="372"/>
      <c r="N39" s="297"/>
      <c r="P39" s="94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6"/>
    </row>
    <row r="40" spans="1:256" s="341" customFormat="1" ht="19.149999999999999" customHeight="1" x14ac:dyDescent="0.2">
      <c r="B40" s="299"/>
      <c r="C40" s="368"/>
      <c r="D40" s="369"/>
      <c r="E40" s="370"/>
      <c r="F40" s="370"/>
      <c r="G40" s="371"/>
      <c r="H40" s="370"/>
      <c r="I40" s="370"/>
      <c r="J40" s="371"/>
      <c r="K40" s="370"/>
      <c r="L40" s="370"/>
      <c r="M40" s="372"/>
      <c r="N40" s="297"/>
      <c r="P40" s="94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6"/>
    </row>
    <row r="41" spans="1:256" s="341" customFormat="1" ht="19.149999999999999" customHeight="1" x14ac:dyDescent="0.2">
      <c r="B41" s="299"/>
      <c r="C41" s="368"/>
      <c r="D41" s="369"/>
      <c r="E41" s="370"/>
      <c r="F41" s="370"/>
      <c r="G41" s="371"/>
      <c r="H41" s="370"/>
      <c r="I41" s="370"/>
      <c r="J41" s="371"/>
      <c r="K41" s="370"/>
      <c r="L41" s="370"/>
      <c r="M41" s="372"/>
      <c r="N41" s="297"/>
      <c r="P41" s="94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6"/>
    </row>
    <row r="42" spans="1:256" s="357" customFormat="1" ht="19.149999999999999" customHeight="1" x14ac:dyDescent="0.2">
      <c r="B42" s="358"/>
      <c r="C42" s="359" t="s">
        <v>315</v>
      </c>
      <c r="D42" s="360"/>
      <c r="E42" s="361">
        <f>+E43+E44</f>
        <v>7634768.2400000002</v>
      </c>
      <c r="F42" s="361">
        <f>+F43+F44</f>
        <v>18620.38</v>
      </c>
      <c r="G42" s="362"/>
      <c r="H42" s="361">
        <f>+H43+H44</f>
        <v>8724279.5299999993</v>
      </c>
      <c r="I42" s="361">
        <f>+I43+I44</f>
        <v>17000</v>
      </c>
      <c r="J42" s="362"/>
      <c r="K42" s="361">
        <f>+K43+K44</f>
        <v>9670641.1400000006</v>
      </c>
      <c r="L42" s="361">
        <f>+L43+L44</f>
        <v>17000</v>
      </c>
      <c r="M42" s="363"/>
      <c r="N42" s="364"/>
      <c r="P42" s="376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8"/>
    </row>
    <row r="43" spans="1:256" s="320" customFormat="1" ht="19.149999999999999" customHeight="1" x14ac:dyDescent="0.25">
      <c r="B43" s="321"/>
      <c r="C43" s="327"/>
      <c r="D43" s="328" t="s">
        <v>316</v>
      </c>
      <c r="E43" s="329">
        <f>7265383.95-21862.84-57961.11</f>
        <v>7185560</v>
      </c>
      <c r="F43" s="329"/>
      <c r="G43" s="330"/>
      <c r="H43" s="329">
        <f>8414254.58-85184.61</f>
        <v>8329069.9699999997</v>
      </c>
      <c r="I43" s="329"/>
      <c r="J43" s="330"/>
      <c r="K43" s="329">
        <f>9402406.16-128198.94</f>
        <v>9274207.2200000007</v>
      </c>
      <c r="L43" s="329"/>
      <c r="M43" s="331"/>
      <c r="N43" s="332"/>
      <c r="P43" s="373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5"/>
    </row>
    <row r="44" spans="1:256" ht="19.149999999999999" customHeight="1" x14ac:dyDescent="0.25">
      <c r="A44" s="320"/>
      <c r="B44" s="321"/>
      <c r="C44" s="379"/>
      <c r="D44" s="380" t="s">
        <v>317</v>
      </c>
      <c r="E44" s="381">
        <v>449208.24</v>
      </c>
      <c r="F44" s="381">
        <v>18620.38</v>
      </c>
      <c r="G44" s="382"/>
      <c r="H44" s="381">
        <v>395209.56</v>
      </c>
      <c r="I44" s="381">
        <v>17000</v>
      </c>
      <c r="J44" s="382"/>
      <c r="K44" s="381">
        <v>396433.91999999998</v>
      </c>
      <c r="L44" s="381">
        <v>17000</v>
      </c>
      <c r="M44" s="383"/>
      <c r="N44" s="332"/>
      <c r="O44"/>
      <c r="P44" s="373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5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5">
      <c r="A45" s="320"/>
      <c r="B45" s="321"/>
      <c r="C45" s="384" t="s">
        <v>318</v>
      </c>
      <c r="D45" s="385"/>
      <c r="E45" s="386">
        <f>E16+E19+E32</f>
        <v>7714592.1900000004</v>
      </c>
      <c r="F45" s="386">
        <f>F16+F19+F32</f>
        <v>18620.38</v>
      </c>
      <c r="G45" s="387"/>
      <c r="H45" s="386">
        <f>H16+H19+H32</f>
        <v>8809464.1399999987</v>
      </c>
      <c r="I45" s="386">
        <f>I16+I19+I32</f>
        <v>17000</v>
      </c>
      <c r="J45" s="387"/>
      <c r="K45" s="386">
        <f>K16+K19+K32</f>
        <v>9798840.0800000001</v>
      </c>
      <c r="L45" s="386">
        <f>L16+L19+L32</f>
        <v>17000</v>
      </c>
      <c r="M45" s="388"/>
      <c r="N45" s="297"/>
      <c r="O45"/>
      <c r="P45" s="94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6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41" customFormat="1" ht="22.9" customHeight="1" x14ac:dyDescent="0.2">
      <c r="B46" s="299"/>
      <c r="C46" s="108"/>
      <c r="D46" s="108"/>
      <c r="E46" s="389"/>
      <c r="F46" s="389"/>
      <c r="G46" s="389"/>
      <c r="H46" s="389"/>
      <c r="I46" s="389"/>
      <c r="J46" s="389"/>
      <c r="K46" s="389"/>
      <c r="L46" s="389"/>
      <c r="M46" s="389"/>
      <c r="N46" s="297"/>
      <c r="P46" s="94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6"/>
    </row>
    <row r="47" spans="1:256" s="307" customFormat="1" ht="22.9" customHeight="1" x14ac:dyDescent="0.2">
      <c r="B47" s="308"/>
      <c r="C47" s="309"/>
      <c r="D47" s="310"/>
      <c r="E47" s="390" t="s">
        <v>189</v>
      </c>
      <c r="F47" s="390" t="s">
        <v>190</v>
      </c>
      <c r="G47" s="390" t="s">
        <v>191</v>
      </c>
      <c r="H47" s="998" t="s">
        <v>148</v>
      </c>
      <c r="I47" s="998"/>
      <c r="J47" s="998"/>
      <c r="K47" s="998"/>
      <c r="L47" s="998"/>
      <c r="M47" s="998"/>
      <c r="N47" s="297"/>
      <c r="P47" s="94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</row>
    <row r="48" spans="1:256" s="315" customFormat="1" ht="22.9" customHeight="1" x14ac:dyDescent="0.2">
      <c r="B48" s="316"/>
      <c r="C48" s="317" t="s">
        <v>319</v>
      </c>
      <c r="D48" s="318"/>
      <c r="E48" s="391">
        <f>ejercicio-2</f>
        <v>2016</v>
      </c>
      <c r="F48" s="391">
        <f>ejercicio-1</f>
        <v>2017</v>
      </c>
      <c r="G48" s="391">
        <f>ejercicio</f>
        <v>2018</v>
      </c>
      <c r="H48" s="998"/>
      <c r="I48" s="998"/>
      <c r="J48" s="998"/>
      <c r="K48" s="998"/>
      <c r="L48" s="998"/>
      <c r="M48" s="998"/>
      <c r="N48" s="297"/>
      <c r="P48" s="94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6"/>
    </row>
    <row r="49" spans="2:29" s="341" customFormat="1" ht="22.9" customHeight="1" x14ac:dyDescent="0.2">
      <c r="B49" s="299"/>
      <c r="C49" s="384" t="s">
        <v>320</v>
      </c>
      <c r="D49" s="385"/>
      <c r="E49" s="386">
        <f>SUM(E50:E56)</f>
        <v>6214.59</v>
      </c>
      <c r="F49" s="386">
        <f>SUM(F50:F56)</f>
        <v>0</v>
      </c>
      <c r="G49" s="386">
        <f>SUM(G50:G56)</f>
        <v>0</v>
      </c>
      <c r="H49" s="392"/>
      <c r="I49" s="393"/>
      <c r="J49" s="393"/>
      <c r="K49" s="393"/>
      <c r="L49" s="393"/>
      <c r="M49" s="394"/>
      <c r="N49" s="297"/>
      <c r="P49" s="94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</row>
    <row r="50" spans="2:29" s="341" customFormat="1" ht="19.899999999999999" customHeight="1" x14ac:dyDescent="0.2">
      <c r="B50" s="299"/>
      <c r="C50" s="395" t="s">
        <v>321</v>
      </c>
      <c r="D50" s="396"/>
      <c r="E50" s="397">
        <v>2664.27</v>
      </c>
      <c r="F50" s="397"/>
      <c r="G50" s="397"/>
      <c r="H50" s="398"/>
      <c r="I50" s="399"/>
      <c r="J50" s="399"/>
      <c r="K50" s="399"/>
      <c r="L50" s="399"/>
      <c r="M50" s="400"/>
      <c r="N50" s="297"/>
      <c r="P50" s="94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</row>
    <row r="51" spans="2:29" s="341" customFormat="1" ht="19.899999999999999" customHeight="1" x14ac:dyDescent="0.2">
      <c r="B51" s="299"/>
      <c r="C51" s="342" t="s">
        <v>322</v>
      </c>
      <c r="D51" s="343"/>
      <c r="E51" s="401">
        <v>3550.32</v>
      </c>
      <c r="F51" s="401"/>
      <c r="G51" s="401"/>
      <c r="H51" s="402"/>
      <c r="I51" s="403"/>
      <c r="J51" s="403"/>
      <c r="K51" s="403"/>
      <c r="L51" s="403"/>
      <c r="M51" s="404"/>
      <c r="N51" s="297"/>
      <c r="P51" s="94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</row>
    <row r="52" spans="2:29" s="341" customFormat="1" ht="19.899999999999999" customHeight="1" x14ac:dyDescent="0.2">
      <c r="B52" s="299"/>
      <c r="C52" s="342"/>
      <c r="D52" s="343"/>
      <c r="E52" s="401"/>
      <c r="F52" s="401"/>
      <c r="G52" s="401"/>
      <c r="H52" s="402"/>
      <c r="I52" s="403"/>
      <c r="J52" s="403"/>
      <c r="K52" s="403"/>
      <c r="L52" s="403"/>
      <c r="M52" s="404"/>
      <c r="N52" s="297"/>
      <c r="P52" s="94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6"/>
    </row>
    <row r="53" spans="2:29" s="341" customFormat="1" ht="19.899999999999999" customHeight="1" x14ac:dyDescent="0.2">
      <c r="B53" s="299"/>
      <c r="C53" s="342"/>
      <c r="D53" s="343"/>
      <c r="E53" s="401"/>
      <c r="F53" s="401"/>
      <c r="G53" s="401"/>
      <c r="H53" s="402"/>
      <c r="I53" s="403"/>
      <c r="J53" s="403"/>
      <c r="K53" s="403"/>
      <c r="L53" s="403"/>
      <c r="M53" s="404"/>
      <c r="N53" s="297"/>
      <c r="P53" s="94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6"/>
    </row>
    <row r="54" spans="2:29" s="341" customFormat="1" ht="19.899999999999999" customHeight="1" x14ac:dyDescent="0.2">
      <c r="B54" s="299"/>
      <c r="C54" s="342"/>
      <c r="D54" s="343"/>
      <c r="E54" s="401"/>
      <c r="F54" s="401"/>
      <c r="G54" s="401"/>
      <c r="H54" s="402"/>
      <c r="I54" s="403"/>
      <c r="J54" s="403"/>
      <c r="K54" s="403"/>
      <c r="L54" s="403"/>
      <c r="M54" s="404"/>
      <c r="N54" s="297"/>
      <c r="P54" s="94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6"/>
    </row>
    <row r="55" spans="2:29" s="341" customFormat="1" ht="19.899999999999999" customHeight="1" x14ac:dyDescent="0.2">
      <c r="B55" s="299"/>
      <c r="C55" s="342"/>
      <c r="D55" s="343"/>
      <c r="E55" s="401"/>
      <c r="F55" s="401"/>
      <c r="G55" s="401"/>
      <c r="H55" s="402"/>
      <c r="I55" s="403"/>
      <c r="J55" s="403"/>
      <c r="K55" s="403"/>
      <c r="L55" s="403"/>
      <c r="M55" s="404"/>
      <c r="N55" s="297"/>
      <c r="P55" s="94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6"/>
    </row>
    <row r="56" spans="2:29" s="341" customFormat="1" ht="19.899999999999999" customHeight="1" x14ac:dyDescent="0.2">
      <c r="B56" s="299"/>
      <c r="C56" s="352"/>
      <c r="D56" s="353"/>
      <c r="E56" s="405"/>
      <c r="F56" s="405"/>
      <c r="G56" s="405"/>
      <c r="H56" s="406"/>
      <c r="I56" s="407"/>
      <c r="J56" s="407"/>
      <c r="K56" s="407"/>
      <c r="L56" s="407"/>
      <c r="M56" s="408"/>
      <c r="N56" s="297"/>
      <c r="P56" s="94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6"/>
    </row>
    <row r="57" spans="2:29" s="341" customFormat="1" ht="22.9" customHeight="1" x14ac:dyDescent="0.2">
      <c r="B57" s="299"/>
      <c r="C57" s="384" t="s">
        <v>323</v>
      </c>
      <c r="D57" s="385"/>
      <c r="E57" s="386">
        <f>SUM(E58:E64)</f>
        <v>-65263.96</v>
      </c>
      <c r="F57" s="386">
        <f>SUM(F58:F64)</f>
        <v>0</v>
      </c>
      <c r="G57" s="386">
        <f>SUM(G58:G64)</f>
        <v>0</v>
      </c>
      <c r="H57" s="392"/>
      <c r="I57" s="393"/>
      <c r="J57" s="393"/>
      <c r="K57" s="393"/>
      <c r="L57" s="393"/>
      <c r="M57" s="394"/>
      <c r="N57" s="297"/>
      <c r="P57" s="94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</row>
    <row r="58" spans="2:29" s="341" customFormat="1" ht="19.899999999999999" customHeight="1" x14ac:dyDescent="0.2">
      <c r="B58" s="299"/>
      <c r="C58" s="395" t="s">
        <v>324</v>
      </c>
      <c r="D58" s="396"/>
      <c r="E58" s="397">
        <v>-62035.26</v>
      </c>
      <c r="F58" s="397"/>
      <c r="G58" s="397"/>
      <c r="H58" s="398"/>
      <c r="I58" s="399"/>
      <c r="J58" s="399"/>
      <c r="K58" s="399"/>
      <c r="L58" s="399"/>
      <c r="M58" s="400"/>
      <c r="N58" s="297"/>
      <c r="P58" s="94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6"/>
    </row>
    <row r="59" spans="2:29" s="341" customFormat="1" ht="19.899999999999999" customHeight="1" x14ac:dyDescent="0.2">
      <c r="B59" s="299"/>
      <c r="C59" s="342" t="s">
        <v>325</v>
      </c>
      <c r="D59" s="343"/>
      <c r="E59" s="401">
        <v>-3228.7</v>
      </c>
      <c r="F59" s="401"/>
      <c r="G59" s="401"/>
      <c r="H59" s="402"/>
      <c r="I59" s="403"/>
      <c r="J59" s="403"/>
      <c r="K59" s="403"/>
      <c r="L59" s="403"/>
      <c r="M59" s="404"/>
      <c r="N59" s="297"/>
      <c r="P59" s="94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6"/>
    </row>
    <row r="60" spans="2:29" s="341" customFormat="1" ht="19.899999999999999" customHeight="1" x14ac:dyDescent="0.2">
      <c r="B60" s="299"/>
      <c r="C60" s="342"/>
      <c r="D60" s="343"/>
      <c r="E60" s="401"/>
      <c r="F60" s="401"/>
      <c r="G60" s="401"/>
      <c r="H60" s="402"/>
      <c r="I60" s="403"/>
      <c r="J60" s="403"/>
      <c r="K60" s="403"/>
      <c r="L60" s="403"/>
      <c r="M60" s="404"/>
      <c r="N60" s="297"/>
      <c r="P60" s="94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6"/>
    </row>
    <row r="61" spans="2:29" s="341" customFormat="1" ht="19.899999999999999" customHeight="1" x14ac:dyDescent="0.2">
      <c r="B61" s="299"/>
      <c r="C61" s="342"/>
      <c r="D61" s="343"/>
      <c r="E61" s="401"/>
      <c r="F61" s="401"/>
      <c r="G61" s="401"/>
      <c r="H61" s="402"/>
      <c r="I61" s="403"/>
      <c r="J61" s="403"/>
      <c r="K61" s="403"/>
      <c r="L61" s="403"/>
      <c r="M61" s="404"/>
      <c r="N61" s="297"/>
      <c r="P61" s="94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6"/>
    </row>
    <row r="62" spans="2:29" s="341" customFormat="1" ht="19.899999999999999" customHeight="1" x14ac:dyDescent="0.2">
      <c r="B62" s="299"/>
      <c r="C62" s="342"/>
      <c r="D62" s="343"/>
      <c r="E62" s="401"/>
      <c r="F62" s="401"/>
      <c r="G62" s="401"/>
      <c r="H62" s="402"/>
      <c r="I62" s="403"/>
      <c r="J62" s="403"/>
      <c r="K62" s="403"/>
      <c r="L62" s="403"/>
      <c r="M62" s="404"/>
      <c r="N62" s="297"/>
      <c r="P62" s="94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6"/>
    </row>
    <row r="63" spans="2:29" s="341" customFormat="1" ht="19.899999999999999" customHeight="1" x14ac:dyDescent="0.2">
      <c r="B63" s="299"/>
      <c r="C63" s="342"/>
      <c r="D63" s="343"/>
      <c r="E63" s="401"/>
      <c r="F63" s="401"/>
      <c r="G63" s="401"/>
      <c r="H63" s="402"/>
      <c r="I63" s="403"/>
      <c r="J63" s="403"/>
      <c r="K63" s="403"/>
      <c r="L63" s="403"/>
      <c r="M63" s="404"/>
      <c r="N63" s="297"/>
      <c r="P63" s="94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6"/>
    </row>
    <row r="64" spans="2:29" s="341" customFormat="1" ht="19.899999999999999" customHeight="1" x14ac:dyDescent="0.2">
      <c r="B64" s="299"/>
      <c r="C64" s="352"/>
      <c r="D64" s="353"/>
      <c r="E64" s="405"/>
      <c r="F64" s="405"/>
      <c r="G64" s="405"/>
      <c r="H64" s="406"/>
      <c r="I64" s="407"/>
      <c r="J64" s="407"/>
      <c r="K64" s="407"/>
      <c r="L64" s="407"/>
      <c r="M64" s="408"/>
      <c r="N64" s="297"/>
      <c r="P64" s="94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</row>
    <row r="65" spans="1:256" s="341" customFormat="1" ht="22.9" customHeight="1" x14ac:dyDescent="0.2">
      <c r="B65" s="299"/>
      <c r="C65" s="108"/>
      <c r="D65" s="108"/>
      <c r="E65" s="389"/>
      <c r="F65" s="389"/>
      <c r="G65" s="389"/>
      <c r="H65" s="389"/>
      <c r="I65" s="389"/>
      <c r="J65" s="389"/>
      <c r="K65" s="389"/>
      <c r="L65" s="389"/>
      <c r="M65" s="389"/>
      <c r="N65" s="297"/>
      <c r="P65" s="94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</row>
    <row r="66" spans="1:256" ht="22.9" customHeight="1" x14ac:dyDescent="0.2">
      <c r="A66" s="341"/>
      <c r="B66" s="299"/>
      <c r="C66" s="309"/>
      <c r="D66" s="310"/>
      <c r="E66" s="390" t="s">
        <v>189</v>
      </c>
      <c r="F66" s="390" t="s">
        <v>190</v>
      </c>
      <c r="G66" s="390" t="s">
        <v>191</v>
      </c>
      <c r="H66" s="998" t="s">
        <v>148</v>
      </c>
      <c r="I66" s="998"/>
      <c r="J66" s="998"/>
      <c r="K66" s="998"/>
      <c r="L66" s="998"/>
      <c r="M66" s="998"/>
      <c r="N66" s="297"/>
      <c r="O66"/>
      <c r="P66" s="94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2.9" customHeight="1" x14ac:dyDescent="0.2">
      <c r="A67" s="341"/>
      <c r="B67" s="299"/>
      <c r="C67" s="317" t="s">
        <v>326</v>
      </c>
      <c r="D67" s="318"/>
      <c r="E67" s="391">
        <f>ejercicio-2</f>
        <v>2016</v>
      </c>
      <c r="F67" s="391">
        <f>ejercicio-1</f>
        <v>2017</v>
      </c>
      <c r="G67" s="391">
        <f>ejercicio</f>
        <v>2018</v>
      </c>
      <c r="H67" s="998"/>
      <c r="I67" s="998"/>
      <c r="J67" s="998"/>
      <c r="K67" s="998"/>
      <c r="L67" s="998"/>
      <c r="M67" s="998"/>
      <c r="N67" s="297"/>
      <c r="O67"/>
      <c r="P67" s="94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2.9" customHeight="1" x14ac:dyDescent="0.2">
      <c r="A68" s="341"/>
      <c r="B68" s="299"/>
      <c r="C68" s="409" t="s">
        <v>327</v>
      </c>
      <c r="D68" s="410"/>
      <c r="E68" s="370">
        <v>60.22</v>
      </c>
      <c r="F68" s="370">
        <v>82.38</v>
      </c>
      <c r="G68" s="411">
        <v>82.38</v>
      </c>
      <c r="H68" s="412"/>
      <c r="I68" s="413"/>
      <c r="J68" s="413"/>
      <c r="K68" s="413"/>
      <c r="L68" s="413"/>
      <c r="M68" s="414"/>
      <c r="N68" s="297"/>
      <c r="O68"/>
      <c r="P68" s="94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2.9" customHeight="1" x14ac:dyDescent="0.2">
      <c r="A69" s="341"/>
      <c r="B69" s="299"/>
      <c r="C69" s="415" t="s">
        <v>328</v>
      </c>
      <c r="D69" s="416"/>
      <c r="E69" s="354">
        <v>122.11</v>
      </c>
      <c r="F69" s="354">
        <v>60.22</v>
      </c>
      <c r="G69" s="405">
        <v>82.38</v>
      </c>
      <c r="H69" s="406"/>
      <c r="I69" s="407"/>
      <c r="J69" s="407"/>
      <c r="K69" s="407"/>
      <c r="L69" s="407"/>
      <c r="M69" s="408"/>
      <c r="N69" s="297"/>
      <c r="O69"/>
      <c r="P69" s="94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2.9" customHeight="1" x14ac:dyDescent="0.2">
      <c r="A70" s="341"/>
      <c r="B70" s="299"/>
      <c r="C70" s="108"/>
      <c r="D70" s="108"/>
      <c r="E70" s="389"/>
      <c r="F70" s="389"/>
      <c r="G70" s="389"/>
      <c r="H70" s="389"/>
      <c r="I70" s="389"/>
      <c r="J70" s="389"/>
      <c r="K70" s="389"/>
      <c r="L70" s="389"/>
      <c r="M70" s="389"/>
      <c r="N70" s="297"/>
      <c r="O70"/>
      <c r="P70" s="94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2.9" customHeight="1" x14ac:dyDescent="0.2">
      <c r="A71" s="341"/>
      <c r="B71" s="299"/>
      <c r="C71" s="309"/>
      <c r="D71" s="310"/>
      <c r="E71" s="390" t="s">
        <v>189</v>
      </c>
      <c r="F71" s="390" t="s">
        <v>190</v>
      </c>
      <c r="G71" s="390" t="s">
        <v>191</v>
      </c>
      <c r="H71" s="998" t="s">
        <v>148</v>
      </c>
      <c r="I71" s="998"/>
      <c r="J71" s="998"/>
      <c r="K71" s="998"/>
      <c r="L71" s="998"/>
      <c r="M71" s="998"/>
      <c r="N71" s="297"/>
      <c r="O71"/>
      <c r="P71" s="94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6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2.9" customHeight="1" x14ac:dyDescent="0.2">
      <c r="A72" s="341"/>
      <c r="B72" s="299"/>
      <c r="C72" s="317" t="s">
        <v>329</v>
      </c>
      <c r="D72" s="318"/>
      <c r="E72" s="391">
        <f>ejercicio-2</f>
        <v>2016</v>
      </c>
      <c r="F72" s="391">
        <f>ejercicio-1</f>
        <v>2017</v>
      </c>
      <c r="G72" s="391">
        <f>ejercicio</f>
        <v>2018</v>
      </c>
      <c r="H72" s="998"/>
      <c r="I72" s="998"/>
      <c r="J72" s="998"/>
      <c r="K72" s="998"/>
      <c r="L72" s="998"/>
      <c r="M72" s="998"/>
      <c r="N72" s="297"/>
      <c r="O72"/>
      <c r="P72" s="94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6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2.9" customHeight="1" x14ac:dyDescent="0.2">
      <c r="A73" s="341"/>
      <c r="B73" s="299"/>
      <c r="C73" s="322" t="s">
        <v>330</v>
      </c>
      <c r="D73" s="323"/>
      <c r="E73" s="324">
        <f>SUM(E74:E76)</f>
        <v>18658.95</v>
      </c>
      <c r="F73" s="324">
        <f>SUM(F74:F76)</f>
        <v>20875.439999999999</v>
      </c>
      <c r="G73" s="324">
        <f>SUM(G74:G76)</f>
        <v>21129.35</v>
      </c>
      <c r="H73" s="417"/>
      <c r="I73" s="418"/>
      <c r="J73" s="418"/>
      <c r="K73" s="418"/>
      <c r="L73" s="418"/>
      <c r="M73" s="419"/>
      <c r="N73" s="297"/>
      <c r="O73"/>
      <c r="P73" s="94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6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2.9" customHeight="1" x14ac:dyDescent="0.2">
      <c r="A74" s="341"/>
      <c r="B74" s="299"/>
      <c r="C74" s="420" t="s">
        <v>331</v>
      </c>
      <c r="D74" s="421"/>
      <c r="E74" s="422"/>
      <c r="F74" s="422"/>
      <c r="G74" s="422"/>
      <c r="H74" s="423"/>
      <c r="I74" s="424"/>
      <c r="J74" s="424"/>
      <c r="K74" s="424"/>
      <c r="L74" s="424"/>
      <c r="M74" s="425"/>
      <c r="N74" s="297"/>
      <c r="O74"/>
      <c r="P74" s="94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6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2.9" customHeight="1" x14ac:dyDescent="0.2">
      <c r="A75" s="341"/>
      <c r="B75" s="299"/>
      <c r="C75" s="426" t="s">
        <v>332</v>
      </c>
      <c r="D75" s="427"/>
      <c r="E75" s="344"/>
      <c r="F75" s="344"/>
      <c r="G75" s="344"/>
      <c r="H75" s="402"/>
      <c r="I75" s="403"/>
      <c r="J75" s="403"/>
      <c r="K75" s="403"/>
      <c r="L75" s="403"/>
      <c r="M75" s="404"/>
      <c r="N75" s="297"/>
      <c r="O75"/>
      <c r="P75" s="94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6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2.9" customHeight="1" x14ac:dyDescent="0.2">
      <c r="A76" s="341"/>
      <c r="B76" s="299"/>
      <c r="C76" s="428" t="s">
        <v>333</v>
      </c>
      <c r="D76" s="429"/>
      <c r="E76" s="430">
        <v>18658.95</v>
      </c>
      <c r="F76" s="430">
        <v>20875.439999999999</v>
      </c>
      <c r="G76" s="430">
        <v>21129.35</v>
      </c>
      <c r="H76" s="431"/>
      <c r="I76" s="432"/>
      <c r="J76" s="432"/>
      <c r="K76" s="432"/>
      <c r="L76" s="432"/>
      <c r="M76" s="433"/>
      <c r="N76" s="297"/>
      <c r="O76"/>
      <c r="P76" s="94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320" customFormat="1" ht="22.9" customHeight="1" x14ac:dyDescent="0.25">
      <c r="B77" s="321"/>
      <c r="C77" s="322" t="s">
        <v>334</v>
      </c>
      <c r="D77" s="323"/>
      <c r="E77" s="324">
        <f>SUM(E78:E83)</f>
        <v>0</v>
      </c>
      <c r="F77" s="324">
        <f>SUM(F78:F83)</f>
        <v>249000</v>
      </c>
      <c r="G77" s="324">
        <f>SUM(G78:G83)</f>
        <v>0</v>
      </c>
      <c r="H77" s="417"/>
      <c r="I77" s="418"/>
      <c r="J77" s="418"/>
      <c r="K77" s="418"/>
      <c r="L77" s="418"/>
      <c r="M77" s="419"/>
      <c r="N77" s="332"/>
      <c r="P77" s="94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6"/>
    </row>
    <row r="78" spans="1:256" s="341" customFormat="1" ht="22.9" customHeight="1" x14ac:dyDescent="0.2">
      <c r="B78" s="299"/>
      <c r="C78" s="420" t="s">
        <v>335</v>
      </c>
      <c r="D78" s="421"/>
      <c r="E78" s="434"/>
      <c r="F78" s="434"/>
      <c r="G78" s="434"/>
      <c r="H78" s="423"/>
      <c r="I78" s="424"/>
      <c r="J78" s="424"/>
      <c r="K78" s="424"/>
      <c r="L78" s="424"/>
      <c r="M78" s="425"/>
      <c r="N78" s="297"/>
      <c r="P78" s="94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6"/>
    </row>
    <row r="79" spans="1:256" s="341" customFormat="1" ht="22.9" customHeight="1" x14ac:dyDescent="0.2">
      <c r="B79" s="299"/>
      <c r="C79" s="426" t="s">
        <v>336</v>
      </c>
      <c r="D79" s="427"/>
      <c r="E79" s="401"/>
      <c r="F79" s="401"/>
      <c r="G79" s="401"/>
      <c r="H79" s="402"/>
      <c r="I79" s="403"/>
      <c r="J79" s="403"/>
      <c r="K79" s="403"/>
      <c r="L79" s="403"/>
      <c r="M79" s="404"/>
      <c r="N79" s="297"/>
      <c r="P79" s="94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6"/>
    </row>
    <row r="80" spans="1:256" s="341" customFormat="1" ht="22.9" customHeight="1" x14ac:dyDescent="0.2">
      <c r="B80" s="299"/>
      <c r="C80" s="426" t="s">
        <v>337</v>
      </c>
      <c r="D80" s="427"/>
      <c r="E80" s="401"/>
      <c r="F80" s="401"/>
      <c r="G80" s="401"/>
      <c r="H80" s="402"/>
      <c r="I80" s="403"/>
      <c r="J80" s="403"/>
      <c r="K80" s="403"/>
      <c r="L80" s="403"/>
      <c r="M80" s="404"/>
      <c r="N80" s="297"/>
      <c r="P80" s="94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6"/>
    </row>
    <row r="81" spans="1:29" s="341" customFormat="1" ht="22.9" customHeight="1" x14ac:dyDescent="0.2">
      <c r="B81" s="299"/>
      <c r="C81" s="426" t="s">
        <v>338</v>
      </c>
      <c r="D81" s="427"/>
      <c r="E81" s="401">
        <v>0</v>
      </c>
      <c r="F81" s="401">
        <v>249000</v>
      </c>
      <c r="G81" s="401">
        <v>0</v>
      </c>
      <c r="H81" s="402"/>
      <c r="I81" s="403"/>
      <c r="J81" s="403"/>
      <c r="K81" s="403"/>
      <c r="L81" s="403"/>
      <c r="M81" s="404"/>
      <c r="N81" s="297"/>
      <c r="P81" s="94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6"/>
    </row>
    <row r="82" spans="1:29" s="341" customFormat="1" ht="22.9" customHeight="1" x14ac:dyDescent="0.2">
      <c r="B82" s="299"/>
      <c r="C82" s="426" t="s">
        <v>339</v>
      </c>
      <c r="D82" s="427"/>
      <c r="E82" s="401"/>
      <c r="F82" s="401"/>
      <c r="G82" s="401"/>
      <c r="H82" s="402"/>
      <c r="I82" s="403"/>
      <c r="J82" s="403"/>
      <c r="K82" s="403"/>
      <c r="L82" s="403"/>
      <c r="M82" s="404"/>
      <c r="N82" s="297"/>
      <c r="P82" s="94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6"/>
    </row>
    <row r="83" spans="1:29" s="341" customFormat="1" ht="22.9" customHeight="1" x14ac:dyDescent="0.2">
      <c r="B83" s="299"/>
      <c r="C83" s="415" t="s">
        <v>340</v>
      </c>
      <c r="D83" s="416"/>
      <c r="E83" s="405"/>
      <c r="F83" s="405"/>
      <c r="G83" s="405"/>
      <c r="H83" s="406"/>
      <c r="I83" s="407"/>
      <c r="J83" s="407"/>
      <c r="K83" s="407"/>
      <c r="L83" s="407"/>
      <c r="M83" s="408"/>
      <c r="N83" s="297"/>
      <c r="P83" s="94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6"/>
    </row>
    <row r="84" spans="1:29" ht="22.9" customHeight="1" x14ac:dyDescent="0.2">
      <c r="A84" s="341"/>
      <c r="B84" s="299"/>
      <c r="C84" s="108"/>
      <c r="D84" s="108"/>
      <c r="E84" s="389"/>
      <c r="F84" s="389"/>
      <c r="G84" s="389"/>
      <c r="H84" s="389"/>
      <c r="I84" s="389"/>
      <c r="J84" s="389"/>
      <c r="K84" s="389"/>
      <c r="L84" s="389"/>
      <c r="M84" s="389"/>
      <c r="N84" s="297"/>
      <c r="P84" s="94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6"/>
    </row>
    <row r="85" spans="1:29" ht="22.9" customHeight="1" x14ac:dyDescent="0.2">
      <c r="A85" s="341"/>
      <c r="B85" s="299"/>
      <c r="C85" s="997" t="s">
        <v>341</v>
      </c>
      <c r="D85" s="997"/>
      <c r="E85" s="997"/>
      <c r="F85" s="435" t="s">
        <v>342</v>
      </c>
      <c r="G85" s="390" t="s">
        <v>191</v>
      </c>
      <c r="H85" s="998" t="s">
        <v>148</v>
      </c>
      <c r="I85" s="998"/>
      <c r="J85" s="998"/>
      <c r="K85" s="998"/>
      <c r="L85" s="998"/>
      <c r="M85" s="998"/>
      <c r="N85" s="297"/>
      <c r="P85" s="94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6"/>
    </row>
    <row r="86" spans="1:29" ht="43.15" customHeight="1" x14ac:dyDescent="0.2">
      <c r="A86" s="341"/>
      <c r="B86" s="299"/>
      <c r="C86" s="997"/>
      <c r="D86" s="997"/>
      <c r="E86" s="997"/>
      <c r="F86" s="436" t="s">
        <v>343</v>
      </c>
      <c r="G86" s="391">
        <f>ejercicio</f>
        <v>2018</v>
      </c>
      <c r="H86" s="998"/>
      <c r="I86" s="998"/>
      <c r="J86" s="998"/>
      <c r="K86" s="998"/>
      <c r="L86" s="998"/>
      <c r="M86" s="998"/>
      <c r="N86" s="297"/>
      <c r="P86" s="94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6"/>
    </row>
    <row r="87" spans="1:29" ht="22.9" customHeight="1" x14ac:dyDescent="0.2">
      <c r="A87" s="341"/>
      <c r="B87" s="299"/>
      <c r="C87" s="384" t="s">
        <v>344</v>
      </c>
      <c r="D87" s="437"/>
      <c r="E87" s="438"/>
      <c r="F87" s="386"/>
      <c r="G87" s="386">
        <f>SUM(G88:G90)</f>
        <v>0</v>
      </c>
      <c r="H87" s="392"/>
      <c r="I87" s="393"/>
      <c r="J87" s="393"/>
      <c r="K87" s="393"/>
      <c r="L87" s="393"/>
      <c r="M87" s="394"/>
      <c r="N87" s="297"/>
      <c r="P87" s="94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6"/>
    </row>
    <row r="88" spans="1:29" ht="22.9" customHeight="1" x14ac:dyDescent="0.2">
      <c r="A88" s="341"/>
      <c r="B88" s="299"/>
      <c r="C88" s="999" t="s">
        <v>345</v>
      </c>
      <c r="D88" s="999"/>
      <c r="E88" s="999"/>
      <c r="F88" s="439"/>
      <c r="G88" s="422"/>
      <c r="H88" s="423"/>
      <c r="I88" s="424"/>
      <c r="J88" s="424"/>
      <c r="K88" s="424"/>
      <c r="L88" s="424"/>
      <c r="M88" s="425"/>
      <c r="N88" s="297"/>
      <c r="P88" s="94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6"/>
    </row>
    <row r="89" spans="1:29" ht="22.9" customHeight="1" x14ac:dyDescent="0.2">
      <c r="A89" s="341"/>
      <c r="B89" s="299"/>
      <c r="C89" s="426" t="s">
        <v>346</v>
      </c>
      <c r="D89" s="440"/>
      <c r="E89" s="427"/>
      <c r="F89" s="439"/>
      <c r="G89" s="422"/>
      <c r="H89" s="423"/>
      <c r="I89" s="424"/>
      <c r="J89" s="424"/>
      <c r="K89" s="424"/>
      <c r="L89" s="424"/>
      <c r="M89" s="425"/>
      <c r="N89" s="297"/>
      <c r="P89" s="94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6"/>
    </row>
    <row r="90" spans="1:29" ht="22.9" customHeight="1" x14ac:dyDescent="0.2">
      <c r="A90" s="341"/>
      <c r="B90" s="299"/>
      <c r="C90" s="1000" t="s">
        <v>347</v>
      </c>
      <c r="D90" s="1000"/>
      <c r="E90" s="1000"/>
      <c r="F90" s="441"/>
      <c r="G90" s="344"/>
      <c r="H90" s="402"/>
      <c r="I90" s="403"/>
      <c r="J90" s="403"/>
      <c r="K90" s="403"/>
      <c r="L90" s="403"/>
      <c r="M90" s="404"/>
      <c r="N90" s="297"/>
      <c r="P90" s="94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</row>
    <row r="91" spans="1:29" ht="22.9" customHeight="1" x14ac:dyDescent="0.2">
      <c r="A91" s="341"/>
      <c r="B91" s="299"/>
      <c r="C91" s="108"/>
      <c r="D91" s="108"/>
      <c r="E91" s="442"/>
      <c r="F91" s="442"/>
      <c r="G91" s="442"/>
      <c r="H91" s="443"/>
      <c r="I91" s="443"/>
      <c r="J91" s="443"/>
      <c r="K91" s="443"/>
      <c r="L91" s="443"/>
      <c r="M91" s="443"/>
      <c r="N91" s="297"/>
      <c r="P91" s="94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/>
    </row>
    <row r="92" spans="1:29" ht="22.9" customHeight="1" x14ac:dyDescent="0.2">
      <c r="A92" s="341"/>
      <c r="B92" s="299"/>
      <c r="C92" s="444" t="s">
        <v>167</v>
      </c>
      <c r="D92" s="445"/>
      <c r="E92" s="389"/>
      <c r="F92" s="389"/>
      <c r="G92" s="389"/>
      <c r="H92" s="389"/>
      <c r="I92" s="389"/>
      <c r="J92" s="389"/>
      <c r="K92" s="389"/>
      <c r="L92" s="389"/>
      <c r="M92" s="389"/>
      <c r="N92" s="297"/>
      <c r="P92" s="94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6"/>
    </row>
    <row r="93" spans="1:29" ht="22.9" customHeight="1" x14ac:dyDescent="0.2">
      <c r="A93" s="341"/>
      <c r="B93" s="299"/>
      <c r="C93" s="445" t="s">
        <v>348</v>
      </c>
      <c r="D93" s="445"/>
      <c r="E93" s="446"/>
      <c r="F93" s="446"/>
      <c r="G93" s="446"/>
      <c r="H93" s="446"/>
      <c r="I93" s="446"/>
      <c r="J93" s="446"/>
      <c r="K93" s="446"/>
      <c r="L93" s="446"/>
      <c r="M93" s="446"/>
      <c r="N93" s="297"/>
      <c r="P93" s="94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6"/>
    </row>
    <row r="94" spans="1:29" ht="22.9" customHeight="1" x14ac:dyDescent="0.2">
      <c r="A94" s="341"/>
      <c r="B94" s="299"/>
      <c r="C94" s="445" t="s">
        <v>349</v>
      </c>
      <c r="D94" s="445"/>
      <c r="E94" s="446"/>
      <c r="F94" s="446"/>
      <c r="G94" s="446"/>
      <c r="H94" s="446"/>
      <c r="I94" s="446"/>
      <c r="J94" s="446"/>
      <c r="K94" s="446"/>
      <c r="L94" s="446"/>
      <c r="M94" s="446"/>
      <c r="N94" s="297"/>
      <c r="P94" s="94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6"/>
    </row>
    <row r="95" spans="1:29" ht="22.9" customHeight="1" x14ac:dyDescent="0.2">
      <c r="A95" s="341"/>
      <c r="B95" s="299"/>
      <c r="C95" s="445" t="s">
        <v>350</v>
      </c>
      <c r="D95" s="445"/>
      <c r="E95" s="446"/>
      <c r="F95" s="446"/>
      <c r="G95" s="446"/>
      <c r="H95" s="446"/>
      <c r="I95" s="446"/>
      <c r="J95" s="446"/>
      <c r="K95" s="446"/>
      <c r="L95" s="446"/>
      <c r="M95" s="446"/>
      <c r="N95" s="297"/>
      <c r="P95" s="94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6"/>
    </row>
    <row r="96" spans="1:29" ht="22.9" customHeight="1" x14ac:dyDescent="0.2">
      <c r="B96" s="447"/>
      <c r="C96" s="987"/>
      <c r="D96" s="987"/>
      <c r="E96" s="987"/>
      <c r="F96" s="987"/>
      <c r="G96" s="158"/>
      <c r="H96" s="158"/>
      <c r="I96" s="158"/>
      <c r="J96" s="158"/>
      <c r="K96" s="158"/>
      <c r="L96" s="158"/>
      <c r="M96" s="158"/>
      <c r="N96" s="448"/>
      <c r="P96" s="103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5"/>
    </row>
    <row r="97" spans="3:13" ht="22.9" customHeight="1" x14ac:dyDescent="0.2">
      <c r="C97" s="154"/>
      <c r="D97" s="154"/>
      <c r="E97" s="295"/>
      <c r="F97" s="295"/>
      <c r="G97" s="295"/>
      <c r="H97" s="295"/>
      <c r="I97" s="295"/>
      <c r="J97" s="295"/>
      <c r="K97" s="295"/>
      <c r="L97" s="295"/>
      <c r="M97" s="295"/>
    </row>
    <row r="98" spans="3:13" ht="15" x14ac:dyDescent="0.2">
      <c r="C98" s="154" t="s">
        <v>55</v>
      </c>
      <c r="D98" s="154"/>
      <c r="E98" s="295"/>
      <c r="F98" s="295"/>
      <c r="G98" s="295"/>
      <c r="H98" s="295"/>
      <c r="I98" s="295"/>
      <c r="J98" s="295"/>
      <c r="K98" s="295"/>
      <c r="L98" s="295"/>
      <c r="M98" s="161" t="s">
        <v>17</v>
      </c>
    </row>
    <row r="99" spans="3:13" ht="15" x14ac:dyDescent="0.2">
      <c r="C99" s="449" t="s">
        <v>57</v>
      </c>
      <c r="D99" s="154"/>
      <c r="E99" s="295"/>
      <c r="F99" s="295"/>
      <c r="G99" s="295"/>
      <c r="H99" s="295"/>
      <c r="I99" s="295"/>
      <c r="J99" s="295"/>
      <c r="K99" s="295"/>
      <c r="L99" s="295"/>
      <c r="M99" s="295"/>
    </row>
    <row r="100" spans="3:13" ht="15" x14ac:dyDescent="0.2">
      <c r="C100" s="449" t="s">
        <v>58</v>
      </c>
      <c r="D100" s="154"/>
      <c r="E100" s="295"/>
      <c r="F100" s="295"/>
      <c r="G100" s="295"/>
      <c r="H100" s="295"/>
      <c r="I100" s="295"/>
      <c r="J100" s="295"/>
      <c r="K100" s="295"/>
      <c r="L100" s="295"/>
      <c r="M100" s="295"/>
    </row>
    <row r="101" spans="3:13" ht="15" x14ac:dyDescent="0.2">
      <c r="C101" s="449" t="s">
        <v>59</v>
      </c>
      <c r="D101" s="154"/>
      <c r="E101" s="295"/>
      <c r="F101" s="295"/>
      <c r="G101" s="295"/>
      <c r="H101" s="295"/>
      <c r="I101" s="295"/>
      <c r="J101" s="295"/>
      <c r="K101" s="295"/>
      <c r="L101" s="295"/>
      <c r="M101" s="295"/>
    </row>
    <row r="102" spans="3:13" ht="15" x14ac:dyDescent="0.2">
      <c r="C102" s="449" t="s">
        <v>60</v>
      </c>
      <c r="D102" s="154"/>
      <c r="E102" s="295"/>
      <c r="F102" s="295"/>
      <c r="G102" s="295"/>
      <c r="H102" s="295"/>
      <c r="I102" s="295"/>
      <c r="J102" s="295"/>
      <c r="K102" s="295"/>
      <c r="L102" s="295"/>
      <c r="M102" s="295"/>
    </row>
  </sheetData>
  <sheetProtection password="E059" sheet="1" insertRows="0"/>
  <mergeCells count="11">
    <mergeCell ref="H71:M72"/>
    <mergeCell ref="M6:M7"/>
    <mergeCell ref="D9:M9"/>
    <mergeCell ref="C12:D12"/>
    <mergeCell ref="H47:M48"/>
    <mergeCell ref="H66:M67"/>
    <mergeCell ref="C85:E86"/>
    <mergeCell ref="H85:M86"/>
    <mergeCell ref="C88:E88"/>
    <mergeCell ref="C90:E90"/>
    <mergeCell ref="C96:F96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0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2"/>
  <sheetViews>
    <sheetView zoomScale="70" zoomScaleNormal="70" workbookViewId="0">
      <selection activeCell="D35" sqref="D35"/>
    </sheetView>
  </sheetViews>
  <sheetFormatPr baseColWidth="10" defaultColWidth="11.44140625" defaultRowHeight="22.9" customHeight="1" x14ac:dyDescent="0.2"/>
  <cols>
    <col min="1" max="2" width="3.21875" style="2" customWidth="1"/>
    <col min="3" max="3" width="14.21875" style="2" customWidth="1"/>
    <col min="4" max="4" width="81.5546875" style="2" customWidth="1"/>
    <col min="5" max="7" width="19.21875" style="2" customWidth="1"/>
    <col min="8" max="8" width="3.21875" style="2" customWidth="1"/>
    <col min="9" max="16384" width="11.44140625" style="2"/>
  </cols>
  <sheetData>
    <row r="1" spans="1:256" ht="22.9" customHeight="1" x14ac:dyDescent="0.2">
      <c r="A1"/>
      <c r="B1"/>
      <c r="C1"/>
      <c r="D1" s="2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5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5" t="s">
        <v>1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224"/>
      <c r="C5" s="225"/>
      <c r="D5" s="225"/>
      <c r="E5" s="225"/>
      <c r="F5" s="225"/>
      <c r="G5" s="225"/>
      <c r="H5" s="226"/>
      <c r="I5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227"/>
      <c r="C6" s="10" t="s">
        <v>2</v>
      </c>
      <c r="D6" s="27"/>
      <c r="E6" s="27"/>
      <c r="F6" s="27"/>
      <c r="G6" s="981">
        <f>ejercicio</f>
        <v>2018</v>
      </c>
      <c r="H6" s="228"/>
      <c r="I6"/>
      <c r="J6" s="65"/>
      <c r="K6" s="66" t="s">
        <v>93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8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227"/>
      <c r="C7" s="10" t="s">
        <v>3</v>
      </c>
      <c r="D7" s="27"/>
      <c r="E7" s="27"/>
      <c r="F7" s="27"/>
      <c r="G7" s="981"/>
      <c r="H7" s="228"/>
      <c r="I7"/>
      <c r="J7" s="65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227"/>
      <c r="C8" s="229"/>
      <c r="D8" s="27"/>
      <c r="E8" s="27"/>
      <c r="F8" s="27"/>
      <c r="G8" s="230"/>
      <c r="H8" s="228"/>
      <c r="I8"/>
      <c r="J8" s="65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9"/>
      <c r="C9" s="34" t="s">
        <v>62</v>
      </c>
      <c r="D9" s="995" t="str">
        <f>Entidad</f>
        <v>BALSAS DE TENERIFE (BALTEN), EPEL</v>
      </c>
      <c r="E9" s="995"/>
      <c r="F9" s="995"/>
      <c r="G9" s="995"/>
      <c r="H9" s="11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</row>
    <row r="10" spans="1:256" ht="7.15" customHeight="1" x14ac:dyDescent="0.2">
      <c r="A10"/>
      <c r="B10" s="227"/>
      <c r="C10" s="27"/>
      <c r="D10" s="27"/>
      <c r="E10" s="27"/>
      <c r="F10" s="27"/>
      <c r="G10" s="27"/>
      <c r="H10" s="228"/>
      <c r="I10"/>
      <c r="J10" s="65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31" customFormat="1" ht="30" customHeight="1" x14ac:dyDescent="0.25">
      <c r="B11" s="36"/>
      <c r="C11" s="13" t="s">
        <v>351</v>
      </c>
      <c r="D11" s="13"/>
      <c r="E11" s="13"/>
      <c r="F11" s="13"/>
      <c r="G11" s="13"/>
      <c r="H11" s="232"/>
      <c r="J11" s="72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4"/>
    </row>
    <row r="12" spans="1:256" ht="30" customHeight="1" x14ac:dyDescent="0.25">
      <c r="A12" s="231"/>
      <c r="B12" s="36"/>
      <c r="C12" s="233"/>
      <c r="D12" s="233"/>
      <c r="E12" s="233"/>
      <c r="F12" s="233"/>
      <c r="G12" s="233"/>
      <c r="H12" s="232"/>
      <c r="I12"/>
      <c r="J12" s="72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4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227"/>
      <c r="C13" s="234"/>
      <c r="D13" s="235"/>
      <c r="E13" s="236" t="s">
        <v>189</v>
      </c>
      <c r="F13" s="237" t="s">
        <v>190</v>
      </c>
      <c r="G13" s="238" t="s">
        <v>191</v>
      </c>
      <c r="H13" s="228"/>
      <c r="I13"/>
      <c r="J13" s="6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8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35">
      <c r="A14"/>
      <c r="B14" s="227"/>
      <c r="C14" s="239" t="s">
        <v>352</v>
      </c>
      <c r="D14" s="240"/>
      <c r="E14" s="241">
        <f>ejercicio-2</f>
        <v>2016</v>
      </c>
      <c r="F14" s="242">
        <f>ejercicio-1</f>
        <v>2017</v>
      </c>
      <c r="G14" s="243">
        <f>ejercicio</f>
        <v>2018</v>
      </c>
      <c r="H14" s="228"/>
      <c r="I14"/>
      <c r="J14" s="65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5">
      <c r="A15"/>
      <c r="B15" s="227"/>
      <c r="C15" s="244"/>
      <c r="D15" s="245"/>
      <c r="E15" s="450"/>
      <c r="F15" s="451"/>
      <c r="G15" s="452"/>
      <c r="H15" s="228"/>
      <c r="I15"/>
      <c r="J15" s="65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5">
      <c r="A16"/>
      <c r="B16" s="227"/>
      <c r="C16" s="453" t="s">
        <v>353</v>
      </c>
      <c r="D16" s="454" t="s">
        <v>354</v>
      </c>
      <c r="E16" s="455">
        <f>E17+E26+E30+E33+E40+E47+E48</f>
        <v>42946439.369999997</v>
      </c>
      <c r="F16" s="456">
        <f>F17+F26+F30+F33+F40+F47+F48</f>
        <v>40873285.990000002</v>
      </c>
      <c r="G16" s="457">
        <f>G17+G26+G30+G33+G40+G47+G48</f>
        <v>38746559.240000002</v>
      </c>
      <c r="H16" s="228"/>
      <c r="I16"/>
      <c r="J16" s="65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5">
      <c r="A17"/>
      <c r="B17" s="227"/>
      <c r="C17" s="247" t="s">
        <v>355</v>
      </c>
      <c r="D17" s="248" t="s">
        <v>356</v>
      </c>
      <c r="E17" s="458">
        <f>SUM(E18:E25)</f>
        <v>72162.17</v>
      </c>
      <c r="F17" s="459">
        <f>SUM(F18:F25)</f>
        <v>79613.990000000005</v>
      </c>
      <c r="G17" s="460">
        <f>SUM(G18:G25)</f>
        <v>102486.88</v>
      </c>
      <c r="H17" s="228"/>
      <c r="I17"/>
      <c r="J17" s="65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8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">
      <c r="A18"/>
      <c r="B18" s="227"/>
      <c r="C18" s="250" t="s">
        <v>194</v>
      </c>
      <c r="D18" s="251" t="s">
        <v>357</v>
      </c>
      <c r="E18" s="461"/>
      <c r="F18" s="462"/>
      <c r="G18" s="463"/>
      <c r="H18" s="228"/>
      <c r="I18"/>
      <c r="J18" s="65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227"/>
      <c r="C19" s="253" t="s">
        <v>202</v>
      </c>
      <c r="D19" s="254" t="s">
        <v>358</v>
      </c>
      <c r="E19" s="464"/>
      <c r="F19" s="465"/>
      <c r="G19" s="466"/>
      <c r="H19" s="228"/>
      <c r="I19"/>
      <c r="J19" s="65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227"/>
      <c r="C20" s="253" t="s">
        <v>204</v>
      </c>
      <c r="D20" s="254" t="s">
        <v>359</v>
      </c>
      <c r="E20" s="464"/>
      <c r="F20" s="465"/>
      <c r="G20" s="466"/>
      <c r="H20" s="228"/>
      <c r="I20"/>
      <c r="J20" s="65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">
      <c r="A21"/>
      <c r="B21" s="227"/>
      <c r="C21" s="253" t="s">
        <v>206</v>
      </c>
      <c r="D21" s="254" t="s">
        <v>360</v>
      </c>
      <c r="E21" s="464"/>
      <c r="F21" s="465"/>
      <c r="G21" s="466"/>
      <c r="H21" s="228"/>
      <c r="I21"/>
      <c r="J21" s="65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8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">
      <c r="A22"/>
      <c r="B22" s="227"/>
      <c r="C22" s="253" t="s">
        <v>361</v>
      </c>
      <c r="D22" s="254" t="s">
        <v>362</v>
      </c>
      <c r="E22" s="464">
        <v>72162.17</v>
      </c>
      <c r="F22" s="465">
        <v>79613.990000000005</v>
      </c>
      <c r="G22" s="466">
        <v>102486.88</v>
      </c>
      <c r="H22" s="228"/>
      <c r="I22"/>
      <c r="J22" s="65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227"/>
      <c r="C23" s="253" t="s">
        <v>217</v>
      </c>
      <c r="D23" s="254" t="s">
        <v>363</v>
      </c>
      <c r="E23" s="464"/>
      <c r="F23" s="465"/>
      <c r="G23" s="466"/>
      <c r="H23" s="228"/>
      <c r="I23"/>
      <c r="J23" s="65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8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227"/>
      <c r="C24" s="253" t="s">
        <v>222</v>
      </c>
      <c r="D24" s="254" t="s">
        <v>364</v>
      </c>
      <c r="E24" s="464"/>
      <c r="F24" s="465"/>
      <c r="G24" s="466"/>
      <c r="H24" s="228"/>
      <c r="I24"/>
      <c r="J24" s="65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227"/>
      <c r="C25" s="253" t="s">
        <v>230</v>
      </c>
      <c r="D25" s="254" t="s">
        <v>365</v>
      </c>
      <c r="E25" s="464"/>
      <c r="F25" s="465"/>
      <c r="G25" s="466"/>
      <c r="H25" s="228"/>
      <c r="I25"/>
      <c r="J25" s="65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5">
      <c r="A26"/>
      <c r="B26" s="227"/>
      <c r="C26" s="247" t="s">
        <v>366</v>
      </c>
      <c r="D26" s="248" t="s">
        <v>367</v>
      </c>
      <c r="E26" s="458">
        <f>SUM(E27:E29)</f>
        <v>42255312.719999999</v>
      </c>
      <c r="F26" s="459">
        <f>SUM(F27:F29)</f>
        <v>40647005.640000001</v>
      </c>
      <c r="G26" s="460">
        <f>SUM(G27:G29)</f>
        <v>38497406</v>
      </c>
      <c r="H26" s="228"/>
      <c r="I26"/>
      <c r="J26" s="65"/>
      <c r="K26" s="467"/>
      <c r="L26" s="467"/>
      <c r="M26" s="467"/>
      <c r="N26" s="467"/>
      <c r="O26" s="67"/>
      <c r="P26" s="67"/>
      <c r="Q26" s="67"/>
      <c r="R26" s="67"/>
      <c r="S26" s="67"/>
      <c r="T26" s="67"/>
      <c r="U26" s="67"/>
      <c r="V26" s="67"/>
      <c r="W26" s="68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">
      <c r="A27"/>
      <c r="B27" s="227"/>
      <c r="C27" s="250" t="s">
        <v>194</v>
      </c>
      <c r="D27" s="251" t="s">
        <v>368</v>
      </c>
      <c r="E27" s="461">
        <v>17246380.899999999</v>
      </c>
      <c r="F27" s="462">
        <v>16995101.710000001</v>
      </c>
      <c r="G27" s="962">
        <f>16118201.2+150000</f>
        <v>16268201.199999999</v>
      </c>
      <c r="H27" s="228"/>
      <c r="I27"/>
      <c r="J27" s="65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">
      <c r="A28"/>
      <c r="B28" s="227"/>
      <c r="C28" s="253" t="s">
        <v>202</v>
      </c>
      <c r="D28" s="254" t="s">
        <v>369</v>
      </c>
      <c r="E28" s="464">
        <v>24950076.219999999</v>
      </c>
      <c r="F28" s="465">
        <f>39548042.52+1098963.12-16995101.71-58855.6</f>
        <v>23593048.329999998</v>
      </c>
      <c r="G28" s="466">
        <f>37160909.43+1126496.57-16118201.2-58855.6+60000</f>
        <v>22170349.199999999</v>
      </c>
      <c r="H28" s="228"/>
      <c r="I28"/>
      <c r="J28" s="65"/>
      <c r="K28" s="67"/>
      <c r="L28" s="467"/>
      <c r="M28" s="467"/>
      <c r="N28" s="467"/>
      <c r="O28" s="67"/>
      <c r="P28" s="67"/>
      <c r="Q28" s="67"/>
      <c r="R28" s="67"/>
      <c r="S28" s="67"/>
      <c r="T28" s="67"/>
      <c r="U28" s="67"/>
      <c r="V28" s="67"/>
      <c r="W28" s="6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227"/>
      <c r="C29" s="253" t="s">
        <v>204</v>
      </c>
      <c r="D29" s="254" t="s">
        <v>370</v>
      </c>
      <c r="E29" s="464">
        <v>58855.6</v>
      </c>
      <c r="F29" s="465">
        <v>58855.6</v>
      </c>
      <c r="G29" s="466">
        <v>58855.6</v>
      </c>
      <c r="H29" s="228"/>
      <c r="I29"/>
      <c r="J29" s="468"/>
      <c r="K29" s="4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5">
      <c r="A30"/>
      <c r="B30" s="227"/>
      <c r="C30" s="247" t="s">
        <v>371</v>
      </c>
      <c r="D30" s="248" t="s">
        <v>372</v>
      </c>
      <c r="E30" s="458">
        <f>SUM(E31:E32)</f>
        <v>0</v>
      </c>
      <c r="F30" s="459">
        <f>SUM(F31:F32)</f>
        <v>0</v>
      </c>
      <c r="G30" s="460">
        <f>SUM(G31:G32)</f>
        <v>0</v>
      </c>
      <c r="H30" s="228"/>
      <c r="I30"/>
      <c r="J30" s="9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3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">
      <c r="A31"/>
      <c r="B31" s="227"/>
      <c r="C31" s="250" t="s">
        <v>194</v>
      </c>
      <c r="D31" s="251" t="s">
        <v>373</v>
      </c>
      <c r="E31" s="461"/>
      <c r="F31" s="462"/>
      <c r="G31" s="463"/>
      <c r="H31" s="228"/>
      <c r="I31"/>
      <c r="J31" s="91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">
      <c r="A32"/>
      <c r="B32" s="227"/>
      <c r="C32" s="253" t="s">
        <v>202</v>
      </c>
      <c r="D32" s="254" t="s">
        <v>374</v>
      </c>
      <c r="E32" s="464"/>
      <c r="F32" s="465"/>
      <c r="G32" s="466"/>
      <c r="H32" s="228"/>
      <c r="I32"/>
      <c r="J32" s="65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5">
      <c r="A33"/>
      <c r="B33" s="227"/>
      <c r="C33" s="247" t="s">
        <v>375</v>
      </c>
      <c r="D33" s="248" t="s">
        <v>376</v>
      </c>
      <c r="E33" s="458">
        <f>SUM(E34:E39)</f>
        <v>72394.320000000007</v>
      </c>
      <c r="F33" s="459">
        <f>SUM(F34:F39)</f>
        <v>100082.20000000001</v>
      </c>
      <c r="G33" s="460">
        <f>SUM(G34:G39)</f>
        <v>100082.2</v>
      </c>
      <c r="H33" s="228"/>
      <c r="I33"/>
      <c r="J33" s="65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">
      <c r="A34"/>
      <c r="B34" s="227"/>
      <c r="C34" s="250" t="s">
        <v>194</v>
      </c>
      <c r="D34" s="251" t="s">
        <v>377</v>
      </c>
      <c r="E34" s="461">
        <v>72394.320000000007</v>
      </c>
      <c r="F34" s="462">
        <f>72394.32+27687.88</f>
        <v>100082.20000000001</v>
      </c>
      <c r="G34" s="463">
        <v>100082.2</v>
      </c>
      <c r="H34" s="228"/>
      <c r="I34"/>
      <c r="J34" s="65"/>
      <c r="K34" s="4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">
      <c r="A35"/>
      <c r="B35" s="227"/>
      <c r="C35" s="253" t="s">
        <v>202</v>
      </c>
      <c r="D35" s="254" t="s">
        <v>378</v>
      </c>
      <c r="E35" s="464"/>
      <c r="F35" s="465"/>
      <c r="G35" s="466"/>
      <c r="H35" s="228"/>
      <c r="I35"/>
      <c r="J35" s="65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">
      <c r="A36"/>
      <c r="B36" s="227"/>
      <c r="C36" s="253" t="s">
        <v>204</v>
      </c>
      <c r="D36" s="254" t="s">
        <v>379</v>
      </c>
      <c r="E36" s="464"/>
      <c r="F36" s="465"/>
      <c r="G36" s="466"/>
      <c r="H36" s="228"/>
      <c r="I36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">
      <c r="A37"/>
      <c r="B37" s="227"/>
      <c r="C37" s="253" t="s">
        <v>206</v>
      </c>
      <c r="D37" s="254" t="s">
        <v>380</v>
      </c>
      <c r="E37" s="464"/>
      <c r="F37" s="465"/>
      <c r="G37" s="466"/>
      <c r="H37" s="228"/>
      <c r="I37"/>
      <c r="J37" s="9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6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">
      <c r="A38"/>
      <c r="B38" s="227"/>
      <c r="C38" s="253" t="s">
        <v>361</v>
      </c>
      <c r="D38" s="254" t="s">
        <v>381</v>
      </c>
      <c r="E38" s="464"/>
      <c r="F38" s="465"/>
      <c r="G38" s="466"/>
      <c r="H38" s="228"/>
      <c r="I38"/>
      <c r="J38" s="94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">
      <c r="A39"/>
      <c r="B39" s="227"/>
      <c r="C39" s="253" t="s">
        <v>217</v>
      </c>
      <c r="D39" s="254" t="s">
        <v>382</v>
      </c>
      <c r="E39" s="464"/>
      <c r="F39" s="465"/>
      <c r="G39" s="466"/>
      <c r="H39" s="228"/>
      <c r="I39"/>
      <c r="J39" s="9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5">
      <c r="A40"/>
      <c r="B40" s="227"/>
      <c r="C40" s="247" t="s">
        <v>383</v>
      </c>
      <c r="D40" s="248" t="s">
        <v>384</v>
      </c>
      <c r="E40" s="458">
        <f>SUM(E41:E46)</f>
        <v>46570.16</v>
      </c>
      <c r="F40" s="459">
        <f>SUM(F41:F46)</f>
        <v>46584.160000000003</v>
      </c>
      <c r="G40" s="460">
        <f>SUM(G41:G46)</f>
        <v>46584.160000000003</v>
      </c>
      <c r="H40" s="228"/>
      <c r="I40"/>
      <c r="J40" s="94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">
      <c r="A41"/>
      <c r="B41" s="227"/>
      <c r="C41" s="250" t="s">
        <v>194</v>
      </c>
      <c r="D41" s="251" t="s">
        <v>377</v>
      </c>
      <c r="E41" s="461">
        <v>35584.160000000003</v>
      </c>
      <c r="F41" s="462">
        <v>35584.160000000003</v>
      </c>
      <c r="G41" s="463">
        <v>35584.160000000003</v>
      </c>
      <c r="H41" s="228"/>
      <c r="I41"/>
      <c r="J41" s="94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227"/>
      <c r="C42" s="253" t="s">
        <v>202</v>
      </c>
      <c r="D42" s="254" t="s">
        <v>385</v>
      </c>
      <c r="E42" s="464">
        <v>10986</v>
      </c>
      <c r="F42" s="465">
        <v>11000</v>
      </c>
      <c r="G42" s="466">
        <v>11000</v>
      </c>
      <c r="H42" s="228"/>
      <c r="I42"/>
      <c r="J42" s="94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">
      <c r="A43"/>
      <c r="B43" s="227"/>
      <c r="C43" s="253" t="s">
        <v>204</v>
      </c>
      <c r="D43" s="254" t="s">
        <v>379</v>
      </c>
      <c r="E43" s="464"/>
      <c r="F43" s="465"/>
      <c r="G43" s="466"/>
      <c r="H43" s="228"/>
      <c r="I43"/>
      <c r="J43" s="94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">
      <c r="A44"/>
      <c r="B44" s="227"/>
      <c r="C44" s="253" t="s">
        <v>206</v>
      </c>
      <c r="D44" s="254" t="s">
        <v>380</v>
      </c>
      <c r="E44" s="464"/>
      <c r="F44" s="465"/>
      <c r="G44" s="466"/>
      <c r="H44" s="228"/>
      <c r="I44"/>
      <c r="J44" s="94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6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/>
      <c r="B45" s="227"/>
      <c r="C45" s="253" t="s">
        <v>361</v>
      </c>
      <c r="D45" s="254" t="s">
        <v>381</v>
      </c>
      <c r="E45" s="464"/>
      <c r="F45" s="465"/>
      <c r="G45" s="466"/>
      <c r="H45" s="228"/>
      <c r="I45"/>
      <c r="J45" s="94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227"/>
      <c r="C46" s="253" t="s">
        <v>217</v>
      </c>
      <c r="D46" s="254" t="s">
        <v>382</v>
      </c>
      <c r="E46" s="464"/>
      <c r="F46" s="465"/>
      <c r="G46" s="466"/>
      <c r="H46" s="228"/>
      <c r="I46"/>
      <c r="J46" s="94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5">
      <c r="A47"/>
      <c r="B47" s="227"/>
      <c r="C47" s="247" t="s">
        <v>386</v>
      </c>
      <c r="D47" s="248" t="s">
        <v>387</v>
      </c>
      <c r="E47" s="469">
        <v>0</v>
      </c>
      <c r="F47" s="470">
        <v>0</v>
      </c>
      <c r="G47" s="471">
        <v>0</v>
      </c>
      <c r="H47" s="228"/>
      <c r="I47"/>
      <c r="J47" s="94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6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5">
      <c r="A48"/>
      <c r="B48" s="227"/>
      <c r="C48" s="247" t="s">
        <v>388</v>
      </c>
      <c r="D48" s="248" t="s">
        <v>389</v>
      </c>
      <c r="E48" s="469">
        <v>500000</v>
      </c>
      <c r="F48" s="470">
        <v>0</v>
      </c>
      <c r="G48" s="471">
        <v>0</v>
      </c>
      <c r="H48" s="228"/>
      <c r="I48"/>
      <c r="J48" s="94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6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">
      <c r="A49"/>
      <c r="B49" s="227"/>
      <c r="C49" s="278"/>
      <c r="D49" s="3"/>
      <c r="E49" s="450"/>
      <c r="F49" s="451"/>
      <c r="G49" s="452"/>
      <c r="H49" s="228"/>
      <c r="I49"/>
      <c r="J49" s="94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6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257" customFormat="1" ht="22.9" customHeight="1" x14ac:dyDescent="0.25">
      <c r="B50" s="36"/>
      <c r="C50" s="453" t="s">
        <v>287</v>
      </c>
      <c r="D50" s="454" t="s">
        <v>390</v>
      </c>
      <c r="E50" s="455">
        <f>E51+E52+E65+E75+E82+E89+E90</f>
        <v>7601873.7200000007</v>
      </c>
      <c r="F50" s="456">
        <f>F51+F52+F65+F75+F82+F89+F90</f>
        <v>3474445.66</v>
      </c>
      <c r="G50" s="457">
        <f>G51+G52+G65+G75+G82+G89+G90</f>
        <v>3074445.66</v>
      </c>
      <c r="H50" s="232"/>
      <c r="J50" s="94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6"/>
    </row>
    <row r="51" spans="1:256" ht="22.9" customHeight="1" x14ac:dyDescent="0.25">
      <c r="A51"/>
      <c r="B51" s="227"/>
      <c r="C51" s="247" t="s">
        <v>355</v>
      </c>
      <c r="D51" s="248" t="s">
        <v>391</v>
      </c>
      <c r="E51" s="469"/>
      <c r="F51" s="470"/>
      <c r="G51" s="471"/>
      <c r="H51" s="228"/>
      <c r="I51"/>
      <c r="J51" s="94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6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2.9" customHeight="1" x14ac:dyDescent="0.25">
      <c r="A52"/>
      <c r="B52" s="227"/>
      <c r="C52" s="247" t="s">
        <v>366</v>
      </c>
      <c r="D52" s="248" t="s">
        <v>392</v>
      </c>
      <c r="E52" s="458">
        <f>E53+E54+E57+E60+E63+E64</f>
        <v>506863.28</v>
      </c>
      <c r="F52" s="459">
        <f>F53+F54+F57+F60+F63+F64</f>
        <v>506863.28</v>
      </c>
      <c r="G52" s="460">
        <f>G53+G54+G57+G60+G63+G64</f>
        <v>506863.28</v>
      </c>
      <c r="H52" s="228"/>
      <c r="I52"/>
      <c r="J52" s="472"/>
      <c r="K52" s="473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6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2.9" customHeight="1" x14ac:dyDescent="0.2">
      <c r="A53"/>
      <c r="B53" s="227"/>
      <c r="C53" s="253" t="s">
        <v>194</v>
      </c>
      <c r="D53" s="254" t="s">
        <v>393</v>
      </c>
      <c r="E53" s="464">
        <v>466952.49</v>
      </c>
      <c r="F53" s="465">
        <v>466952.49</v>
      </c>
      <c r="G53" s="466">
        <v>466952.49</v>
      </c>
      <c r="H53" s="228"/>
      <c r="I53"/>
      <c r="J53" s="472"/>
      <c r="K53" s="473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6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2.9" customHeight="1" x14ac:dyDescent="0.2">
      <c r="A54"/>
      <c r="B54" s="227"/>
      <c r="C54" s="253" t="s">
        <v>202</v>
      </c>
      <c r="D54" s="254" t="s">
        <v>394</v>
      </c>
      <c r="E54" s="474">
        <f>E55+E56</f>
        <v>0</v>
      </c>
      <c r="F54" s="475">
        <f>F55+F56</f>
        <v>0</v>
      </c>
      <c r="G54" s="476">
        <f>G55+G56</f>
        <v>0</v>
      </c>
      <c r="H54" s="228"/>
      <c r="I54"/>
      <c r="J54" s="472"/>
      <c r="K54" s="473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2.9" customHeight="1" x14ac:dyDescent="0.2">
      <c r="A55"/>
      <c r="B55" s="227"/>
      <c r="C55" s="477" t="s">
        <v>196</v>
      </c>
      <c r="D55" s="478" t="s">
        <v>395</v>
      </c>
      <c r="E55" s="479"/>
      <c r="F55" s="480"/>
      <c r="G55" s="481"/>
      <c r="H55" s="228"/>
      <c r="I55"/>
      <c r="J55" s="472"/>
      <c r="K55" s="473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6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2.9" customHeight="1" x14ac:dyDescent="0.2">
      <c r="A56"/>
      <c r="B56" s="227"/>
      <c r="C56" s="477" t="s">
        <v>198</v>
      </c>
      <c r="D56" s="478" t="s">
        <v>396</v>
      </c>
      <c r="E56" s="479"/>
      <c r="F56" s="480"/>
      <c r="G56" s="481"/>
      <c r="H56" s="228"/>
      <c r="I56"/>
      <c r="J56" s="472"/>
      <c r="K56" s="473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2.9" customHeight="1" x14ac:dyDescent="0.2">
      <c r="A57"/>
      <c r="B57" s="227"/>
      <c r="C57" s="253" t="s">
        <v>204</v>
      </c>
      <c r="D57" s="254" t="s">
        <v>397</v>
      </c>
      <c r="E57" s="474">
        <f>E58+E59</f>
        <v>37121.71</v>
      </c>
      <c r="F57" s="475">
        <f>F58+F59</f>
        <v>37121.71</v>
      </c>
      <c r="G57" s="476">
        <f>G58+G59</f>
        <v>37121.71</v>
      </c>
      <c r="H57" s="228"/>
      <c r="I57"/>
      <c r="J57" s="472"/>
      <c r="K57" s="473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6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2.9" customHeight="1" x14ac:dyDescent="0.2">
      <c r="A58"/>
      <c r="B58" s="227"/>
      <c r="C58" s="477" t="s">
        <v>196</v>
      </c>
      <c r="D58" s="478" t="s">
        <v>398</v>
      </c>
      <c r="E58" s="479"/>
      <c r="F58" s="480"/>
      <c r="G58" s="481"/>
      <c r="H58" s="228"/>
      <c r="I58"/>
      <c r="J58" s="472"/>
      <c r="K58" s="473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6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2.9" customHeight="1" x14ac:dyDescent="0.2">
      <c r="A59"/>
      <c r="B59" s="227"/>
      <c r="C59" s="477" t="s">
        <v>198</v>
      </c>
      <c r="D59" s="478" t="s">
        <v>399</v>
      </c>
      <c r="E59" s="479">
        <v>37121.71</v>
      </c>
      <c r="F59" s="480">
        <v>37121.71</v>
      </c>
      <c r="G59" s="481">
        <v>37121.71</v>
      </c>
      <c r="H59" s="228"/>
      <c r="I59"/>
      <c r="J59" s="472"/>
      <c r="K59" s="473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6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2.9" customHeight="1" x14ac:dyDescent="0.2">
      <c r="A60"/>
      <c r="B60" s="227"/>
      <c r="C60" s="253" t="s">
        <v>206</v>
      </c>
      <c r="D60" s="254" t="s">
        <v>400</v>
      </c>
      <c r="E60" s="474">
        <f>E61+E62</f>
        <v>2789.08</v>
      </c>
      <c r="F60" s="475">
        <f>F61+F62</f>
        <v>2789.08</v>
      </c>
      <c r="G60" s="476">
        <f>G61+G62</f>
        <v>2789.08</v>
      </c>
      <c r="H60" s="228"/>
      <c r="I60"/>
      <c r="J60" s="472"/>
      <c r="K60" s="473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6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2.9" customHeight="1" x14ac:dyDescent="0.2">
      <c r="A61"/>
      <c r="B61" s="227"/>
      <c r="C61" s="477" t="s">
        <v>196</v>
      </c>
      <c r="D61" s="478" t="s">
        <v>398</v>
      </c>
      <c r="E61" s="479"/>
      <c r="F61" s="480"/>
      <c r="G61" s="481"/>
      <c r="H61" s="228"/>
      <c r="I61"/>
      <c r="J61" s="472"/>
      <c r="K61" s="473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6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2.9" customHeight="1" x14ac:dyDescent="0.2">
      <c r="A62"/>
      <c r="B62" s="227"/>
      <c r="C62" s="477" t="s">
        <v>198</v>
      </c>
      <c r="D62" s="478" t="s">
        <v>399</v>
      </c>
      <c r="E62" s="479">
        <v>2789.08</v>
      </c>
      <c r="F62" s="480">
        <v>2789.08</v>
      </c>
      <c r="G62" s="481">
        <v>2789.08</v>
      </c>
      <c r="H62" s="228"/>
      <c r="I62"/>
      <c r="J62" s="472"/>
      <c r="K62" s="473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6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2.9" customHeight="1" x14ac:dyDescent="0.2">
      <c r="A63"/>
      <c r="B63" s="227"/>
      <c r="C63" s="253" t="s">
        <v>361</v>
      </c>
      <c r="D63" s="254" t="s">
        <v>401</v>
      </c>
      <c r="E63" s="464"/>
      <c r="F63" s="465"/>
      <c r="G63" s="466"/>
      <c r="H63" s="228"/>
      <c r="I63"/>
      <c r="J63" s="472"/>
      <c r="K63" s="473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6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2.9" customHeight="1" x14ac:dyDescent="0.2">
      <c r="A64"/>
      <c r="B64" s="227"/>
      <c r="C64" s="253" t="s">
        <v>217</v>
      </c>
      <c r="D64" s="254" t="s">
        <v>402</v>
      </c>
      <c r="E64" s="464"/>
      <c r="F64" s="465"/>
      <c r="G64" s="466"/>
      <c r="H64" s="228"/>
      <c r="I64"/>
      <c r="J64" s="472"/>
      <c r="K64" s="473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6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2.9" customHeight="1" x14ac:dyDescent="0.25">
      <c r="A65"/>
      <c r="B65" s="227"/>
      <c r="C65" s="247" t="s">
        <v>371</v>
      </c>
      <c r="D65" s="248" t="s">
        <v>403</v>
      </c>
      <c r="E65" s="458">
        <f>E66+SUM(E69:E74)</f>
        <v>6214503.0899999999</v>
      </c>
      <c r="F65" s="459">
        <f>F66+SUM(F69:F74)</f>
        <v>2067582.38</v>
      </c>
      <c r="G65" s="460">
        <f>G66+SUM(G69:G74)</f>
        <v>1717582.38</v>
      </c>
      <c r="H65" s="228"/>
      <c r="I65"/>
      <c r="J65" s="94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6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2.9" customHeight="1" x14ac:dyDescent="0.2">
      <c r="A66"/>
      <c r="B66" s="227"/>
      <c r="C66" s="253" t="s">
        <v>194</v>
      </c>
      <c r="D66" s="254" t="s">
        <v>404</v>
      </c>
      <c r="E66" s="474">
        <f>E67+E68</f>
        <v>1235903.02</v>
      </c>
      <c r="F66" s="475">
        <f>F67+F68</f>
        <v>1450000</v>
      </c>
      <c r="G66" s="476">
        <f>G67+G68</f>
        <v>1600000</v>
      </c>
      <c r="H66" s="228"/>
      <c r="I66"/>
      <c r="J66" s="94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2.9" customHeight="1" x14ac:dyDescent="0.2">
      <c r="A67"/>
      <c r="B67" s="227"/>
      <c r="C67" s="477" t="s">
        <v>196</v>
      </c>
      <c r="D67" s="478" t="s">
        <v>405</v>
      </c>
      <c r="E67" s="479"/>
      <c r="F67" s="480"/>
      <c r="G67" s="481"/>
      <c r="H67" s="228"/>
      <c r="I67"/>
      <c r="J67" s="94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2.9" customHeight="1" x14ac:dyDescent="0.2">
      <c r="A68"/>
      <c r="B68" s="227"/>
      <c r="C68" s="477" t="s">
        <v>198</v>
      </c>
      <c r="D68" s="478" t="s">
        <v>406</v>
      </c>
      <c r="E68" s="479">
        <v>1235903.02</v>
      </c>
      <c r="F68" s="480">
        <v>1450000</v>
      </c>
      <c r="G68" s="481">
        <v>1600000</v>
      </c>
      <c r="H68" s="228"/>
      <c r="I68"/>
      <c r="J68" s="94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6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2.9" customHeight="1" x14ac:dyDescent="0.2">
      <c r="A69"/>
      <c r="B69" s="227"/>
      <c r="C69" s="253" t="s">
        <v>202</v>
      </c>
      <c r="D69" s="254" t="s">
        <v>407</v>
      </c>
      <c r="E69" s="464">
        <v>10955.06</v>
      </c>
      <c r="F69" s="465">
        <v>11000</v>
      </c>
      <c r="G69" s="466">
        <v>11000</v>
      </c>
      <c r="H69" s="228"/>
      <c r="I69"/>
      <c r="J69" s="94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2.9" customHeight="1" x14ac:dyDescent="0.2">
      <c r="A70"/>
      <c r="B70" s="227"/>
      <c r="C70" s="253" t="s">
        <v>204</v>
      </c>
      <c r="D70" s="254" t="s">
        <v>408</v>
      </c>
      <c r="E70" s="464">
        <v>5745.8</v>
      </c>
      <c r="F70" s="465">
        <v>7500</v>
      </c>
      <c r="G70" s="466">
        <v>7500</v>
      </c>
      <c r="H70" s="228"/>
      <c r="I70"/>
      <c r="J70" s="94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2.9" customHeight="1" x14ac:dyDescent="0.2">
      <c r="A71"/>
      <c r="B71" s="227"/>
      <c r="C71" s="253" t="s">
        <v>206</v>
      </c>
      <c r="D71" s="254" t="s">
        <v>38</v>
      </c>
      <c r="E71" s="464">
        <v>25094</v>
      </c>
      <c r="F71" s="465">
        <v>27000</v>
      </c>
      <c r="G71" s="466">
        <v>27000</v>
      </c>
      <c r="H71" s="228"/>
      <c r="I71"/>
      <c r="J71" s="94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2.9" customHeight="1" x14ac:dyDescent="0.2">
      <c r="A72"/>
      <c r="B72" s="227"/>
      <c r="C72" s="253" t="s">
        <v>361</v>
      </c>
      <c r="D72" s="254" t="s">
        <v>409</v>
      </c>
      <c r="E72" s="464"/>
      <c r="F72" s="465"/>
      <c r="G72" s="466"/>
      <c r="H72" s="228"/>
      <c r="I72"/>
      <c r="J72" s="94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6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2.9" customHeight="1" x14ac:dyDescent="0.2">
      <c r="A73"/>
      <c r="B73" s="227"/>
      <c r="C73" s="253" t="s">
        <v>217</v>
      </c>
      <c r="D73" s="254" t="s">
        <v>410</v>
      </c>
      <c r="E73" s="464">
        <v>4936805.21</v>
      </c>
      <c r="F73" s="465">
        <f>72000+500000+82.38</f>
        <v>572082.38</v>
      </c>
      <c r="G73" s="466">
        <f>72000+82.38</f>
        <v>72082.38</v>
      </c>
      <c r="H73" s="228"/>
      <c r="I73"/>
      <c r="J73" s="94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6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2.9" customHeight="1" x14ac:dyDescent="0.2">
      <c r="A74"/>
      <c r="B74" s="227"/>
      <c r="C74" s="253" t="s">
        <v>222</v>
      </c>
      <c r="D74" s="254" t="s">
        <v>411</v>
      </c>
      <c r="E74" s="464"/>
      <c r="F74" s="465"/>
      <c r="G74" s="466"/>
      <c r="H74" s="228"/>
      <c r="I74"/>
      <c r="J74" s="94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6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2.9" customHeight="1" x14ac:dyDescent="0.25">
      <c r="A75"/>
      <c r="B75" s="227"/>
      <c r="C75" s="247" t="s">
        <v>375</v>
      </c>
      <c r="D75" s="248" t="s">
        <v>412</v>
      </c>
      <c r="E75" s="458">
        <f>SUM(E76:E81)</f>
        <v>0</v>
      </c>
      <c r="F75" s="459">
        <f>SUM(F76:F81)</f>
        <v>0</v>
      </c>
      <c r="G75" s="460">
        <f>SUM(G76:G81)</f>
        <v>0</v>
      </c>
      <c r="H75" s="228"/>
      <c r="I75"/>
      <c r="J75" s="94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2.9" customHeight="1" x14ac:dyDescent="0.2">
      <c r="A76"/>
      <c r="B76" s="227"/>
      <c r="C76" s="253" t="s">
        <v>194</v>
      </c>
      <c r="D76" s="254" t="s">
        <v>377</v>
      </c>
      <c r="E76" s="464"/>
      <c r="F76" s="465"/>
      <c r="G76" s="466"/>
      <c r="H76" s="228"/>
      <c r="I76"/>
      <c r="J76" s="94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22.9" customHeight="1" x14ac:dyDescent="0.2">
      <c r="A77"/>
      <c r="B77" s="227"/>
      <c r="C77" s="253" t="s">
        <v>202</v>
      </c>
      <c r="D77" s="254" t="s">
        <v>378</v>
      </c>
      <c r="E77" s="464"/>
      <c r="F77" s="465"/>
      <c r="G77" s="466"/>
      <c r="H77" s="228"/>
      <c r="I77"/>
      <c r="J77" s="94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2.9" customHeight="1" x14ac:dyDescent="0.2">
      <c r="A78"/>
      <c r="B78" s="227"/>
      <c r="C78" s="253" t="s">
        <v>204</v>
      </c>
      <c r="D78" s="254" t="s">
        <v>379</v>
      </c>
      <c r="E78" s="464"/>
      <c r="F78" s="465"/>
      <c r="G78" s="466"/>
      <c r="H78" s="228"/>
      <c r="I78"/>
      <c r="J78" s="94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2.9" customHeight="1" x14ac:dyDescent="0.2">
      <c r="A79"/>
      <c r="B79" s="227"/>
      <c r="C79" s="253" t="s">
        <v>206</v>
      </c>
      <c r="D79" s="254" t="s">
        <v>380</v>
      </c>
      <c r="E79" s="464"/>
      <c r="F79" s="465"/>
      <c r="G79" s="466"/>
      <c r="H79" s="228"/>
      <c r="I79"/>
      <c r="J79" s="94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2.9" customHeight="1" x14ac:dyDescent="0.2">
      <c r="A80"/>
      <c r="B80" s="227"/>
      <c r="C80" s="253" t="s">
        <v>361</v>
      </c>
      <c r="D80" s="254" t="s">
        <v>381</v>
      </c>
      <c r="E80" s="464"/>
      <c r="F80" s="465"/>
      <c r="G80" s="466"/>
      <c r="H80" s="228"/>
      <c r="I80"/>
      <c r="J80" s="94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6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2.9" customHeight="1" x14ac:dyDescent="0.2">
      <c r="A81"/>
      <c r="B81" s="227"/>
      <c r="C81" s="253" t="s">
        <v>217</v>
      </c>
      <c r="D81" s="254" t="s">
        <v>382</v>
      </c>
      <c r="E81" s="464"/>
      <c r="F81" s="465"/>
      <c r="G81" s="466"/>
      <c r="H81" s="228"/>
      <c r="I81"/>
      <c r="J81" s="94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6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2.9" customHeight="1" x14ac:dyDescent="0.25">
      <c r="A82"/>
      <c r="B82" s="227"/>
      <c r="C82" s="247" t="s">
        <v>383</v>
      </c>
      <c r="D82" s="248" t="s">
        <v>413</v>
      </c>
      <c r="E82" s="458">
        <f>SUM(E83:E88)</f>
        <v>0</v>
      </c>
      <c r="F82" s="459">
        <f>SUM(F83:F88)</f>
        <v>0</v>
      </c>
      <c r="G82" s="460">
        <f>SUM(G83:G88)</f>
        <v>0</v>
      </c>
      <c r="H82" s="228"/>
      <c r="I82"/>
      <c r="J82" s="94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6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2.9" customHeight="1" x14ac:dyDescent="0.2">
      <c r="A83"/>
      <c r="B83" s="227"/>
      <c r="C83" s="253" t="s">
        <v>194</v>
      </c>
      <c r="D83" s="254" t="s">
        <v>377</v>
      </c>
      <c r="E83" s="464"/>
      <c r="F83" s="465"/>
      <c r="G83" s="466"/>
      <c r="H83" s="228"/>
      <c r="I83"/>
      <c r="J83" s="94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6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22.9" customHeight="1" x14ac:dyDescent="0.2">
      <c r="A84"/>
      <c r="B84" s="227"/>
      <c r="C84" s="253" t="s">
        <v>202</v>
      </c>
      <c r="D84" s="254" t="s">
        <v>378</v>
      </c>
      <c r="E84" s="464"/>
      <c r="F84" s="465"/>
      <c r="G84" s="466"/>
      <c r="H84" s="228"/>
      <c r="I84"/>
      <c r="J84" s="94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22.9" customHeight="1" x14ac:dyDescent="0.2">
      <c r="A85"/>
      <c r="B85" s="227"/>
      <c r="C85" s="253" t="s">
        <v>204</v>
      </c>
      <c r="D85" s="254" t="s">
        <v>379</v>
      </c>
      <c r="E85" s="464"/>
      <c r="F85" s="465"/>
      <c r="G85" s="466"/>
      <c r="H85" s="228"/>
      <c r="I85"/>
      <c r="J85" s="94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22.9" customHeight="1" x14ac:dyDescent="0.2">
      <c r="A86"/>
      <c r="B86" s="227"/>
      <c r="C86" s="253" t="s">
        <v>206</v>
      </c>
      <c r="D86" s="254" t="s">
        <v>380</v>
      </c>
      <c r="E86" s="464"/>
      <c r="F86" s="465"/>
      <c r="G86" s="466"/>
      <c r="H86" s="228"/>
      <c r="I86"/>
      <c r="J86" s="94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22.9" customHeight="1" x14ac:dyDescent="0.2">
      <c r="A87"/>
      <c r="B87" s="227"/>
      <c r="C87" s="253" t="s">
        <v>361</v>
      </c>
      <c r="D87" s="254" t="s">
        <v>381</v>
      </c>
      <c r="E87" s="464"/>
      <c r="F87" s="465"/>
      <c r="G87" s="466"/>
      <c r="H87" s="228"/>
      <c r="I87"/>
      <c r="J87" s="94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6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22.9" customHeight="1" x14ac:dyDescent="0.2">
      <c r="A88"/>
      <c r="B88" s="227"/>
      <c r="C88" s="253" t="s">
        <v>217</v>
      </c>
      <c r="D88" s="254" t="s">
        <v>382</v>
      </c>
      <c r="E88" s="464"/>
      <c r="F88" s="465"/>
      <c r="G88" s="466"/>
      <c r="H88" s="228"/>
      <c r="I88"/>
      <c r="J88" s="94"/>
      <c r="K88" s="95"/>
      <c r="L88" s="473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6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257" customFormat="1" ht="22.9" customHeight="1" x14ac:dyDescent="0.25">
      <c r="B89" s="36"/>
      <c r="C89" s="247" t="s">
        <v>386</v>
      </c>
      <c r="D89" s="248" t="s">
        <v>414</v>
      </c>
      <c r="E89" s="469">
        <v>49759.199999999997</v>
      </c>
      <c r="F89" s="470">
        <v>50000</v>
      </c>
      <c r="G89" s="471">
        <v>50000</v>
      </c>
      <c r="H89" s="232"/>
      <c r="J89" s="94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6"/>
    </row>
    <row r="90" spans="1:256" ht="22.9" customHeight="1" x14ac:dyDescent="0.25">
      <c r="A90"/>
      <c r="B90" s="227"/>
      <c r="C90" s="247" t="s">
        <v>388</v>
      </c>
      <c r="D90" s="248" t="s">
        <v>415</v>
      </c>
      <c r="E90" s="458">
        <f>SUM(E91:E92)</f>
        <v>830748.15</v>
      </c>
      <c r="F90" s="459">
        <f>SUM(F91:F92)</f>
        <v>850000</v>
      </c>
      <c r="G90" s="460">
        <f>SUM(G91:G92)</f>
        <v>800000</v>
      </c>
      <c r="H90" s="228"/>
      <c r="I90"/>
      <c r="J90" s="94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6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22.9" customHeight="1" x14ac:dyDescent="0.2">
      <c r="A91"/>
      <c r="B91" s="227"/>
      <c r="C91" s="253" t="s">
        <v>194</v>
      </c>
      <c r="D91" s="254" t="s">
        <v>416</v>
      </c>
      <c r="E91" s="464">
        <v>830748.15</v>
      </c>
      <c r="F91" s="465">
        <v>850000</v>
      </c>
      <c r="G91" s="466">
        <v>800000</v>
      </c>
      <c r="H91" s="228"/>
      <c r="I91"/>
      <c r="J91" s="94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6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22.9" customHeight="1" x14ac:dyDescent="0.2">
      <c r="A92"/>
      <c r="B92" s="227"/>
      <c r="C92" s="482" t="s">
        <v>202</v>
      </c>
      <c r="D92" s="483" t="s">
        <v>417</v>
      </c>
      <c r="E92" s="484"/>
      <c r="F92" s="485"/>
      <c r="G92" s="486"/>
      <c r="H92" s="228"/>
      <c r="I92"/>
      <c r="J92" s="94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6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22.9" customHeight="1" x14ac:dyDescent="0.2">
      <c r="A93"/>
      <c r="B93" s="227"/>
      <c r="C93" s="487"/>
      <c r="D93" s="3"/>
      <c r="E93" s="488"/>
      <c r="F93" s="489"/>
      <c r="G93" s="490"/>
      <c r="H93" s="228"/>
      <c r="I93"/>
      <c r="J93" s="94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6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491" customFormat="1" ht="22.9" customHeight="1" x14ac:dyDescent="0.3">
      <c r="B94" s="492"/>
      <c r="C94" s="493" t="s">
        <v>418</v>
      </c>
      <c r="D94" s="280"/>
      <c r="E94" s="494">
        <f>E50+E16</f>
        <v>50548313.089999996</v>
      </c>
      <c r="F94" s="495">
        <f>F50+F16</f>
        <v>44347731.650000006</v>
      </c>
      <c r="G94" s="496">
        <f>G50+G16</f>
        <v>41821004.900000006</v>
      </c>
      <c r="H94" s="497"/>
      <c r="J94" s="94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6"/>
    </row>
    <row r="95" spans="1:256" ht="22.9" customHeight="1" x14ac:dyDescent="0.2">
      <c r="B95" s="282"/>
      <c r="C95" s="996"/>
      <c r="D95" s="996"/>
      <c r="E95" s="996"/>
      <c r="F95" s="996"/>
      <c r="G95" s="284"/>
      <c r="H95" s="285"/>
      <c r="J95" s="103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5"/>
    </row>
    <row r="96" spans="1:256" ht="22.9" customHeight="1" x14ac:dyDescent="0.2">
      <c r="C96" s="27"/>
      <c r="D96" s="27"/>
      <c r="E96" s="27"/>
      <c r="F96" s="27"/>
      <c r="G96" s="27"/>
    </row>
    <row r="97" spans="3:7" ht="15" x14ac:dyDescent="0.2">
      <c r="C97" s="27" t="s">
        <v>55</v>
      </c>
      <c r="D97" s="27"/>
      <c r="E97" s="27"/>
      <c r="F97" s="27"/>
      <c r="G97" s="29" t="s">
        <v>419</v>
      </c>
    </row>
    <row r="98" spans="3:7" ht="15" x14ac:dyDescent="0.2">
      <c r="C98" s="26" t="s">
        <v>57</v>
      </c>
      <c r="D98" s="27"/>
      <c r="E98" s="27"/>
      <c r="F98" s="27"/>
      <c r="G98" s="27"/>
    </row>
    <row r="99" spans="3:7" ht="15" x14ac:dyDescent="0.2">
      <c r="C99" s="26" t="s">
        <v>58</v>
      </c>
      <c r="D99" s="27"/>
      <c r="E99" s="27"/>
      <c r="F99" s="27"/>
      <c r="G99" s="27"/>
    </row>
    <row r="100" spans="3:7" ht="15" x14ac:dyDescent="0.2">
      <c r="C100" s="26" t="s">
        <v>59</v>
      </c>
      <c r="D100" s="27"/>
      <c r="E100" s="27"/>
      <c r="F100" s="27"/>
      <c r="G100" s="27"/>
    </row>
    <row r="101" spans="3:7" ht="15" x14ac:dyDescent="0.2">
      <c r="C101" s="26" t="s">
        <v>60</v>
      </c>
      <c r="D101" s="27"/>
      <c r="E101" s="27"/>
      <c r="F101" s="27"/>
      <c r="G101" s="27"/>
    </row>
    <row r="102" spans="3:7" ht="66" customHeight="1" x14ac:dyDescent="0.2"/>
  </sheetData>
  <sheetProtection password="E059" sheet="1" objects="1" scenarios="1"/>
  <mergeCells count="3">
    <mergeCell ref="G6:G7"/>
    <mergeCell ref="D9:G9"/>
    <mergeCell ref="C95:F95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3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"/>
  <sheetViews>
    <sheetView zoomScale="70" zoomScaleNormal="70" workbookViewId="0">
      <selection activeCell="E35" sqref="E35"/>
    </sheetView>
  </sheetViews>
  <sheetFormatPr baseColWidth="10" defaultColWidth="11.44140625" defaultRowHeight="22.9" customHeight="1" x14ac:dyDescent="0.2"/>
  <cols>
    <col min="1" max="2" width="3.21875" style="2" customWidth="1"/>
    <col min="3" max="3" width="14.21875" style="2" customWidth="1"/>
    <col min="4" max="4" width="81.5546875" style="2" customWidth="1"/>
    <col min="5" max="7" width="19.21875" style="2" customWidth="1"/>
    <col min="8" max="8" width="3.21875" style="2" customWidth="1"/>
    <col min="9" max="16384" width="11.44140625" style="2"/>
  </cols>
  <sheetData>
    <row r="1" spans="1:256" ht="22.9" customHeight="1" x14ac:dyDescent="0.2">
      <c r="A1"/>
      <c r="B1"/>
      <c r="C1"/>
      <c r="D1" s="2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9" customHeight="1" x14ac:dyDescent="0.2">
      <c r="A2"/>
      <c r="B2"/>
      <c r="C2"/>
      <c r="D2" s="5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9" customHeight="1" x14ac:dyDescent="0.2">
      <c r="A3"/>
      <c r="B3"/>
      <c r="C3"/>
      <c r="D3" s="5" t="s">
        <v>1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5" spans="1:256" ht="9" customHeight="1" x14ac:dyDescent="0.2">
      <c r="A5"/>
      <c r="B5" s="224"/>
      <c r="C5" s="225"/>
      <c r="D5" s="225"/>
      <c r="E5" s="225"/>
      <c r="F5" s="225"/>
      <c r="G5" s="225"/>
      <c r="H5" s="226"/>
      <c r="I5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0" customHeight="1" x14ac:dyDescent="0.25">
      <c r="A6"/>
      <c r="B6" s="227"/>
      <c r="C6" s="10" t="s">
        <v>2</v>
      </c>
      <c r="D6" s="27"/>
      <c r="E6" s="27"/>
      <c r="F6" s="27"/>
      <c r="G6" s="981">
        <f>ejercicio</f>
        <v>2018</v>
      </c>
      <c r="H6" s="228"/>
      <c r="I6"/>
      <c r="J6" s="65"/>
      <c r="K6" s="66" t="s">
        <v>93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8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0" customHeight="1" x14ac:dyDescent="0.25">
      <c r="A7"/>
      <c r="B7" s="227"/>
      <c r="C7" s="10" t="s">
        <v>3</v>
      </c>
      <c r="D7" s="27"/>
      <c r="E7" s="27"/>
      <c r="F7" s="27"/>
      <c r="G7" s="981"/>
      <c r="H7" s="228"/>
      <c r="I7"/>
      <c r="J7" s="65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2">
      <c r="A8"/>
      <c r="B8" s="227"/>
      <c r="C8" s="229"/>
      <c r="D8" s="27"/>
      <c r="E8" s="27"/>
      <c r="F8" s="27"/>
      <c r="G8" s="230"/>
      <c r="H8" s="228"/>
      <c r="I8"/>
      <c r="J8" s="65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2">
      <c r="B9" s="9"/>
      <c r="C9" s="34" t="s">
        <v>62</v>
      </c>
      <c r="D9" s="995" t="str">
        <f>Entidad</f>
        <v>BALSAS DE TENERIFE (BALTEN), EPEL</v>
      </c>
      <c r="E9" s="995"/>
      <c r="F9" s="995"/>
      <c r="G9" s="995"/>
      <c r="H9" s="11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</row>
    <row r="10" spans="1:256" ht="7.15" customHeight="1" x14ac:dyDescent="0.2">
      <c r="A10"/>
      <c r="B10" s="227"/>
      <c r="C10" s="27"/>
      <c r="D10" s="27"/>
      <c r="E10" s="27"/>
      <c r="F10" s="27"/>
      <c r="G10" s="27"/>
      <c r="H10" s="228"/>
      <c r="I10"/>
      <c r="J10" s="65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31" customFormat="1" ht="30" customHeight="1" x14ac:dyDescent="0.25">
      <c r="B11" s="36"/>
      <c r="C11" s="13" t="s">
        <v>420</v>
      </c>
      <c r="D11" s="13"/>
      <c r="E11" s="13"/>
      <c r="F11" s="13"/>
      <c r="G11" s="13"/>
      <c r="H11" s="232"/>
      <c r="J11" s="72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4"/>
    </row>
    <row r="12" spans="1:256" ht="30" customHeight="1" x14ac:dyDescent="0.25">
      <c r="A12" s="231"/>
      <c r="B12" s="36"/>
      <c r="C12" s="233"/>
      <c r="D12" s="233"/>
      <c r="E12" s="233"/>
      <c r="F12" s="233"/>
      <c r="G12" s="233"/>
      <c r="H12" s="232"/>
      <c r="I12"/>
      <c r="J12" s="72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4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2.9" customHeight="1" x14ac:dyDescent="0.25">
      <c r="A13"/>
      <c r="B13" s="227"/>
      <c r="C13" s="498"/>
      <c r="D13" s="499"/>
      <c r="E13" s="500" t="s">
        <v>189</v>
      </c>
      <c r="F13" s="500" t="s">
        <v>190</v>
      </c>
      <c r="G13" s="501" t="s">
        <v>191</v>
      </c>
      <c r="H13" s="228"/>
      <c r="I13"/>
      <c r="J13" s="6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8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2.9" customHeight="1" x14ac:dyDescent="0.35">
      <c r="A14"/>
      <c r="B14" s="227"/>
      <c r="C14" s="502" t="s">
        <v>421</v>
      </c>
      <c r="D14" s="240"/>
      <c r="E14" s="503">
        <f>ejercicio-2</f>
        <v>2016</v>
      </c>
      <c r="F14" s="503">
        <f>ejercicio-1</f>
        <v>2017</v>
      </c>
      <c r="G14" s="504">
        <f>ejercicio</f>
        <v>2018</v>
      </c>
      <c r="H14" s="228"/>
      <c r="I14"/>
      <c r="J14" s="65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2.9" customHeight="1" x14ac:dyDescent="0.25">
      <c r="A15"/>
      <c r="B15" s="227"/>
      <c r="C15" s="505"/>
      <c r="D15" s="245"/>
      <c r="E15" s="246"/>
      <c r="F15" s="246"/>
      <c r="G15" s="506"/>
      <c r="H15" s="228"/>
      <c r="I15"/>
      <c r="J15" s="65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2.9" customHeight="1" x14ac:dyDescent="0.25">
      <c r="A16"/>
      <c r="B16" s="227"/>
      <c r="C16" s="507" t="s">
        <v>192</v>
      </c>
      <c r="D16" s="454" t="s">
        <v>422</v>
      </c>
      <c r="E16" s="508">
        <f>E17+E35+E41</f>
        <v>31653247.379999999</v>
      </c>
      <c r="F16" s="508">
        <f>F17+F35+F41</f>
        <v>30302531.73</v>
      </c>
      <c r="G16" s="509">
        <f>G17+G35+G41</f>
        <v>28639769.640000001</v>
      </c>
      <c r="H16" s="228"/>
      <c r="I16"/>
      <c r="J16" s="65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2.9" customHeight="1" x14ac:dyDescent="0.25">
      <c r="A17"/>
      <c r="B17" s="227"/>
      <c r="C17" s="510" t="s">
        <v>245</v>
      </c>
      <c r="D17" s="248" t="s">
        <v>423</v>
      </c>
      <c r="E17" s="249">
        <f>+E18+E21+E22+E27+E28+E31+E32+E33+E34</f>
        <v>482242.88000000012</v>
      </c>
      <c r="F17" s="249">
        <f>+F18+F21+F22+F27+F28+F31+F32+F33+F34</f>
        <v>501815.70000000007</v>
      </c>
      <c r="G17" s="511">
        <f>+G18+G21+G22+G27+G28+G31+G32+G33+G34</f>
        <v>561815.70000000088</v>
      </c>
      <c r="H17" s="228"/>
      <c r="I17"/>
      <c r="J17" s="65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8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2.9" customHeight="1" x14ac:dyDescent="0.25">
      <c r="A18"/>
      <c r="B18" s="227"/>
      <c r="C18" s="510" t="s">
        <v>355</v>
      </c>
      <c r="D18" s="248" t="s">
        <v>424</v>
      </c>
      <c r="E18" s="249">
        <f>SUM(E19:E20)</f>
        <v>0</v>
      </c>
      <c r="F18" s="249">
        <f>SUM(F19:F20)</f>
        <v>0</v>
      </c>
      <c r="G18" s="511">
        <f>SUM(G19:G20)</f>
        <v>0</v>
      </c>
      <c r="H18" s="228"/>
      <c r="I18"/>
      <c r="J18" s="65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2.9" customHeight="1" x14ac:dyDescent="0.2">
      <c r="A19"/>
      <c r="B19" s="227"/>
      <c r="C19" s="512" t="s">
        <v>194</v>
      </c>
      <c r="D19" s="251" t="s">
        <v>425</v>
      </c>
      <c r="E19" s="252"/>
      <c r="F19" s="252"/>
      <c r="G19" s="513"/>
      <c r="H19" s="228"/>
      <c r="I19"/>
      <c r="J19" s="65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2.9" customHeight="1" x14ac:dyDescent="0.2">
      <c r="A20"/>
      <c r="B20" s="227"/>
      <c r="C20" s="514" t="s">
        <v>202</v>
      </c>
      <c r="D20" s="254" t="s">
        <v>426</v>
      </c>
      <c r="E20" s="255"/>
      <c r="F20" s="255"/>
      <c r="G20" s="515"/>
      <c r="H20" s="228"/>
      <c r="I20"/>
      <c r="J20" s="65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2.9" customHeight="1" x14ac:dyDescent="0.25">
      <c r="A21"/>
      <c r="B21" s="227"/>
      <c r="C21" s="510" t="s">
        <v>366</v>
      </c>
      <c r="D21" s="248" t="s">
        <v>427</v>
      </c>
      <c r="E21" s="256"/>
      <c r="F21" s="256"/>
      <c r="G21" s="516"/>
      <c r="H21" s="228"/>
      <c r="I21"/>
      <c r="J21" s="65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8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2.9" customHeight="1" x14ac:dyDescent="0.25">
      <c r="A22"/>
      <c r="B22" s="227"/>
      <c r="C22" s="510" t="s">
        <v>371</v>
      </c>
      <c r="D22" s="248" t="s">
        <v>428</v>
      </c>
      <c r="E22" s="249">
        <f>SUM(E23:E26)</f>
        <v>0</v>
      </c>
      <c r="F22" s="249">
        <f>SUM(F23:F26)</f>
        <v>0</v>
      </c>
      <c r="G22" s="511">
        <f>SUM(G23:G26)</f>
        <v>0</v>
      </c>
      <c r="H22" s="228"/>
      <c r="I22"/>
      <c r="J22" s="65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2.9" customHeight="1" x14ac:dyDescent="0.2">
      <c r="A23"/>
      <c r="B23" s="227"/>
      <c r="C23" s="512" t="s">
        <v>194</v>
      </c>
      <c r="D23" s="251" t="s">
        <v>429</v>
      </c>
      <c r="E23" s="252"/>
      <c r="F23" s="252"/>
      <c r="G23" s="513"/>
      <c r="H23" s="228"/>
      <c r="I23"/>
      <c r="J23" s="65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8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2.9" customHeight="1" x14ac:dyDescent="0.2">
      <c r="A24"/>
      <c r="B24" s="227"/>
      <c r="C24" s="514" t="s">
        <v>202</v>
      </c>
      <c r="D24" s="254" t="s">
        <v>430</v>
      </c>
      <c r="E24" s="255"/>
      <c r="F24" s="255"/>
      <c r="G24" s="515"/>
      <c r="H24" s="228"/>
      <c r="I24"/>
      <c r="J24" s="65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2.9" customHeight="1" x14ac:dyDescent="0.2">
      <c r="A25"/>
      <c r="B25" s="227"/>
      <c r="C25" s="514" t="s">
        <v>204</v>
      </c>
      <c r="D25" s="254" t="s">
        <v>431</v>
      </c>
      <c r="E25" s="255"/>
      <c r="F25" s="255"/>
      <c r="G25" s="515"/>
      <c r="H25" s="228"/>
      <c r="I25"/>
      <c r="J25" s="65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2.9" customHeight="1" x14ac:dyDescent="0.2">
      <c r="A26"/>
      <c r="B26" s="227"/>
      <c r="C26" s="514" t="s">
        <v>206</v>
      </c>
      <c r="D26" s="254" t="s">
        <v>432</v>
      </c>
      <c r="E26" s="255"/>
      <c r="F26" s="255"/>
      <c r="G26" s="515"/>
      <c r="H26" s="228"/>
      <c r="I26"/>
      <c r="J26" s="65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2.9" customHeight="1" x14ac:dyDescent="0.25">
      <c r="A27"/>
      <c r="B27" s="227"/>
      <c r="C27" s="510" t="s">
        <v>375</v>
      </c>
      <c r="D27" s="248" t="s">
        <v>433</v>
      </c>
      <c r="E27" s="256"/>
      <c r="F27" s="256"/>
      <c r="G27" s="516"/>
      <c r="H27" s="228"/>
      <c r="I27"/>
      <c r="J27" s="65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2.9" customHeight="1" x14ac:dyDescent="0.25">
      <c r="A28"/>
      <c r="B28" s="227"/>
      <c r="C28" s="510" t="s">
        <v>383</v>
      </c>
      <c r="D28" s="248" t="s">
        <v>434</v>
      </c>
      <c r="E28" s="249">
        <f>SUM(E29:E30)</f>
        <v>-3259123.3</v>
      </c>
      <c r="F28" s="249">
        <f>SUM(F29:F30)</f>
        <v>-3643893.33</v>
      </c>
      <c r="G28" s="511">
        <f>SUM(G29:G30)</f>
        <v>-4342630.0999999996</v>
      </c>
      <c r="H28" s="228"/>
      <c r="I28"/>
      <c r="J28" s="65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2.9" customHeight="1" x14ac:dyDescent="0.2">
      <c r="A29"/>
      <c r="B29" s="227"/>
      <c r="C29" s="512" t="s">
        <v>194</v>
      </c>
      <c r="D29" s="251" t="s">
        <v>435</v>
      </c>
      <c r="E29" s="252"/>
      <c r="F29" s="252"/>
      <c r="G29" s="513"/>
      <c r="H29" s="228"/>
      <c r="I29"/>
      <c r="J29" s="65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2.9" customHeight="1" x14ac:dyDescent="0.2">
      <c r="A30"/>
      <c r="B30" s="227"/>
      <c r="C30" s="514" t="s">
        <v>202</v>
      </c>
      <c r="D30" s="254" t="s">
        <v>436</v>
      </c>
      <c r="E30" s="255">
        <v>-3259123.3</v>
      </c>
      <c r="F30" s="255">
        <f>E30+E32</f>
        <v>-3643893.33</v>
      </c>
      <c r="G30" s="515">
        <f>F30+F32</f>
        <v>-4342630.0999999996</v>
      </c>
      <c r="H30" s="228"/>
      <c r="I30"/>
      <c r="J30" s="91"/>
      <c r="K30" s="517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3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2.9" customHeight="1" x14ac:dyDescent="0.25">
      <c r="A31"/>
      <c r="B31" s="227"/>
      <c r="C31" s="510" t="s">
        <v>386</v>
      </c>
      <c r="D31" s="248" t="s">
        <v>437</v>
      </c>
      <c r="E31" s="256">
        <v>4126136.21</v>
      </c>
      <c r="F31" s="256">
        <f>4126136.21+403449+300000+14860.59</f>
        <v>4844445.8</v>
      </c>
      <c r="G31" s="963">
        <f>F31+617371.65+60000+311815.7</f>
        <v>5833633.1500000004</v>
      </c>
      <c r="H31" s="228"/>
      <c r="I31"/>
      <c r="J31" s="518"/>
      <c r="K31" s="517"/>
      <c r="L31" s="517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2.9" customHeight="1" x14ac:dyDescent="0.25">
      <c r="A32"/>
      <c r="B32" s="227"/>
      <c r="C32" s="510" t="s">
        <v>388</v>
      </c>
      <c r="D32" s="248" t="s">
        <v>438</v>
      </c>
      <c r="E32" s="256">
        <v>-384770.03</v>
      </c>
      <c r="F32" s="256">
        <f>'FC-3_CPyG'!F84</f>
        <v>-698736.76999999967</v>
      </c>
      <c r="G32" s="963">
        <f>'FC-3_CPyG'!G84</f>
        <v>-929187.34999999986</v>
      </c>
      <c r="H32" s="228"/>
      <c r="I32"/>
      <c r="J32" s="468"/>
      <c r="K32" s="467"/>
      <c r="L32" s="4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2.9" customHeight="1" x14ac:dyDescent="0.25">
      <c r="A33"/>
      <c r="B33" s="227"/>
      <c r="C33" s="510" t="s">
        <v>439</v>
      </c>
      <c r="D33" s="248" t="s">
        <v>440</v>
      </c>
      <c r="E33" s="256"/>
      <c r="F33" s="256"/>
      <c r="G33" s="963"/>
      <c r="H33" s="228"/>
      <c r="I33"/>
      <c r="J33" s="65"/>
      <c r="K33" s="67"/>
      <c r="L33" s="4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2.9" customHeight="1" x14ac:dyDescent="0.25">
      <c r="A34"/>
      <c r="B34" s="227"/>
      <c r="C34" s="510" t="s">
        <v>441</v>
      </c>
      <c r="D34" s="248" t="s">
        <v>442</v>
      </c>
      <c r="E34" s="256"/>
      <c r="F34" s="256"/>
      <c r="G34" s="963"/>
      <c r="H34" s="228"/>
      <c r="I34"/>
      <c r="J34" s="65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2.9" customHeight="1" x14ac:dyDescent="0.25">
      <c r="A35"/>
      <c r="B35" s="227"/>
      <c r="C35" s="510" t="s">
        <v>279</v>
      </c>
      <c r="D35" s="248" t="s">
        <v>443</v>
      </c>
      <c r="E35" s="249">
        <f>SUM(E36:E40)</f>
        <v>0</v>
      </c>
      <c r="F35" s="249">
        <f>SUM(F36:F40)</f>
        <v>0</v>
      </c>
      <c r="G35" s="964">
        <f>SUM(G36:G40)</f>
        <v>0</v>
      </c>
      <c r="H35" s="228"/>
      <c r="I35"/>
      <c r="J35" s="65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2.9" customHeight="1" x14ac:dyDescent="0.25">
      <c r="A36"/>
      <c r="B36" s="227"/>
      <c r="C36" s="510" t="s">
        <v>355</v>
      </c>
      <c r="D36" s="248" t="s">
        <v>444</v>
      </c>
      <c r="E36" s="256"/>
      <c r="F36" s="256"/>
      <c r="G36" s="963"/>
      <c r="H36" s="228"/>
      <c r="I36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2.9" customHeight="1" x14ac:dyDescent="0.25">
      <c r="A37"/>
      <c r="B37" s="227"/>
      <c r="C37" s="510" t="s">
        <v>366</v>
      </c>
      <c r="D37" s="248" t="s">
        <v>445</v>
      </c>
      <c r="E37" s="256"/>
      <c r="F37" s="256"/>
      <c r="G37" s="963"/>
      <c r="H37" s="228"/>
      <c r="I37"/>
      <c r="J37" s="9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6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2.9" customHeight="1" x14ac:dyDescent="0.25">
      <c r="A38"/>
      <c r="B38" s="227"/>
      <c r="C38" s="510" t="s">
        <v>371</v>
      </c>
      <c r="D38" s="248" t="s">
        <v>446</v>
      </c>
      <c r="E38" s="256"/>
      <c r="F38" s="256"/>
      <c r="G38" s="963"/>
      <c r="H38" s="228"/>
      <c r="I38"/>
      <c r="J38" s="94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2.9" customHeight="1" x14ac:dyDescent="0.25">
      <c r="A39"/>
      <c r="B39" s="227"/>
      <c r="C39" s="510" t="s">
        <v>375</v>
      </c>
      <c r="D39" s="248" t="s">
        <v>447</v>
      </c>
      <c r="E39" s="256"/>
      <c r="F39" s="256"/>
      <c r="G39" s="963"/>
      <c r="H39" s="228"/>
      <c r="I39"/>
      <c r="J39" s="9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2.9" customHeight="1" x14ac:dyDescent="0.25">
      <c r="A40"/>
      <c r="B40" s="227"/>
      <c r="C40" s="510" t="s">
        <v>383</v>
      </c>
      <c r="D40" s="248" t="s">
        <v>325</v>
      </c>
      <c r="E40" s="256"/>
      <c r="F40" s="256"/>
      <c r="G40" s="963"/>
      <c r="H40" s="228"/>
      <c r="I40"/>
      <c r="J40" s="94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2.9" customHeight="1" x14ac:dyDescent="0.25">
      <c r="A41"/>
      <c r="B41" s="227"/>
      <c r="C41" s="510" t="s">
        <v>281</v>
      </c>
      <c r="D41" s="248" t="s">
        <v>448</v>
      </c>
      <c r="E41" s="256">
        <v>31171004.5</v>
      </c>
      <c r="F41" s="256">
        <v>29800716.030000001</v>
      </c>
      <c r="G41" s="963">
        <f>27965453.94+112500</f>
        <v>28077953.940000001</v>
      </c>
      <c r="H41" s="228"/>
      <c r="I41"/>
      <c r="J41" s="472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2.9" customHeight="1" x14ac:dyDescent="0.2">
      <c r="A42"/>
      <c r="B42" s="227"/>
      <c r="C42" s="519"/>
      <c r="D42" s="3"/>
      <c r="E42" s="520"/>
      <c r="F42" s="520"/>
      <c r="G42" s="965"/>
      <c r="H42" s="228"/>
      <c r="I42"/>
      <c r="J42" s="94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2.9" customHeight="1" x14ac:dyDescent="0.25">
      <c r="A43"/>
      <c r="B43" s="227"/>
      <c r="C43" s="507" t="s">
        <v>449</v>
      </c>
      <c r="D43" s="454" t="s">
        <v>450</v>
      </c>
      <c r="E43" s="508">
        <f>E44+E49+SUM(E55:E59)</f>
        <v>11747845.390000001</v>
      </c>
      <c r="F43" s="508">
        <f>F44+F49+SUM(F55:F59)</f>
        <v>10843572.029999999</v>
      </c>
      <c r="G43" s="966">
        <f>G44+G49+SUM(G55:G59)</f>
        <v>10319318</v>
      </c>
      <c r="H43" s="228"/>
      <c r="I43"/>
      <c r="J43" s="94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2.9" customHeight="1" x14ac:dyDescent="0.25">
      <c r="A44"/>
      <c r="B44" s="227"/>
      <c r="C44" s="510" t="s">
        <v>355</v>
      </c>
      <c r="D44" s="248" t="s">
        <v>451</v>
      </c>
      <c r="E44" s="249">
        <f>SUM(E45:E48)</f>
        <v>0</v>
      </c>
      <c r="F44" s="249">
        <f>SUM(F45:F48)</f>
        <v>0</v>
      </c>
      <c r="G44" s="964">
        <f>SUM(G45:G48)</f>
        <v>0</v>
      </c>
      <c r="H44" s="228"/>
      <c r="I44"/>
      <c r="J44" s="94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6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2.9" customHeight="1" x14ac:dyDescent="0.2">
      <c r="A45"/>
      <c r="B45" s="227"/>
      <c r="C45" s="512" t="s">
        <v>194</v>
      </c>
      <c r="D45" s="251" t="s">
        <v>452</v>
      </c>
      <c r="E45" s="252"/>
      <c r="F45" s="252"/>
      <c r="G45" s="967"/>
      <c r="H45" s="228"/>
      <c r="I45"/>
      <c r="J45" s="94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2.9" customHeight="1" x14ac:dyDescent="0.2">
      <c r="A46"/>
      <c r="B46" s="227"/>
      <c r="C46" s="514" t="s">
        <v>202</v>
      </c>
      <c r="D46" s="254" t="s">
        <v>453</v>
      </c>
      <c r="E46" s="255"/>
      <c r="F46" s="255"/>
      <c r="G46" s="968"/>
      <c r="H46" s="228"/>
      <c r="I46"/>
      <c r="J46" s="94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2.9" customHeight="1" x14ac:dyDescent="0.2">
      <c r="A47"/>
      <c r="B47" s="227"/>
      <c r="C47" s="514" t="s">
        <v>204</v>
      </c>
      <c r="D47" s="254" t="s">
        <v>454</v>
      </c>
      <c r="E47" s="255"/>
      <c r="F47" s="255"/>
      <c r="G47" s="968"/>
      <c r="H47" s="228"/>
      <c r="I47"/>
      <c r="J47" s="94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6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2.9" customHeight="1" x14ac:dyDescent="0.2">
      <c r="A48"/>
      <c r="B48" s="227"/>
      <c r="C48" s="514" t="s">
        <v>206</v>
      </c>
      <c r="D48" s="254" t="s">
        <v>455</v>
      </c>
      <c r="E48" s="255"/>
      <c r="F48" s="255"/>
      <c r="G48" s="968"/>
      <c r="H48" s="228"/>
      <c r="I48"/>
      <c r="J48" s="94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6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2.9" customHeight="1" x14ac:dyDescent="0.25">
      <c r="A49"/>
      <c r="B49" s="227"/>
      <c r="C49" s="510" t="s">
        <v>366</v>
      </c>
      <c r="D49" s="248" t="s">
        <v>456</v>
      </c>
      <c r="E49" s="249">
        <f>SUM(E50:E54)</f>
        <v>1357510.54</v>
      </c>
      <c r="F49" s="249">
        <f>SUM(F50:F54)</f>
        <v>910000</v>
      </c>
      <c r="G49" s="964">
        <f>SUM(G50:G54)</f>
        <v>960000</v>
      </c>
      <c r="H49" s="228"/>
      <c r="I49"/>
      <c r="J49" s="94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6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2.9" customHeight="1" x14ac:dyDescent="0.2">
      <c r="A50"/>
      <c r="B50" s="227"/>
      <c r="C50" s="512" t="s">
        <v>194</v>
      </c>
      <c r="D50" s="251" t="s">
        <v>457</v>
      </c>
      <c r="E50" s="252"/>
      <c r="F50" s="252"/>
      <c r="G50" s="967"/>
      <c r="H50" s="228"/>
      <c r="I50"/>
      <c r="J50" s="94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6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257" customFormat="1" ht="22.9" customHeight="1" x14ac:dyDescent="0.25">
      <c r="B51" s="36"/>
      <c r="C51" s="514" t="s">
        <v>202</v>
      </c>
      <c r="D51" s="254" t="s">
        <v>458</v>
      </c>
      <c r="E51" s="255"/>
      <c r="F51" s="255"/>
      <c r="G51" s="968"/>
      <c r="H51" s="232"/>
      <c r="J51" s="94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6"/>
    </row>
    <row r="52" spans="1:256" ht="22.9" customHeight="1" x14ac:dyDescent="0.2">
      <c r="B52" s="227"/>
      <c r="C52" s="514" t="s">
        <v>204</v>
      </c>
      <c r="D52" s="254" t="s">
        <v>459</v>
      </c>
      <c r="E52" s="255"/>
      <c r="F52" s="255"/>
      <c r="G52" s="968"/>
      <c r="H52" s="228"/>
      <c r="J52" s="94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6"/>
    </row>
    <row r="53" spans="1:256" ht="22.9" customHeight="1" x14ac:dyDescent="0.2">
      <c r="B53" s="227"/>
      <c r="C53" s="514" t="s">
        <v>206</v>
      </c>
      <c r="D53" s="254" t="s">
        <v>380</v>
      </c>
      <c r="E53" s="255"/>
      <c r="F53" s="255"/>
      <c r="G53" s="968"/>
      <c r="H53" s="228"/>
      <c r="J53" s="94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6"/>
    </row>
    <row r="54" spans="1:256" ht="22.9" customHeight="1" x14ac:dyDescent="0.2">
      <c r="B54" s="227"/>
      <c r="C54" s="514" t="s">
        <v>361</v>
      </c>
      <c r="D54" s="254" t="s">
        <v>460</v>
      </c>
      <c r="E54" s="255">
        <v>1357510.54</v>
      </c>
      <c r="F54" s="255">
        <v>910000</v>
      </c>
      <c r="G54" s="968">
        <v>960000</v>
      </c>
      <c r="H54" s="228"/>
      <c r="J54" s="94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</row>
    <row r="55" spans="1:256" ht="22.9" customHeight="1" x14ac:dyDescent="0.25">
      <c r="B55" s="227"/>
      <c r="C55" s="510" t="s">
        <v>371</v>
      </c>
      <c r="D55" s="248" t="s">
        <v>461</v>
      </c>
      <c r="E55" s="256"/>
      <c r="F55" s="256"/>
      <c r="G55" s="963"/>
      <c r="H55" s="228"/>
      <c r="J55" s="94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6"/>
    </row>
    <row r="56" spans="1:256" ht="22.9" customHeight="1" x14ac:dyDescent="0.25">
      <c r="B56" s="227"/>
      <c r="C56" s="510" t="s">
        <v>375</v>
      </c>
      <c r="D56" s="248" t="s">
        <v>462</v>
      </c>
      <c r="E56" s="256">
        <v>10390334.85</v>
      </c>
      <c r="F56" s="256">
        <v>9933572.0299999993</v>
      </c>
      <c r="G56" s="963">
        <f>9321818+37500</f>
        <v>9359318</v>
      </c>
      <c r="H56" s="228"/>
      <c r="J56" s="94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6"/>
    </row>
    <row r="57" spans="1:256" ht="22.9" customHeight="1" x14ac:dyDescent="0.25">
      <c r="B57" s="227"/>
      <c r="C57" s="510" t="s">
        <v>383</v>
      </c>
      <c r="D57" s="248" t="s">
        <v>463</v>
      </c>
      <c r="E57" s="256"/>
      <c r="F57" s="256"/>
      <c r="G57" s="963"/>
      <c r="H57" s="228"/>
      <c r="J57" s="94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6"/>
    </row>
    <row r="58" spans="1:256" ht="22.9" customHeight="1" x14ac:dyDescent="0.25">
      <c r="B58" s="227"/>
      <c r="C58" s="510" t="s">
        <v>386</v>
      </c>
      <c r="D58" s="248" t="s">
        <v>464</v>
      </c>
      <c r="E58" s="256"/>
      <c r="F58" s="256"/>
      <c r="G58" s="963"/>
      <c r="H58" s="228"/>
      <c r="J58" s="94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6"/>
    </row>
    <row r="59" spans="1:256" ht="22.9" customHeight="1" x14ac:dyDescent="0.25">
      <c r="B59" s="227"/>
      <c r="C59" s="510" t="s">
        <v>388</v>
      </c>
      <c r="D59" s="248" t="s">
        <v>465</v>
      </c>
      <c r="E59" s="256"/>
      <c r="F59" s="256"/>
      <c r="G59" s="963"/>
      <c r="H59" s="228"/>
      <c r="J59" s="94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6"/>
    </row>
    <row r="60" spans="1:256" ht="22.9" customHeight="1" x14ac:dyDescent="0.25">
      <c r="B60" s="227"/>
      <c r="C60" s="522"/>
      <c r="D60" s="10"/>
      <c r="E60" s="520"/>
      <c r="F60" s="520"/>
      <c r="G60" s="965"/>
      <c r="H60" s="228"/>
      <c r="J60" s="94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6"/>
    </row>
    <row r="61" spans="1:256" ht="22.9" customHeight="1" x14ac:dyDescent="0.25">
      <c r="B61" s="227"/>
      <c r="C61" s="507" t="s">
        <v>466</v>
      </c>
      <c r="D61" s="454" t="s">
        <v>467</v>
      </c>
      <c r="E61" s="508">
        <f>E62+E63+E66+E72+E73+E83+E84</f>
        <v>7147220.3199999994</v>
      </c>
      <c r="F61" s="508">
        <f>F62+F63+F66+F72+F73+F83+F84</f>
        <v>3201627.8899999997</v>
      </c>
      <c r="G61" s="966">
        <f>G62+G63+G66+G72+G73+G83+G84</f>
        <v>2861917.2600000002</v>
      </c>
      <c r="H61" s="228"/>
      <c r="J61" s="94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6"/>
    </row>
    <row r="62" spans="1:256" ht="22.9" customHeight="1" x14ac:dyDescent="0.25">
      <c r="B62" s="227"/>
      <c r="C62" s="510" t="s">
        <v>355</v>
      </c>
      <c r="D62" s="248" t="s">
        <v>468</v>
      </c>
      <c r="E62" s="256"/>
      <c r="F62" s="256"/>
      <c r="G62" s="963"/>
      <c r="H62" s="228"/>
      <c r="J62" s="94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6"/>
    </row>
    <row r="63" spans="1:256" ht="22.9" customHeight="1" x14ac:dyDescent="0.25">
      <c r="B63" s="227"/>
      <c r="C63" s="510" t="s">
        <v>366</v>
      </c>
      <c r="D63" s="248" t="s">
        <v>469</v>
      </c>
      <c r="E63" s="249">
        <f>SUM(E64:E65)</f>
        <v>0</v>
      </c>
      <c r="F63" s="249">
        <f>SUM(F64:F65)</f>
        <v>0</v>
      </c>
      <c r="G63" s="964">
        <f>SUM(G64:G65)</f>
        <v>0</v>
      </c>
      <c r="H63" s="228"/>
      <c r="J63" s="94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6"/>
    </row>
    <row r="64" spans="1:256" ht="22.9" customHeight="1" x14ac:dyDescent="0.2">
      <c r="B64" s="227"/>
      <c r="C64" s="512" t="s">
        <v>194</v>
      </c>
      <c r="D64" s="251" t="s">
        <v>470</v>
      </c>
      <c r="E64" s="252"/>
      <c r="F64" s="252"/>
      <c r="G64" s="967"/>
      <c r="H64" s="228"/>
      <c r="J64" s="94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6"/>
    </row>
    <row r="65" spans="2:23" ht="22.9" customHeight="1" x14ac:dyDescent="0.2">
      <c r="B65" s="227"/>
      <c r="C65" s="514" t="s">
        <v>202</v>
      </c>
      <c r="D65" s="254" t="s">
        <v>455</v>
      </c>
      <c r="E65" s="255"/>
      <c r="F65" s="255"/>
      <c r="G65" s="968"/>
      <c r="H65" s="228"/>
      <c r="J65" s="94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6"/>
    </row>
    <row r="66" spans="2:23" ht="22.9" customHeight="1" x14ac:dyDescent="0.25">
      <c r="B66" s="227"/>
      <c r="C66" s="510" t="s">
        <v>371</v>
      </c>
      <c r="D66" s="248" t="s">
        <v>471</v>
      </c>
      <c r="E66" s="249">
        <f>SUM(E67:E71)</f>
        <v>4614682.68</v>
      </c>
      <c r="F66" s="249">
        <f>SUM(F67:F71)</f>
        <v>500000</v>
      </c>
      <c r="G66" s="964">
        <f>SUM(G67:G71)</f>
        <v>0</v>
      </c>
      <c r="H66" s="228"/>
      <c r="J66" s="94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</row>
    <row r="67" spans="2:23" ht="22.9" customHeight="1" x14ac:dyDescent="0.2">
      <c r="B67" s="227"/>
      <c r="C67" s="512" t="s">
        <v>194</v>
      </c>
      <c r="D67" s="251" t="s">
        <v>472</v>
      </c>
      <c r="E67" s="252"/>
      <c r="F67" s="252"/>
      <c r="G67" s="967"/>
      <c r="H67" s="228"/>
      <c r="J67" s="94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</row>
    <row r="68" spans="2:23" ht="22.9" customHeight="1" x14ac:dyDescent="0.2">
      <c r="B68" s="227"/>
      <c r="C68" s="514" t="s">
        <v>202</v>
      </c>
      <c r="D68" s="254" t="s">
        <v>458</v>
      </c>
      <c r="E68" s="255"/>
      <c r="F68" s="255"/>
      <c r="G68" s="968"/>
      <c r="H68" s="228"/>
      <c r="J68" s="94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6"/>
    </row>
    <row r="69" spans="2:23" ht="22.9" customHeight="1" x14ac:dyDescent="0.2">
      <c r="B69" s="227"/>
      <c r="C69" s="514" t="s">
        <v>204</v>
      </c>
      <c r="D69" s="254" t="s">
        <v>459</v>
      </c>
      <c r="E69" s="255"/>
      <c r="F69" s="255"/>
      <c r="G69" s="968"/>
      <c r="H69" s="228"/>
      <c r="J69" s="94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</row>
    <row r="70" spans="2:23" ht="22.9" customHeight="1" x14ac:dyDescent="0.2">
      <c r="B70" s="227"/>
      <c r="C70" s="514" t="s">
        <v>206</v>
      </c>
      <c r="D70" s="254" t="s">
        <v>380</v>
      </c>
      <c r="E70" s="255"/>
      <c r="F70" s="255"/>
      <c r="G70" s="968"/>
      <c r="H70" s="228"/>
      <c r="J70" s="94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</row>
    <row r="71" spans="2:23" ht="22.9" customHeight="1" x14ac:dyDescent="0.2">
      <c r="B71" s="227"/>
      <c r="C71" s="514" t="s">
        <v>361</v>
      </c>
      <c r="D71" s="254" t="s">
        <v>460</v>
      </c>
      <c r="E71" s="255">
        <v>4614682.68</v>
      </c>
      <c r="F71" s="255">
        <v>500000</v>
      </c>
      <c r="G71" s="968">
        <v>0</v>
      </c>
      <c r="H71" s="228"/>
      <c r="J71" s="94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</row>
    <row r="72" spans="2:23" ht="22.9" customHeight="1" x14ac:dyDescent="0.25">
      <c r="B72" s="227"/>
      <c r="C72" s="510" t="s">
        <v>375</v>
      </c>
      <c r="D72" s="248" t="s">
        <v>473</v>
      </c>
      <c r="E72" s="256">
        <v>78726.929999999993</v>
      </c>
      <c r="F72" s="256">
        <v>78726.929999999993</v>
      </c>
      <c r="G72" s="963">
        <v>78726.929999999993</v>
      </c>
      <c r="H72" s="228"/>
      <c r="J72" s="94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6"/>
    </row>
    <row r="73" spans="2:23" ht="22.9" customHeight="1" x14ac:dyDescent="0.25">
      <c r="B73" s="227"/>
      <c r="C73" s="510" t="s">
        <v>383</v>
      </c>
      <c r="D73" s="248" t="s">
        <v>474</v>
      </c>
      <c r="E73" s="249">
        <f>E74+SUM(E77:E82)</f>
        <v>2453810.71</v>
      </c>
      <c r="F73" s="249">
        <f>F74+SUM(F77:F82)</f>
        <v>2622900.96</v>
      </c>
      <c r="G73" s="964">
        <f>G74+SUM(G77:G82)</f>
        <v>2783190.33</v>
      </c>
      <c r="H73" s="228"/>
      <c r="J73" s="94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6"/>
    </row>
    <row r="74" spans="2:23" ht="22.9" customHeight="1" x14ac:dyDescent="0.2">
      <c r="B74" s="227"/>
      <c r="C74" s="514" t="s">
        <v>194</v>
      </c>
      <c r="D74" s="254" t="s">
        <v>475</v>
      </c>
      <c r="E74" s="523">
        <f>SUM(E75:E76)</f>
        <v>1040242.13</v>
      </c>
      <c r="F74" s="523">
        <f>SUM(F75:F76)</f>
        <v>1092900.96</v>
      </c>
      <c r="G74" s="969">
        <f>SUM(G75:G76)</f>
        <v>1180006.03</v>
      </c>
      <c r="H74" s="228"/>
      <c r="J74" s="94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6"/>
    </row>
    <row r="75" spans="2:23" ht="22.9" customHeight="1" x14ac:dyDescent="0.2">
      <c r="B75" s="227"/>
      <c r="C75" s="524" t="s">
        <v>196</v>
      </c>
      <c r="D75" s="478" t="s">
        <v>476</v>
      </c>
      <c r="E75" s="525"/>
      <c r="F75" s="525"/>
      <c r="G75" s="970"/>
      <c r="H75" s="228"/>
      <c r="J75" s="94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</row>
    <row r="76" spans="2:23" ht="22.9" customHeight="1" x14ac:dyDescent="0.2">
      <c r="B76" s="227"/>
      <c r="C76" s="524" t="s">
        <v>198</v>
      </c>
      <c r="D76" s="478" t="s">
        <v>477</v>
      </c>
      <c r="E76" s="525">
        <v>1040242.13</v>
      </c>
      <c r="F76" s="525">
        <f>1312000-219099.04</f>
        <v>1092900.96</v>
      </c>
      <c r="G76" s="970">
        <f>1422000-241993.97</f>
        <v>1180006.03</v>
      </c>
      <c r="H76" s="228"/>
      <c r="J76" s="94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6"/>
    </row>
    <row r="77" spans="2:23" ht="22.9" customHeight="1" x14ac:dyDescent="0.2">
      <c r="B77" s="227"/>
      <c r="C77" s="514" t="s">
        <v>202</v>
      </c>
      <c r="D77" s="254" t="s">
        <v>478</v>
      </c>
      <c r="E77" s="255">
        <v>648570.44999999995</v>
      </c>
      <c r="F77" s="255">
        <f>1343000-593000</f>
        <v>750000</v>
      </c>
      <c r="G77" s="968">
        <f>1688000-568000-311815.7</f>
        <v>808184.3</v>
      </c>
      <c r="H77" s="228"/>
      <c r="J77" s="94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6"/>
    </row>
    <row r="78" spans="2:23" ht="22.9" customHeight="1" x14ac:dyDescent="0.2">
      <c r="B78" s="227"/>
      <c r="C78" s="514" t="s">
        <v>204</v>
      </c>
      <c r="D78" s="254" t="s">
        <v>479</v>
      </c>
      <c r="E78" s="255">
        <v>561834.42000000004</v>
      </c>
      <c r="F78" s="255">
        <v>570000</v>
      </c>
      <c r="G78" s="968">
        <v>580000</v>
      </c>
      <c r="H78" s="228"/>
      <c r="J78" s="94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</row>
    <row r="79" spans="2:23" ht="22.9" customHeight="1" x14ac:dyDescent="0.2">
      <c r="B79" s="227"/>
      <c r="C79" s="514" t="s">
        <v>206</v>
      </c>
      <c r="D79" s="254" t="s">
        <v>480</v>
      </c>
      <c r="E79" s="255">
        <v>73320.95</v>
      </c>
      <c r="F79" s="255">
        <v>70000</v>
      </c>
      <c r="G79" s="515">
        <v>70000</v>
      </c>
      <c r="H79" s="228"/>
      <c r="J79" s="94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</row>
    <row r="80" spans="2:23" ht="22.9" customHeight="1" x14ac:dyDescent="0.2">
      <c r="B80" s="227"/>
      <c r="C80" s="514" t="s">
        <v>361</v>
      </c>
      <c r="D80" s="254" t="s">
        <v>481</v>
      </c>
      <c r="E80" s="255"/>
      <c r="F80" s="255"/>
      <c r="G80" s="515"/>
      <c r="H80" s="228"/>
      <c r="J80" s="94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6"/>
    </row>
    <row r="81" spans="2:23" ht="22.9" customHeight="1" x14ac:dyDescent="0.2">
      <c r="B81" s="227"/>
      <c r="C81" s="514" t="s">
        <v>217</v>
      </c>
      <c r="D81" s="254" t="s">
        <v>482</v>
      </c>
      <c r="E81" s="255">
        <v>96171.81</v>
      </c>
      <c r="F81" s="255">
        <f>70000+5000+25000</f>
        <v>100000</v>
      </c>
      <c r="G81" s="515">
        <v>100000</v>
      </c>
      <c r="H81" s="228"/>
      <c r="J81" s="94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6"/>
    </row>
    <row r="82" spans="2:23" ht="22.9" customHeight="1" x14ac:dyDescent="0.2">
      <c r="B82" s="227"/>
      <c r="C82" s="514" t="s">
        <v>222</v>
      </c>
      <c r="D82" s="254" t="s">
        <v>483</v>
      </c>
      <c r="E82" s="255">
        <v>33670.949999999997</v>
      </c>
      <c r="F82" s="255">
        <v>40000</v>
      </c>
      <c r="G82" s="515">
        <v>45000</v>
      </c>
      <c r="H82" s="228"/>
      <c r="J82" s="94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6"/>
    </row>
    <row r="83" spans="2:23" ht="22.9" customHeight="1" x14ac:dyDescent="0.25">
      <c r="B83" s="227"/>
      <c r="C83" s="510" t="s">
        <v>386</v>
      </c>
      <c r="D83" s="248" t="s">
        <v>414</v>
      </c>
      <c r="E83" s="256"/>
      <c r="F83" s="256"/>
      <c r="G83" s="516"/>
      <c r="H83" s="228"/>
      <c r="J83" s="94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6"/>
    </row>
    <row r="84" spans="2:23" ht="22.9" customHeight="1" x14ac:dyDescent="0.25">
      <c r="B84" s="227"/>
      <c r="C84" s="510" t="s">
        <v>388</v>
      </c>
      <c r="D84" s="248" t="s">
        <v>484</v>
      </c>
      <c r="E84" s="256"/>
      <c r="F84" s="256"/>
      <c r="G84" s="516"/>
      <c r="H84" s="228"/>
      <c r="J84" s="94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</row>
    <row r="85" spans="2:23" ht="22.9" customHeight="1" x14ac:dyDescent="0.25">
      <c r="B85" s="227"/>
      <c r="C85" s="505"/>
      <c r="D85" s="245"/>
      <c r="E85" s="520"/>
      <c r="F85" s="520"/>
      <c r="G85" s="521"/>
      <c r="H85" s="228"/>
      <c r="J85" s="94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</row>
    <row r="86" spans="2:23" ht="22.9" customHeight="1" x14ac:dyDescent="0.3">
      <c r="B86" s="227"/>
      <c r="C86" s="493" t="s">
        <v>485</v>
      </c>
      <c r="D86" s="280"/>
      <c r="E86" s="281">
        <f>E16+E43+E61</f>
        <v>50548313.089999996</v>
      </c>
      <c r="F86" s="281">
        <f>F16+F43+F61</f>
        <v>44347731.649999999</v>
      </c>
      <c r="G86" s="526">
        <f>G16+G43+G61</f>
        <v>41821004.899999999</v>
      </c>
      <c r="H86" s="228"/>
      <c r="J86" s="94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6"/>
    </row>
    <row r="87" spans="2:23" ht="22.9" customHeight="1" x14ac:dyDescent="0.2">
      <c r="B87" s="282"/>
      <c r="C87" s="996"/>
      <c r="D87" s="996"/>
      <c r="E87" s="996"/>
      <c r="F87" s="996"/>
      <c r="G87" s="284"/>
      <c r="H87" s="285"/>
      <c r="J87" s="103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5"/>
    </row>
    <row r="88" spans="2:23" ht="22.9" customHeight="1" x14ac:dyDescent="0.2">
      <c r="C88" s="27"/>
      <c r="D88" s="27"/>
      <c r="E88" s="27"/>
      <c r="F88" s="27"/>
      <c r="G88" s="27"/>
    </row>
    <row r="89" spans="2:23" ht="15" x14ac:dyDescent="0.2">
      <c r="C89" s="27" t="s">
        <v>55</v>
      </c>
      <c r="D89" s="27"/>
      <c r="E89" s="27"/>
      <c r="F89" s="27"/>
      <c r="G89" s="29" t="s">
        <v>486</v>
      </c>
    </row>
    <row r="90" spans="2:23" ht="15" x14ac:dyDescent="0.2">
      <c r="C90" s="26" t="s">
        <v>57</v>
      </c>
      <c r="D90" s="27"/>
      <c r="E90" s="27"/>
      <c r="F90" s="27"/>
      <c r="G90" s="27"/>
    </row>
    <row r="91" spans="2:23" ht="15" x14ac:dyDescent="0.2">
      <c r="C91" s="26" t="s">
        <v>58</v>
      </c>
      <c r="D91" s="27"/>
      <c r="E91" s="27"/>
      <c r="F91" s="27"/>
      <c r="G91" s="27"/>
    </row>
    <row r="92" spans="2:23" ht="15" x14ac:dyDescent="0.2">
      <c r="C92" s="26" t="s">
        <v>59</v>
      </c>
      <c r="D92" s="27"/>
      <c r="E92" s="27"/>
      <c r="F92" s="27"/>
      <c r="G92" s="27"/>
    </row>
    <row r="93" spans="2:23" ht="15" x14ac:dyDescent="0.2">
      <c r="C93" s="26" t="s">
        <v>60</v>
      </c>
      <c r="D93" s="27"/>
      <c r="E93" s="27"/>
      <c r="F93" s="27"/>
      <c r="G93" s="27"/>
    </row>
    <row r="94" spans="2:23" ht="22.9" customHeight="1" x14ac:dyDescent="0.25">
      <c r="C94" s="27"/>
      <c r="D94" s="27"/>
      <c r="E94" s="527" t="str">
        <f>IF(CHECK_LIST!J15&gt;0,"Revisa","")</f>
        <v/>
      </c>
      <c r="F94" s="527" t="str">
        <f>IF(CHECK_LIST!K15&gt;0,"Revisa","")</f>
        <v/>
      </c>
      <c r="G94" s="527" t="str">
        <f>IF(CHECK_LIST!L15&gt;0,"Revisa","")</f>
        <v/>
      </c>
    </row>
  </sheetData>
  <sheetProtection password="E059" sheet="1" objects="1" scenarios="1"/>
  <mergeCells count="3">
    <mergeCell ref="G6:G7"/>
    <mergeCell ref="D9:G9"/>
    <mergeCell ref="C87:F87"/>
  </mergeCells>
  <printOptions horizontalCentered="1" verticalCentered="1"/>
  <pageMargins left="0.35625000000000001" right="0.35625000000000001" top="0.60624999999999996" bottom="0.60624999999999996" header="0.51180555555555551" footer="0.51180555555555551"/>
  <pageSetup paperSize="9" scale="36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53</vt:i4>
      </vt:variant>
    </vt:vector>
  </HeadingPairs>
  <TitlesOfParts>
    <vt:vector size="78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CHECK_LIST!__xlnm.Print_Area</vt:lpstr>
      <vt:lpstr>'FC-1_ORGANOS_GOBIERNO'!__xlnm.Print_Area</vt:lpstr>
      <vt:lpstr>'FC-10_DEUDAS'!__xlnm.Print_Area</vt:lpstr>
      <vt:lpstr>'FC-11_DEUDA_VIVA'!__xlnm.Print_Area</vt:lpstr>
      <vt:lpstr>'FC-12_PERFIL_VTO_DEUDA'!__xlnm.Print_Area</vt:lpstr>
      <vt:lpstr>'FC-13_PERSONAL'!__xlnm.Print_Area</vt:lpstr>
      <vt:lpstr>'FC-14_OPER_INTERNAS'!__xlnm.Print_Area</vt:lpstr>
      <vt:lpstr>'FC-15_ENCOMIENDAS'!__xlnm.Print_Area</vt:lpstr>
      <vt:lpstr>'FC-16_ESTAB_PRESUP'!__xlnm.Print_Area</vt:lpstr>
      <vt:lpstr>'FC-17_FINANCIACIÓN'!__xlnm.Print_Area</vt:lpstr>
      <vt:lpstr>'FC-2_1'!__xlnm.Print_Area</vt:lpstr>
      <vt:lpstr>'FC-2_ACCIONISTAS'!__xlnm.Print_Area</vt:lpstr>
      <vt:lpstr>'FC-3_1_INF_ADIC_CPyG'!__xlnm.Print_Area</vt:lpstr>
      <vt:lpstr>'FC-3_CPyG'!__xlnm.Print_Area</vt:lpstr>
      <vt:lpstr>'FC-4_ACTIVO'!__xlnm.Print_Area</vt:lpstr>
      <vt:lpstr>'FC-4_PASIVO'!__xlnm.Print_Area</vt:lpstr>
      <vt:lpstr>'FC-5_EFE'!__xlnm.Print_Area</vt:lpstr>
      <vt:lpstr>'FC-6_Inversiones'!__xlnm.Print_Area</vt:lpstr>
      <vt:lpstr>'FC-7_INF'!__xlnm.Print_Area</vt:lpstr>
      <vt:lpstr>'FC-8_INV_FINANCIERAS'!__xlnm.Print_Area</vt:lpstr>
      <vt:lpstr>'FC-9_TRANS_SUBV'!__xlnm.Print_Area</vt:lpstr>
      <vt:lpstr>'FC-90_COMPROBACIÓN'!__xlnm.Print_Area</vt:lpstr>
      <vt:lpstr>'FC-91_PRESUPUESTO'!__xlnm.Print_Area</vt:lpstr>
      <vt:lpstr>'FC-92_PRESUPUESTO_PYG'!__xlnm.Print_Area</vt:lpstr>
      <vt:lpstr>GENERAL!__xlnm.Print_Area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revision>0</cp:revision>
  <cp:lastPrinted>2017-12-28T14:35:32Z</cp:lastPrinted>
  <dcterms:created xsi:type="dcterms:W3CDTF">2017-09-18T15:25:23Z</dcterms:created>
  <dcterms:modified xsi:type="dcterms:W3CDTF">2018-01-26T12:00:45Z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