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activeX/activeX2.bin" ContentType="application/vnd.ms-office.activeX"/>
  <Override PartName="/xl/activeX/activeX4.bin" ContentType="application/vnd.ms-office.activeX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activeX/activeX3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4245" yWindow="1920" windowWidth="12000" windowHeight="6735" tabRatio="634" firstSheet="1" activeTab="1"/>
  </bookViews>
  <sheets>
    <sheet name="No rellenar Consolidación" sheetId="43" state="hidden" r:id="rId1"/>
    <sheet name="ORGANOS DE GOBIERNO" sheetId="56" r:id="rId2"/>
    <sheet name="ACCIONISTAS" sheetId="59" r:id="rId3"/>
    <sheet name="COMPROBACION" sheetId="50" r:id="rId4"/>
    <sheet name="CPYG" sheetId="42" r:id="rId5"/>
    <sheet name="ACTIVO" sheetId="24" r:id="rId6"/>
    <sheet name="PASIVO" sheetId="25" r:id="rId7"/>
    <sheet name="INF. ADIC. CPYG " sheetId="60" r:id="rId8"/>
    <sheet name="Inversiones reales" sheetId="61" r:id="rId9"/>
    <sheet name="Inv. NO FIN" sheetId="36" r:id="rId10"/>
    <sheet name="Inv. FIN" sheetId="37" r:id="rId11"/>
    <sheet name="No rellenar EP-5 " sheetId="23" state="hidden" r:id="rId12"/>
    <sheet name="Transf. y subv." sheetId="3" r:id="rId13"/>
    <sheet name="Deuda Viva y Prev. Vtos. Deuda" sheetId="62" r:id="rId14"/>
    <sheet name="Perfil Vtos Deuda 10 años" sheetId="63" r:id="rId15"/>
    <sheet name="Deuda L.P." sheetId="41" r:id="rId16"/>
    <sheet name="EP7 A" sheetId="39" state="hidden" r:id="rId17"/>
    <sheet name="Deuda C.P." sheetId="49" r:id="rId18"/>
    <sheet name="Personal" sheetId="55" r:id="rId19"/>
    <sheet name="PD 2017 (Personal)" sheetId="70" r:id="rId20"/>
    <sheet name="LF 2017 (Personal)" sheetId="69" r:id="rId21"/>
    <sheet name="LT 2017 (Personal)" sheetId="68" r:id="rId22"/>
    <sheet name="PRESTACIONES Y GASTOS SOCIALES" sheetId="67" r:id="rId23"/>
    <sheet name="COMPARATIVA 2016-2017" sheetId="66" r:id="rId24"/>
    <sheet name="Operaciones Internas" sheetId="26" r:id="rId25"/>
    <sheet name="Encomiendas" sheetId="27" r:id="rId26"/>
    <sheet name="Estab. Presup. " sheetId="65" state="hidden" r:id="rId27"/>
    <sheet name="FINANCIACION" sheetId="57" state="hidden" r:id="rId28"/>
    <sheet name="PRESUPUESTO" sheetId="47" state="hidden" r:id="rId29"/>
    <sheet name="PRESUPUESTO CPYG" sheetId="46" state="hidden" r:id="rId30"/>
  </sheets>
  <externalReferences>
    <externalReference r:id="rId31"/>
  </externalReferences>
  <definedNames>
    <definedName name="_xlnm._FilterDatabase" localSheetId="18" hidden="1">Personal!$C$10:$F$14</definedName>
    <definedName name="_xlnm.Print_Area" localSheetId="2">ACCIONISTAS!$B$3:$J$42</definedName>
    <definedName name="_xlnm.Print_Area" localSheetId="5">ACTIVO!$B$2:$E$43</definedName>
    <definedName name="_xlnm.Print_Area" localSheetId="23">'COMPARATIVA 2016-2017'!$B$3:$F$14</definedName>
    <definedName name="_xlnm.Print_Area" localSheetId="3">COMPROBACION!$B$2:$D$67</definedName>
    <definedName name="_xlnm.Print_Area" localSheetId="4">CPYG!$B$2:$E$94</definedName>
    <definedName name="_xlnm.Print_Area" localSheetId="17">'Deuda C.P.'!$A$2:$O$22</definedName>
    <definedName name="_xlnm.Print_Area" localSheetId="15">'Deuda L.P.'!$B$2:$P$29</definedName>
    <definedName name="_xlnm.Print_Area" localSheetId="13">'Deuda Viva y Prev. Vtos. Deuda'!$B$3:$L$29</definedName>
    <definedName name="_xlnm.Print_Area" localSheetId="25">Encomiendas!$B$2:$F$23</definedName>
    <definedName name="_xlnm.Print_Area" localSheetId="16">'EP7 A'!$A$1:$H$25</definedName>
    <definedName name="_xlnm.Print_Area" localSheetId="26">'Estab. Presup. '!$B$2:$F$29</definedName>
    <definedName name="_xlnm.Print_Area" localSheetId="27">FINANCIACION!$B$2:$I$25</definedName>
    <definedName name="_xlnm.Print_Area" localSheetId="7">'INF. ADIC. CPYG '!$B$2:$M$50</definedName>
    <definedName name="_xlnm.Print_Area" localSheetId="10">'Inv. FIN'!$B$2:$M$53</definedName>
    <definedName name="_xlnm.Print_Area" localSheetId="9">'Inv. NO FIN'!$B$1:$L$34</definedName>
    <definedName name="_xlnm.Print_Area" localSheetId="8">'Inversiones reales'!$B$2:$Q$31</definedName>
    <definedName name="_xlnm.Print_Area" localSheetId="20">'LF 2017 (Personal)'!$B$2:$N$70</definedName>
    <definedName name="_xlnm.Print_Area" localSheetId="21">'LT 2017 (Personal)'!$B$2:$N$70</definedName>
    <definedName name="_xlnm.Print_Area" localSheetId="0">'No rellenar Consolidación'!$A$1:$D$99</definedName>
    <definedName name="_xlnm.Print_Area" localSheetId="11">'No rellenar EP-5 '!$A$1:$D$81</definedName>
    <definedName name="_xlnm.Print_Area" localSheetId="24">'Operaciones Internas'!$B$2:$E$63</definedName>
    <definedName name="_xlnm.Print_Area" localSheetId="1">'ORGANOS DE GOBIERNO'!$B$3:$I$15</definedName>
    <definedName name="_xlnm.Print_Area" localSheetId="6">PASIVO!$B$2:$E$60</definedName>
    <definedName name="_xlnm.Print_Area" localSheetId="19">'PD 2017 (Personal)'!$B$2:$O$70</definedName>
    <definedName name="_xlnm.Print_Area" localSheetId="14">'Perfil Vtos Deuda 10 años'!$B$2:$L$13</definedName>
    <definedName name="_xlnm.Print_Area" localSheetId="18">Personal!$B$2:$I$54</definedName>
    <definedName name="_xlnm.Print_Area" localSheetId="22">'PRESTACIONES Y GASTOS SOCIALES'!$B$2:$D$17</definedName>
    <definedName name="_xlnm.Print_Area" localSheetId="28">PRESUPUESTO!$B$2:$D$61</definedName>
    <definedName name="_xlnm.Print_Area" localSheetId="29">'PRESUPUESTO CPYG'!$B$2:$D$72</definedName>
    <definedName name="_xlnm.Print_Area" localSheetId="12">'Transf. y subv.'!$B$2:$I$57</definedName>
  </definedNames>
  <calcPr calcId="125725"/>
</workbook>
</file>

<file path=xl/calcChain.xml><?xml version="1.0" encoding="utf-8"?>
<calcChain xmlns="http://schemas.openxmlformats.org/spreadsheetml/2006/main">
  <c r="I10" i="56"/>
  <c r="D13" i="46"/>
  <c r="I24" i="57"/>
  <c r="I14"/>
  <c r="I7"/>
  <c r="E10" i="68" l="1"/>
  <c r="J10"/>
  <c r="K10"/>
  <c r="E11"/>
  <c r="G11" s="1"/>
  <c r="J11"/>
  <c r="K11"/>
  <c r="E14"/>
  <c r="M14" s="1"/>
  <c r="L14"/>
  <c r="L15"/>
  <c r="M15"/>
  <c r="L16"/>
  <c r="O15" l="1"/>
  <c r="E16"/>
  <c r="M16" s="1"/>
  <c r="O16" s="1"/>
  <c r="O14"/>
  <c r="G10"/>
  <c r="H11"/>
  <c r="M11" s="1"/>
  <c r="L11" s="1"/>
  <c r="O11" s="1"/>
  <c r="D21" i="65"/>
  <c r="D14"/>
  <c r="D9"/>
  <c r="D6"/>
  <c r="E27" i="26"/>
  <c r="K10" i="69"/>
  <c r="J10"/>
  <c r="E10"/>
  <c r="G10" s="1"/>
  <c r="H10" s="1"/>
  <c r="C4"/>
  <c r="C4" i="68" s="1"/>
  <c r="I35" i="55"/>
  <c r="E35"/>
  <c r="D35"/>
  <c r="I34"/>
  <c r="E34"/>
  <c r="E33"/>
  <c r="I33" s="1"/>
  <c r="E34" i="3"/>
  <c r="B29"/>
  <c r="F18"/>
  <c r="F16"/>
  <c r="E18"/>
  <c r="E6"/>
  <c r="E16"/>
  <c r="G18" i="36"/>
  <c r="D18"/>
  <c r="H7" i="61" s="1"/>
  <c r="F7" s="1"/>
  <c r="D8" i="36"/>
  <c r="K8" s="1"/>
  <c r="G8"/>
  <c r="F29" i="60"/>
  <c r="E29"/>
  <c r="F17"/>
  <c r="H24"/>
  <c r="H29"/>
  <c r="E15"/>
  <c r="L16"/>
  <c r="I16"/>
  <c r="F16"/>
  <c r="E41" i="24"/>
  <c r="E18" i="25"/>
  <c r="E16" s="1"/>
  <c r="D14"/>
  <c r="D13"/>
  <c r="H10" i="68" l="1"/>
  <c r="M10" i="69"/>
  <c r="L10" s="1"/>
  <c r="P10" s="1"/>
  <c r="D41" i="24"/>
  <c r="D16" i="25"/>
  <c r="D36" i="24"/>
  <c r="E42" i="42"/>
  <c r="E38"/>
  <c r="D32"/>
  <c r="D29" s="1"/>
  <c r="D30"/>
  <c r="D22"/>
  <c r="D23"/>
  <c r="E46" i="26"/>
  <c r="C46"/>
  <c r="E59"/>
  <c r="C59"/>
  <c r="E12" i="66"/>
  <c r="D12"/>
  <c r="D17" i="67"/>
  <c r="C17"/>
  <c r="D7"/>
  <c r="C7"/>
  <c r="M2" i="60"/>
  <c r="D51" i="50"/>
  <c r="D12"/>
  <c r="D11"/>
  <c r="C13" i="63"/>
  <c r="D13"/>
  <c r="E13"/>
  <c r="F13"/>
  <c r="G13"/>
  <c r="H13"/>
  <c r="I13"/>
  <c r="J13"/>
  <c r="K13"/>
  <c r="L13"/>
  <c r="I33" i="60"/>
  <c r="E64" i="42" s="1"/>
  <c r="I37" i="60"/>
  <c r="D92" i="46"/>
  <c r="K20" i="60"/>
  <c r="K24"/>
  <c r="K11"/>
  <c r="K15"/>
  <c r="K10" s="1"/>
  <c r="K7"/>
  <c r="L20"/>
  <c r="L19" s="1"/>
  <c r="L24"/>
  <c r="L11"/>
  <c r="L15"/>
  <c r="L7"/>
  <c r="H20"/>
  <c r="H19" s="1"/>
  <c r="H11"/>
  <c r="H15"/>
  <c r="H7"/>
  <c r="I20"/>
  <c r="I24"/>
  <c r="I11"/>
  <c r="I15"/>
  <c r="I7"/>
  <c r="E20"/>
  <c r="E24"/>
  <c r="E11"/>
  <c r="E10" s="1"/>
  <c r="E7"/>
  <c r="F20"/>
  <c r="F24"/>
  <c r="F11"/>
  <c r="F15"/>
  <c r="F10" s="1"/>
  <c r="F7"/>
  <c r="B3"/>
  <c r="G37"/>
  <c r="C63" i="42"/>
  <c r="G33" i="60"/>
  <c r="C64" i="42"/>
  <c r="B5" i="59"/>
  <c r="B3" i="42"/>
  <c r="B4" i="55" s="1"/>
  <c r="B4" i="46"/>
  <c r="B4" i="47"/>
  <c r="B4" i="50"/>
  <c r="B3" i="57"/>
  <c r="I2"/>
  <c r="C7" i="24"/>
  <c r="E8" i="42"/>
  <c r="E12"/>
  <c r="E18"/>
  <c r="D8" i="65" s="1"/>
  <c r="D5" s="1"/>
  <c r="E22" i="42"/>
  <c r="E29"/>
  <c r="E37"/>
  <c r="D19" i="65" s="1"/>
  <c r="E49" i="42"/>
  <c r="E48"/>
  <c r="E53"/>
  <c r="D35" i="46"/>
  <c r="D34" i="50" s="1"/>
  <c r="E58" i="42"/>
  <c r="E67"/>
  <c r="D15" i="46" s="1"/>
  <c r="D15" i="47" s="1"/>
  <c r="D15" i="50" s="1"/>
  <c r="E70" i="42"/>
  <c r="E66"/>
  <c r="E74"/>
  <c r="E78"/>
  <c r="E82"/>
  <c r="E85"/>
  <c r="D8"/>
  <c r="D12"/>
  <c r="D18"/>
  <c r="D37"/>
  <c r="D42"/>
  <c r="D49"/>
  <c r="D53"/>
  <c r="D48"/>
  <c r="D58"/>
  <c r="D67"/>
  <c r="D70"/>
  <c r="G70" s="1"/>
  <c r="D74"/>
  <c r="H74" s="1"/>
  <c r="D78"/>
  <c r="D82"/>
  <c r="D85"/>
  <c r="C53"/>
  <c r="C67"/>
  <c r="E45" i="3"/>
  <c r="C29" i="25"/>
  <c r="D29"/>
  <c r="C45"/>
  <c r="D45"/>
  <c r="C8" i="42"/>
  <c r="C29"/>
  <c r="D36" i="23" s="1"/>
  <c r="E29" i="25"/>
  <c r="E45"/>
  <c r="F15" i="3"/>
  <c r="F45"/>
  <c r="C12" i="42"/>
  <c r="C18"/>
  <c r="C22"/>
  <c r="C37"/>
  <c r="C42"/>
  <c r="C49"/>
  <c r="C48" s="1"/>
  <c r="D53" i="23" s="1"/>
  <c r="C58" i="42"/>
  <c r="C70"/>
  <c r="C66"/>
  <c r="C74"/>
  <c r="C78"/>
  <c r="C82"/>
  <c r="C85"/>
  <c r="D36" i="55"/>
  <c r="I20" s="1"/>
  <c r="I43"/>
  <c r="F57" i="24"/>
  <c r="F17" i="3"/>
  <c r="H27" i="25" s="1"/>
  <c r="E17" i="3"/>
  <c r="E36" i="55"/>
  <c r="E33" i="25"/>
  <c r="C55"/>
  <c r="C49"/>
  <c r="C12" i="24"/>
  <c r="I42" i="55"/>
  <c r="H30" i="42"/>
  <c r="G11" i="36"/>
  <c r="D19" i="23"/>
  <c r="E7" i="24"/>
  <c r="D7"/>
  <c r="C16"/>
  <c r="C6"/>
  <c r="K20" i="36"/>
  <c r="K10"/>
  <c r="E33" i="24"/>
  <c r="D33"/>
  <c r="C33"/>
  <c r="C33" i="25"/>
  <c r="C28" s="1"/>
  <c r="C23"/>
  <c r="C16"/>
  <c r="C12"/>
  <c r="D8" i="23"/>
  <c r="D14"/>
  <c r="D59"/>
  <c r="I31" i="55"/>
  <c r="D37" i="26"/>
  <c r="L24" i="41"/>
  <c r="D27" i="47"/>
  <c r="D27" i="50" s="1"/>
  <c r="M24" i="41"/>
  <c r="J21" i="36"/>
  <c r="D78" i="50" s="1"/>
  <c r="I40" i="37"/>
  <c r="D25" i="24"/>
  <c r="D24"/>
  <c r="D40"/>
  <c r="D30"/>
  <c r="D47" i="46"/>
  <c r="D42" i="47" s="1"/>
  <c r="D44" i="50" s="1"/>
  <c r="D62" i="46"/>
  <c r="D56"/>
  <c r="D29"/>
  <c r="D23"/>
  <c r="E8" i="25"/>
  <c r="D12"/>
  <c r="E23"/>
  <c r="D33"/>
  <c r="D28" s="1"/>
  <c r="D8"/>
  <c r="D23"/>
  <c r="C8"/>
  <c r="E49"/>
  <c r="D49"/>
  <c r="E55"/>
  <c r="D55"/>
  <c r="K7" i="36"/>
  <c r="K9"/>
  <c r="J11"/>
  <c r="I11"/>
  <c r="H11"/>
  <c r="F11"/>
  <c r="E11"/>
  <c r="D11"/>
  <c r="C30" i="24"/>
  <c r="C12" i="36" s="1"/>
  <c r="K12" s="1"/>
  <c r="E25" i="24"/>
  <c r="E24" s="1"/>
  <c r="E40"/>
  <c r="E30"/>
  <c r="C25"/>
  <c r="C24" s="1"/>
  <c r="C40"/>
  <c r="E12"/>
  <c r="D12"/>
  <c r="E16"/>
  <c r="K18" i="36"/>
  <c r="D16" i="24"/>
  <c r="I30" i="55"/>
  <c r="I36" s="1"/>
  <c r="I32"/>
  <c r="F36"/>
  <c r="G36"/>
  <c r="H36"/>
  <c r="D48" i="46"/>
  <c r="D43" i="47" s="1"/>
  <c r="D45" i="50" s="1"/>
  <c r="E33" i="37"/>
  <c r="K22" i="36"/>
  <c r="G78" i="42"/>
  <c r="D50" i="23"/>
  <c r="I21" i="36"/>
  <c r="D21"/>
  <c r="F21"/>
  <c r="E21"/>
  <c r="D75" i="50"/>
  <c r="G21" i="36"/>
  <c r="D76" i="50"/>
  <c r="H21" i="36"/>
  <c r="D77" i="50"/>
  <c r="J24" i="41"/>
  <c r="C29" i="43"/>
  <c r="F14" i="37"/>
  <c r="F33"/>
  <c r="F40"/>
  <c r="C28" i="43" s="1"/>
  <c r="C31" s="1"/>
  <c r="K17" i="36"/>
  <c r="K19"/>
  <c r="E15" i="3"/>
  <c r="E19" s="1"/>
  <c r="H14" i="37"/>
  <c r="H33"/>
  <c r="J39"/>
  <c r="J38"/>
  <c r="J37"/>
  <c r="J36"/>
  <c r="J35"/>
  <c r="J40" s="1"/>
  <c r="J32"/>
  <c r="J31"/>
  <c r="J30"/>
  <c r="J29"/>
  <c r="J33" s="1"/>
  <c r="J28"/>
  <c r="J20"/>
  <c r="J19"/>
  <c r="J18"/>
  <c r="J17"/>
  <c r="J21"/>
  <c r="J16"/>
  <c r="J13"/>
  <c r="J12"/>
  <c r="J11"/>
  <c r="J10"/>
  <c r="J14" s="1"/>
  <c r="J9"/>
  <c r="D55" i="47"/>
  <c r="D57" i="50" s="1"/>
  <c r="N2" i="49"/>
  <c r="P9"/>
  <c r="P10" s="1"/>
  <c r="P11" s="1"/>
  <c r="P12" s="1"/>
  <c r="P13" s="1"/>
  <c r="P14" s="1"/>
  <c r="P15" s="1"/>
  <c r="P16" s="1"/>
  <c r="S9"/>
  <c r="Q9" s="1"/>
  <c r="S10"/>
  <c r="Q10" s="1"/>
  <c r="S11"/>
  <c r="Q11" s="1"/>
  <c r="S12"/>
  <c r="Q12" s="1"/>
  <c r="S13"/>
  <c r="Q13" s="1"/>
  <c r="S14"/>
  <c r="Q14" s="1"/>
  <c r="S15"/>
  <c r="Q15" s="1"/>
  <c r="S16"/>
  <c r="Q16" s="1"/>
  <c r="I17"/>
  <c r="J17"/>
  <c r="L17"/>
  <c r="M17"/>
  <c r="N17"/>
  <c r="I33" i="37"/>
  <c r="E14"/>
  <c r="L33"/>
  <c r="L40"/>
  <c r="H40"/>
  <c r="C68" i="43"/>
  <c r="C71" s="1"/>
  <c r="E40" i="37"/>
  <c r="L14"/>
  <c r="L21"/>
  <c r="I14"/>
  <c r="D79" i="50" s="1"/>
  <c r="I21" i="37"/>
  <c r="H21"/>
  <c r="F21"/>
  <c r="D54" i="47" s="1"/>
  <c r="E21" i="37"/>
  <c r="O24" i="41"/>
  <c r="N24"/>
  <c r="K24"/>
  <c r="E2" i="24"/>
  <c r="E2" i="25"/>
  <c r="L2" i="37"/>
  <c r="B3" i="26"/>
  <c r="E2"/>
  <c r="F2" i="27"/>
  <c r="O2" i="41"/>
  <c r="G2" i="3"/>
  <c r="K1" i="36"/>
  <c r="H72" i="42"/>
  <c r="G72"/>
  <c r="H70"/>
  <c r="H40"/>
  <c r="G40"/>
  <c r="H39"/>
  <c r="G39"/>
  <c r="H38"/>
  <c r="G38"/>
  <c r="H33"/>
  <c r="G33"/>
  <c r="G32"/>
  <c r="H31"/>
  <c r="G31"/>
  <c r="G30"/>
  <c r="H24"/>
  <c r="G24"/>
  <c r="G15"/>
  <c r="H93"/>
  <c r="G93"/>
  <c r="H92"/>
  <c r="G92"/>
  <c r="H90"/>
  <c r="G90"/>
  <c r="H46"/>
  <c r="G46"/>
  <c r="D105"/>
  <c r="E105"/>
  <c r="C105"/>
  <c r="G54" i="37"/>
  <c r="G55" s="1"/>
  <c r="H54"/>
  <c r="H55" s="1"/>
  <c r="F54"/>
  <c r="F55" s="1"/>
  <c r="E54"/>
  <c r="E55" s="1"/>
  <c r="C78" i="23"/>
  <c r="D78"/>
  <c r="D96" i="43"/>
  <c r="D94"/>
  <c r="D97" s="1"/>
  <c r="C56"/>
  <c r="C16"/>
  <c r="E60"/>
  <c r="E61"/>
  <c r="E62"/>
  <c r="C38"/>
  <c r="C73"/>
  <c r="G28" i="39"/>
  <c r="E28"/>
  <c r="D28"/>
  <c r="C28"/>
  <c r="H28"/>
  <c r="F28"/>
  <c r="G15"/>
  <c r="E15"/>
  <c r="C15"/>
  <c r="D15"/>
  <c r="D22" i="23"/>
  <c r="B9"/>
  <c r="C9"/>
  <c r="B10"/>
  <c r="C10"/>
  <c r="D10"/>
  <c r="B11"/>
  <c r="C11"/>
  <c r="D11"/>
  <c r="B12"/>
  <c r="C12"/>
  <c r="D12"/>
  <c r="B15"/>
  <c r="C15"/>
  <c r="B16"/>
  <c r="C16"/>
  <c r="D16"/>
  <c r="B17"/>
  <c r="C17"/>
  <c r="D17"/>
  <c r="B18"/>
  <c r="C18"/>
  <c r="D18"/>
  <c r="B19"/>
  <c r="C19"/>
  <c r="B20"/>
  <c r="C20"/>
  <c r="D20"/>
  <c r="B22"/>
  <c r="C22"/>
  <c r="B23"/>
  <c r="C23"/>
  <c r="D23"/>
  <c r="B24"/>
  <c r="C24"/>
  <c r="D24"/>
  <c r="B25"/>
  <c r="C25"/>
  <c r="D25"/>
  <c r="B27"/>
  <c r="C27"/>
  <c r="B29"/>
  <c r="C29"/>
  <c r="D29"/>
  <c r="B30"/>
  <c r="C30"/>
  <c r="D30"/>
  <c r="B31"/>
  <c r="C31"/>
  <c r="D31"/>
  <c r="B32"/>
  <c r="C32"/>
  <c r="D32"/>
  <c r="B33"/>
  <c r="C33"/>
  <c r="D33"/>
  <c r="B34"/>
  <c r="C34"/>
  <c r="D34"/>
  <c r="B36"/>
  <c r="C36"/>
  <c r="B37"/>
  <c r="C37"/>
  <c r="D37"/>
  <c r="B38"/>
  <c r="C38"/>
  <c r="D38"/>
  <c r="B39"/>
  <c r="C39"/>
  <c r="D39"/>
  <c r="B40"/>
  <c r="C40"/>
  <c r="D40"/>
  <c r="B41"/>
  <c r="C41"/>
  <c r="D41"/>
  <c r="B43"/>
  <c r="C43"/>
  <c r="B44"/>
  <c r="C44"/>
  <c r="D44"/>
  <c r="B46"/>
  <c r="C46"/>
  <c r="D46"/>
  <c r="B47"/>
  <c r="C47"/>
  <c r="D47"/>
  <c r="B48"/>
  <c r="C48"/>
  <c r="D48"/>
  <c r="B49"/>
  <c r="C49"/>
  <c r="D49"/>
  <c r="B50"/>
  <c r="C50"/>
  <c r="B51"/>
  <c r="C51"/>
  <c r="D51"/>
  <c r="B53"/>
  <c r="C53"/>
  <c r="B54"/>
  <c r="C54"/>
  <c r="B55"/>
  <c r="C55"/>
  <c r="D55"/>
  <c r="B59"/>
  <c r="C59"/>
  <c r="B60"/>
  <c r="C60"/>
  <c r="D60"/>
  <c r="B62"/>
  <c r="C62"/>
  <c r="B63"/>
  <c r="C63"/>
  <c r="D63"/>
  <c r="B65"/>
  <c r="C65"/>
  <c r="B66"/>
  <c r="C66"/>
  <c r="D66"/>
  <c r="B67"/>
  <c r="C67"/>
  <c r="D67"/>
  <c r="B69"/>
  <c r="C69"/>
  <c r="D69"/>
  <c r="B70"/>
  <c r="C70"/>
  <c r="D70"/>
  <c r="B71"/>
  <c r="C71"/>
  <c r="D71"/>
  <c r="B73"/>
  <c r="C73"/>
  <c r="D73"/>
  <c r="B74"/>
  <c r="C74"/>
  <c r="D74"/>
  <c r="B77"/>
  <c r="C77"/>
  <c r="B80"/>
  <c r="C80"/>
  <c r="D80"/>
  <c r="D4"/>
  <c r="C4"/>
  <c r="B4"/>
  <c r="D1"/>
  <c r="C62" i="43"/>
  <c r="C65" s="1"/>
  <c r="C22"/>
  <c r="A5"/>
  <c r="E57" i="3"/>
  <c r="F57"/>
  <c r="C8" i="23"/>
  <c r="C14"/>
  <c r="C21"/>
  <c r="C28"/>
  <c r="C35"/>
  <c r="C45"/>
  <c r="C42"/>
  <c r="C52"/>
  <c r="D13"/>
  <c r="D21"/>
  <c r="D26"/>
  <c r="D35"/>
  <c r="D45"/>
  <c r="D52"/>
  <c r="B8"/>
  <c r="B14"/>
  <c r="B21"/>
  <c r="B28"/>
  <c r="B35"/>
  <c r="B45"/>
  <c r="B42"/>
  <c r="B52"/>
  <c r="D64"/>
  <c r="D61"/>
  <c r="D68"/>
  <c r="D72"/>
  <c r="C64"/>
  <c r="C58"/>
  <c r="C61"/>
  <c r="C68"/>
  <c r="C72"/>
  <c r="B64"/>
  <c r="B58"/>
  <c r="B61"/>
  <c r="B57"/>
  <c r="B68"/>
  <c r="B72"/>
  <c r="Q15" i="41"/>
  <c r="Q16" s="1"/>
  <c r="Q17" s="1"/>
  <c r="Q18" s="1"/>
  <c r="Q19" s="1"/>
  <c r="Q20" s="1"/>
  <c r="Q21" s="1"/>
  <c r="Q22" s="1"/>
  <c r="Q23" s="1"/>
  <c r="T15"/>
  <c r="R15" s="1"/>
  <c r="T16"/>
  <c r="R16"/>
  <c r="T17"/>
  <c r="R17" s="1"/>
  <c r="T18"/>
  <c r="R18"/>
  <c r="T19"/>
  <c r="R19" s="1"/>
  <c r="T20"/>
  <c r="R20"/>
  <c r="T21"/>
  <c r="R21" s="1"/>
  <c r="T22"/>
  <c r="R22"/>
  <c r="T23"/>
  <c r="R23" s="1"/>
  <c r="F34" i="3"/>
  <c r="B26" i="23"/>
  <c r="B13"/>
  <c r="D42"/>
  <c r="C26"/>
  <c r="C13"/>
  <c r="D6"/>
  <c r="B7"/>
  <c r="C57"/>
  <c r="C7"/>
  <c r="B75"/>
  <c r="D75"/>
  <c r="B6"/>
  <c r="C6"/>
  <c r="C56"/>
  <c r="C75"/>
  <c r="C76"/>
  <c r="B56"/>
  <c r="B76"/>
  <c r="B78"/>
  <c r="C81"/>
  <c r="D81"/>
  <c r="B81"/>
  <c r="F15" i="39"/>
  <c r="H15"/>
  <c r="D20" i="47"/>
  <c r="D20" i="50" s="1"/>
  <c r="D26" i="47"/>
  <c r="D29" s="1"/>
  <c r="D6" i="24"/>
  <c r="D62" i="23"/>
  <c r="D43"/>
  <c r="D15"/>
  <c r="D9"/>
  <c r="C21" i="36"/>
  <c r="G27" i="42"/>
  <c r="H27"/>
  <c r="K11" i="36"/>
  <c r="C11"/>
  <c r="K21"/>
  <c r="D14" i="46"/>
  <c r="D14" i="47" s="1"/>
  <c r="D14" i="50" s="1"/>
  <c r="D48" i="47"/>
  <c r="D50" i="50" s="1"/>
  <c r="D53" s="1"/>
  <c r="C23" i="43"/>
  <c r="C25" s="1"/>
  <c r="D21" i="47"/>
  <c r="D21" i="50" s="1"/>
  <c r="D68" i="46"/>
  <c r="D64" i="50" s="1"/>
  <c r="G53" i="42"/>
  <c r="G37"/>
  <c r="C55" i="43"/>
  <c r="H78" i="42"/>
  <c r="H15"/>
  <c r="H32"/>
  <c r="E23" i="27"/>
  <c r="H37" i="60"/>
  <c r="D63" i="42" s="1"/>
  <c r="D62" s="1"/>
  <c r="H33" i="60"/>
  <c r="D64" i="42" s="1"/>
  <c r="B3" i="24"/>
  <c r="B3" i="37"/>
  <c r="D7" i="23"/>
  <c r="G7" i="42"/>
  <c r="C88"/>
  <c r="D58" i="23"/>
  <c r="E88" i="42"/>
  <c r="H48"/>
  <c r="B5" i="62"/>
  <c r="D28" i="23"/>
  <c r="D65"/>
  <c r="B4" i="63"/>
  <c r="D45" i="46"/>
  <c r="G42" i="42"/>
  <c r="D51" i="47"/>
  <c r="H53" i="42"/>
  <c r="B2" i="36"/>
  <c r="B3" i="3"/>
  <c r="B3" i="25"/>
  <c r="A3" i="49"/>
  <c r="D93" i="46"/>
  <c r="B4" i="61"/>
  <c r="E63" i="42"/>
  <c r="B3" i="27"/>
  <c r="B3" i="41"/>
  <c r="C15" i="43"/>
  <c r="C19" s="1"/>
  <c r="D13" i="47"/>
  <c r="D13" i="50" s="1"/>
  <c r="H7" i="42"/>
  <c r="D40" i="47"/>
  <c r="D42" i="50" s="1"/>
  <c r="D76" i="23"/>
  <c r="C80" i="43" l="1"/>
  <c r="D99"/>
  <c r="D57" i="47"/>
  <c r="D56" i="50"/>
  <c r="G48" i="42"/>
  <c r="D29" i="65"/>
  <c r="C54" i="43"/>
  <c r="D18" i="65"/>
  <c r="E62" i="42"/>
  <c r="D54" i="23"/>
  <c r="E6" i="24"/>
  <c r="E28" i="25"/>
  <c r="D66" i="42"/>
  <c r="D81" i="50"/>
  <c r="D46" i="46"/>
  <c r="D50" s="1"/>
  <c r="D65" s="1"/>
  <c r="D71" s="1"/>
  <c r="D74" s="1"/>
  <c r="D17" i="65"/>
  <c r="D16" s="1"/>
  <c r="M10" i="68"/>
  <c r="L10" s="1"/>
  <c r="O10" s="1"/>
  <c r="H10" i="60"/>
  <c r="H30" s="1"/>
  <c r="L10"/>
  <c r="E14" i="66"/>
  <c r="C23" i="24"/>
  <c r="E23"/>
  <c r="E43" s="1"/>
  <c r="E67" i="25" s="1"/>
  <c r="F19" i="60"/>
  <c r="F30" s="1"/>
  <c r="I10"/>
  <c r="D59" i="50"/>
  <c r="D74"/>
  <c r="C62" i="42"/>
  <c r="D56" i="23" s="1"/>
  <c r="D91" i="46"/>
  <c r="D17"/>
  <c r="D32" s="1"/>
  <c r="D38" s="1"/>
  <c r="D26" i="50"/>
  <c r="D29" s="1"/>
  <c r="E65" i="43"/>
  <c r="F6" i="3"/>
  <c r="F19" s="1"/>
  <c r="I19" i="60"/>
  <c r="K19"/>
  <c r="K30" s="1"/>
  <c r="E19"/>
  <c r="E30" s="1"/>
  <c r="I30"/>
  <c r="O30" s="1"/>
  <c r="L30"/>
  <c r="P30" s="1"/>
  <c r="E65" i="42"/>
  <c r="E43" i="25"/>
  <c r="D43"/>
  <c r="D23" i="24"/>
  <c r="D43" s="1"/>
  <c r="H42" i="42"/>
  <c r="H22"/>
  <c r="D17"/>
  <c r="D65" s="1"/>
  <c r="D17" i="50"/>
  <c r="E17" i="42"/>
  <c r="H37"/>
  <c r="I44" i="55"/>
  <c r="I21" s="1"/>
  <c r="C59" i="43"/>
  <c r="C77" s="1"/>
  <c r="C84" s="1"/>
  <c r="H12" i="42"/>
  <c r="G74"/>
  <c r="G66"/>
  <c r="H66"/>
  <c r="D88"/>
  <c r="G88" s="1"/>
  <c r="H29"/>
  <c r="G29"/>
  <c r="G22"/>
  <c r="G12"/>
  <c r="C35" i="43"/>
  <c r="C42" s="1"/>
  <c r="C17"/>
  <c r="H62" i="42"/>
  <c r="D23" i="50"/>
  <c r="D17" i="47"/>
  <c r="D23"/>
  <c r="C43" i="25"/>
  <c r="C43" i="24"/>
  <c r="C67" i="25" s="1"/>
  <c r="C17" i="42"/>
  <c r="C65" s="1"/>
  <c r="D41" i="47" l="1"/>
  <c r="E51" i="24"/>
  <c r="D82" i="50"/>
  <c r="C51" i="24"/>
  <c r="D32" i="50"/>
  <c r="D36" s="1"/>
  <c r="G62" i="42"/>
  <c r="D32" i="47"/>
  <c r="G65" i="42"/>
  <c r="H65"/>
  <c r="D80" i="50"/>
  <c r="D72" s="1"/>
  <c r="D67" i="25"/>
  <c r="D51" i="24"/>
  <c r="E59" i="43"/>
  <c r="E63" s="1"/>
  <c r="H17" i="42"/>
  <c r="E85" i="43"/>
  <c r="D43" i="50"/>
  <c r="D47" s="1"/>
  <c r="D62" s="1"/>
  <c r="D66" s="1"/>
  <c r="D70" s="1"/>
  <c r="D45" i="47"/>
  <c r="D60" s="1"/>
  <c r="D89" i="42"/>
  <c r="D91" s="1"/>
  <c r="D94" s="1"/>
  <c r="D106" s="1"/>
  <c r="D107" s="1"/>
  <c r="H88"/>
  <c r="E89"/>
  <c r="E71" i="43"/>
  <c r="E80" s="1"/>
  <c r="G17" i="42"/>
  <c r="D27" i="23"/>
  <c r="D57"/>
  <c r="C89" i="42"/>
  <c r="E52" i="24" l="1"/>
  <c r="D84" i="50"/>
  <c r="D52" i="24"/>
  <c r="D20" i="25"/>
  <c r="G89" i="42"/>
  <c r="D108"/>
  <c r="D110" s="1"/>
  <c r="E91"/>
  <c r="H89"/>
  <c r="D77" i="23"/>
  <c r="C91" i="42"/>
  <c r="C94" s="1"/>
  <c r="D7" i="25" l="1"/>
  <c r="D6" s="1"/>
  <c r="D60" s="1"/>
  <c r="D49" i="24" s="1"/>
  <c r="E14" i="25"/>
  <c r="E13"/>
  <c r="C90" i="23"/>
  <c r="C91" s="1"/>
  <c r="D102" i="42"/>
  <c r="D103" s="1"/>
  <c r="H91"/>
  <c r="E94"/>
  <c r="G91"/>
  <c r="C106"/>
  <c r="C107" s="1"/>
  <c r="C20" i="25"/>
  <c r="C108" i="42"/>
  <c r="C110" s="1"/>
  <c r="G94"/>
  <c r="D46" i="24" l="1"/>
  <c r="D68" i="25"/>
  <c r="E12"/>
  <c r="F63" i="43"/>
  <c r="G63" s="1"/>
  <c r="E106" i="42"/>
  <c r="E107" s="1"/>
  <c r="E108"/>
  <c r="E110" s="1"/>
  <c r="H94"/>
  <c r="E20" i="25"/>
  <c r="C7"/>
  <c r="C6" s="1"/>
  <c r="C60" s="1"/>
  <c r="B90" i="23"/>
  <c r="B91" s="1"/>
  <c r="C102" i="42"/>
  <c r="C103" s="1"/>
  <c r="D90" i="23" l="1"/>
  <c r="D91" s="1"/>
  <c r="E102" i="42"/>
  <c r="E103" s="1"/>
  <c r="E7" i="25"/>
  <c r="E6" s="1"/>
  <c r="E60" s="1"/>
  <c r="C49" i="24"/>
  <c r="C68" i="25"/>
  <c r="C46" i="24"/>
  <c r="E68" i="25" l="1"/>
  <c r="E49" i="24"/>
  <c r="E46"/>
</calcChain>
</file>

<file path=xl/comments1.xml><?xml version="1.0" encoding="utf-8"?>
<comments xmlns="http://schemas.openxmlformats.org/spreadsheetml/2006/main">
  <authors>
    <author>Alfonso Padrón Suárez</author>
    <author>AlfonsoP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Alfonso Padrón Suárez:</t>
        </r>
        <r>
          <rPr>
            <sz val="9"/>
            <color indexed="81"/>
            <rFont val="Tahoma"/>
            <family val="2"/>
          </rPr>
          <t xml:space="preserve">
Ingresos Financieros + Ingresos de Arrendamientos y accesorios + Ingresos por Dividendos de otras empresas (deben ser de Mercado)</t>
        </r>
      </text>
    </comment>
    <comment ref="C69" authorId="0">
      <text>
        <r>
          <rPr>
            <b/>
            <sz val="9"/>
            <color indexed="81"/>
            <rFont val="Tahoma"/>
            <family val="2"/>
          </rPr>
          <t>Alfonso Padrón Suárez:</t>
        </r>
        <r>
          <rPr>
            <sz val="9"/>
            <color indexed="81"/>
            <rFont val="Tahoma"/>
            <family val="2"/>
          </rPr>
          <t xml:space="preserve">
Se deberá tener en cuenta las variaciones en el corto plazo tambián mirar ficha EP-7, y tener en cuenta la devolución de fianzas y depósitos</t>
        </r>
      </text>
    </comment>
    <comment ref="C80" authorId="0">
      <text>
        <r>
          <rPr>
            <b/>
            <sz val="9"/>
            <color indexed="81"/>
            <rFont val="Tahoma"/>
            <family val="2"/>
          </rPr>
          <t>Alfonso Padrón Suárez:</t>
        </r>
        <r>
          <rPr>
            <sz val="9"/>
            <color indexed="81"/>
            <rFont val="Tahoma"/>
            <family val="2"/>
          </rPr>
          <t xml:space="preserve">
Resultado del Ejercicio + Variación de Capital Corriente</t>
        </r>
      </text>
    </comment>
    <comment ref="D96" authorId="1">
      <text>
        <r>
          <rPr>
            <b/>
            <sz val="8"/>
            <color indexed="81"/>
            <rFont val="Tahoma"/>
            <family val="2"/>
          </rPr>
          <t>AlfonsoP:</t>
        </r>
        <r>
          <rPr>
            <sz val="8"/>
            <color indexed="81"/>
            <rFont val="Tahoma"/>
            <family val="2"/>
          </rPr>
          <t xml:space="preserve">
Amortización y Diferencia de Cambios, porque las Provisiones estan en Fondo de Maniobra</t>
        </r>
      </text>
    </comment>
  </commentList>
</comments>
</file>

<file path=xl/sharedStrings.xml><?xml version="1.0" encoding="utf-8"?>
<sst xmlns="http://schemas.openxmlformats.org/spreadsheetml/2006/main" count="1269" uniqueCount="826">
  <si>
    <t>Nº años</t>
  </si>
  <si>
    <t>1.  IMPORTE NETO DE LA CIFRA DE NEGOCIOS.</t>
  </si>
  <si>
    <t>3. TRABAJOS REALIZADOS POR LA EMPRESA PARA SU ACTIVO.</t>
  </si>
  <si>
    <t>4. APROVISIONAMIENTOS.</t>
  </si>
  <si>
    <t xml:space="preserve">         a) Consumo de mercaderías.</t>
  </si>
  <si>
    <t xml:space="preserve">          b) Consumo de materias primas y otras materias consumibles.</t>
  </si>
  <si>
    <t xml:space="preserve">          c) Trabajos realizados por otras empresas.</t>
  </si>
  <si>
    <t xml:space="preserve">          d) Deterioro de mercaderías, materias primas y otros aprovisionamientos.</t>
  </si>
  <si>
    <t>5. OTROS INGRESOS DE EXPLOTACIÓN.</t>
  </si>
  <si>
    <t xml:space="preserve">      a) Ingresos accesorios y otros de gestión corriente.</t>
  </si>
  <si>
    <t xml:space="preserve">      b) Subvenciones de explotación incorporadas al resultado del ejercicio.</t>
  </si>
  <si>
    <t xml:space="preserve">          b.1.) Estado.</t>
  </si>
  <si>
    <t xml:space="preserve">          b.4. ) Cabildo Insular de Tenerife.</t>
  </si>
  <si>
    <t xml:space="preserve">          b.5. ) Otros Entes.</t>
  </si>
  <si>
    <t xml:space="preserve">          b.6. ) Imputación de subvenciones de explotación de ejercicios anteriores.</t>
  </si>
  <si>
    <t>6. GASTOS DE PERSONAL.</t>
  </si>
  <si>
    <t xml:space="preserve">      a) Sueldos, Salarios y Asimilados. (sin indem)</t>
  </si>
  <si>
    <t>7. OTROS GASTOS DE EXPLOTACIÓN.</t>
  </si>
  <si>
    <t xml:space="preserve">      c) Pérdidas, deterioro y variación de provisiones por operac. Comerciales.</t>
  </si>
  <si>
    <t xml:space="preserve">      d) Otros gastos de gestión corriente.</t>
  </si>
  <si>
    <t>8. AMORTIZACIÓN DEL INMOVILIZADO.</t>
  </si>
  <si>
    <t>9. IMPUTACIÓN DE SUBVENCIONES DE INMOVILIZADO NO FINANCIERO Y OTRAS. (2)</t>
  </si>
  <si>
    <t>10. EXCESOS DE PROVISIONES.</t>
  </si>
  <si>
    <t>11. DETERIORO Y RESULTADO POR ENAJENACIONES DEL INMOVILIZADO.</t>
  </si>
  <si>
    <t xml:space="preserve">      a) De participaciones en instrumentos de patrimonio.</t>
  </si>
  <si>
    <t xml:space="preserve">          a.1.) En empresas del grupo y asociadas.</t>
  </si>
  <si>
    <t xml:space="preserve">          a.2) En terceros.</t>
  </si>
  <si>
    <t xml:space="preserve">          b.1.) En empresas del grupo y asociadas.</t>
  </si>
  <si>
    <t xml:space="preserve">          b.2) En terceros.</t>
  </si>
  <si>
    <t xml:space="preserve">      a) Por deudas con empresas del grupo y asociadas.</t>
  </si>
  <si>
    <t xml:space="preserve">      a) Cartera de negociación y otros.</t>
  </si>
  <si>
    <t xml:space="preserve">      a) Deterioros y Pérdidas.</t>
  </si>
  <si>
    <t xml:space="preserve">      b) Resultados por enajenaciones y otras.</t>
  </si>
  <si>
    <t>A.4.) RESULTADO DEL EJERCICIO PROCEDENTE DE OPERACIONES CONTINUADAS (A.3 +17)</t>
  </si>
  <si>
    <t xml:space="preserve">  A.5)    RESULTADO DEL EJERCICIO  (A.4+18)</t>
  </si>
  <si>
    <t>introducir los ingresos en positivo y los gastos en negativo</t>
  </si>
  <si>
    <t xml:space="preserve">             1. Capital escriturado.</t>
  </si>
  <si>
    <t xml:space="preserve">            2. (Capital no exigido).</t>
  </si>
  <si>
    <t xml:space="preserve">            1. Legal y estatutarias.</t>
  </si>
  <si>
    <t xml:space="preserve">            2. Otras reservas.</t>
  </si>
  <si>
    <t xml:space="preserve">       IV.(Acciones y participaciones en patrimonio propias).</t>
  </si>
  <si>
    <t xml:space="preserve">             1. Remanente.</t>
  </si>
  <si>
    <t>Otro personal de Plan Empleo</t>
  </si>
  <si>
    <t>En Acción social he puesto otros gastos sociales como formación, uniformes, epis…y las indemnizaciones</t>
  </si>
  <si>
    <t xml:space="preserve">       VI.Otras aportaciones de socios.</t>
  </si>
  <si>
    <t xml:space="preserve">      VII. Resultado del Ejercicio</t>
  </si>
  <si>
    <t xml:space="preserve">       VIII.(Dividendo a cuenta).</t>
  </si>
  <si>
    <t xml:space="preserve">       IX.Otros instrumentos de patrimonio neto.</t>
  </si>
  <si>
    <t xml:space="preserve">   A-2) Ajustes por Cambios de Valor.</t>
  </si>
  <si>
    <t xml:space="preserve">       I.Activos Financieros Disponibles para la Venta.</t>
  </si>
  <si>
    <t xml:space="preserve">       II.Operaciones de Cobertura.</t>
  </si>
  <si>
    <t xml:space="preserve">       III.Otros.</t>
  </si>
  <si>
    <t xml:space="preserve">   A-3) Subvenciones, Donaciones y Legados Recibidos.</t>
  </si>
  <si>
    <t xml:space="preserve">       I.Provisiones a Largo Plazo.</t>
  </si>
  <si>
    <t xml:space="preserve">       II.Deudas a Largo Plazo.</t>
  </si>
  <si>
    <t>INMOVILIZADO MATERIAL (excepto terrenos)</t>
  </si>
  <si>
    <t xml:space="preserve">              1. Obligaciones y otros valores negociables.</t>
  </si>
  <si>
    <t xml:space="preserve">              3. Acreedores por arrendamiento financiero.</t>
  </si>
  <si>
    <t xml:space="preserve">      III. Deudas con empresas del grupo y asociadas a L/P.</t>
  </si>
  <si>
    <t xml:space="preserve">      IV. Pasivos por impuesto diferido.</t>
  </si>
  <si>
    <t xml:space="preserve">    V. Periodificación a L/P.(1)</t>
  </si>
  <si>
    <t>Aportación</t>
  </si>
  <si>
    <t>Resultado</t>
  </si>
  <si>
    <t>Bcio/Pérdida (+ bcio - pérdida)</t>
  </si>
  <si>
    <t xml:space="preserve">       I.Pasivos vinculados con activos no corrientes mantenidos para la venta.</t>
  </si>
  <si>
    <t xml:space="preserve">       II. Provisiones a Corto Plazo.</t>
  </si>
  <si>
    <t xml:space="preserve">       III. Deudas a Corto Plazo.</t>
  </si>
  <si>
    <t xml:space="preserve">              2. Deudas con Entidades de Crédito.</t>
  </si>
  <si>
    <t xml:space="preserve">      IV. Deudas con empresas del grupo y asociadas a C/P.</t>
  </si>
  <si>
    <t xml:space="preserve">      V. Acreedores comerciales y otras cuentas a pagar.</t>
  </si>
  <si>
    <t xml:space="preserve">              1. Proveedores.</t>
  </si>
  <si>
    <t>(1) Especificar el Importe para su consolidación</t>
  </si>
  <si>
    <t xml:space="preserve">       2. Construcciones.   </t>
  </si>
  <si>
    <t xml:space="preserve">    VI.Activos por Impuesto Diferido.</t>
  </si>
  <si>
    <t xml:space="preserve">       1. Clientes por ventas y prestaciones de servicios.</t>
  </si>
  <si>
    <t xml:space="preserve">    VI.Periodificaciones a Corto Plazo (1)</t>
  </si>
  <si>
    <t xml:space="preserve">    VII.Efectivo y otros Activos Líquidos Equivalentes.</t>
  </si>
  <si>
    <t xml:space="preserve">       1. Tesorería.</t>
  </si>
  <si>
    <t>Ajuste del Pasivo ( Imptos Diferidos)</t>
  </si>
  <si>
    <t>Ajuste del Pasivo (Por cambio de valor)</t>
  </si>
  <si>
    <t>Ajuste del Pasivo (Subv., Donac. Y Legados)</t>
  </si>
  <si>
    <t>Variación 2011/2010</t>
  </si>
  <si>
    <t>Variación 2012/2011</t>
  </si>
  <si>
    <t>DIFERENCIA INGRESOS / GASTOS:</t>
  </si>
  <si>
    <t>Ajuste del Activo (Amortizaciones)</t>
  </si>
  <si>
    <t>Ajuste del Activo (Impuestos Diferidos)</t>
  </si>
  <si>
    <t>Ajuste del Pasivo (Provisiones)</t>
  </si>
  <si>
    <t>Bce (A) V. Inv. Fin.</t>
  </si>
  <si>
    <t>Cuadre</t>
  </si>
  <si>
    <t>Fondo de maniobra</t>
  </si>
  <si>
    <t>Cuadre con pasivo</t>
  </si>
  <si>
    <t xml:space="preserve">    VI. Periodificación a C/P.(1)</t>
  </si>
  <si>
    <t>Activo</t>
  </si>
  <si>
    <t>Beneficio/pérdida con aportación Cabildo  en grupo 74</t>
  </si>
  <si>
    <t>Tiene que dar</t>
  </si>
  <si>
    <t xml:space="preserve">       2. Otros activos líquidos equivalentes.</t>
  </si>
  <si>
    <t>(1) Especificar o explicitar su importe para su consolidación</t>
  </si>
  <si>
    <t>PRESUPUESTO GENERAL DEL CABILDO INSULAR DE TENERIFE PROGRAMA DE ACTUACIÓN, INVERSIONES Y FINANCIACIÓN</t>
  </si>
  <si>
    <t>EMPRESA PÚBLICA: CASINO PLAYA AMERICAS</t>
  </si>
  <si>
    <t>INTERESES PAGADOS Y COBRADOS</t>
  </si>
  <si>
    <t>ENTIDAD BENEFICIARIA</t>
  </si>
  <si>
    <t>INTERESES PAGADOS</t>
  </si>
  <si>
    <t>INTERESES DEVENGADOS AL VENCIMIENTO</t>
  </si>
  <si>
    <t>CajaCanarias/BS/BBVA</t>
  </si>
  <si>
    <t>Comisión Tarj. Cdto.</t>
  </si>
  <si>
    <t>Otras comisiones</t>
  </si>
  <si>
    <t>ENTIDAD PAGADORA</t>
  </si>
  <si>
    <t>INTERESES COBRADOS</t>
  </si>
  <si>
    <t>Cabildo de Tenerife</t>
  </si>
  <si>
    <t>Deuda Pública</t>
  </si>
  <si>
    <t>Cmdad. Autónoma</t>
  </si>
  <si>
    <t>Cajacanarias</t>
  </si>
  <si>
    <t>Plazo Fijo</t>
  </si>
  <si>
    <t>B.S.C.H.</t>
  </si>
  <si>
    <t>Fondos Fim</t>
  </si>
  <si>
    <t>CajaCanarias</t>
  </si>
  <si>
    <t>Intereses C/C</t>
  </si>
  <si>
    <t>Otras Comisiones</t>
  </si>
  <si>
    <t>Área</t>
  </si>
  <si>
    <t xml:space="preserve">Concepto </t>
  </si>
  <si>
    <t>Importe</t>
  </si>
  <si>
    <t>Duración</t>
  </si>
  <si>
    <t>Ingresos</t>
  </si>
  <si>
    <t>Ente</t>
  </si>
  <si>
    <t>Gastos</t>
  </si>
  <si>
    <t>18. IMPUESTOS SOBRE BENEFICIOS</t>
  </si>
  <si>
    <t>(2) Esta cuenta tiene que ver con la imputación de subvenciones de capital a resultados.</t>
  </si>
  <si>
    <t xml:space="preserve">      a) Deterioros y pérdidas</t>
  </si>
  <si>
    <t xml:space="preserve">        TOTAL ACTIVO (A+B)</t>
  </si>
  <si>
    <t>C) PASIVO CORRIENTE</t>
  </si>
  <si>
    <t xml:space="preserve">        TOTAL PASIVO (A+B+C)</t>
  </si>
  <si>
    <t>PRESUPUESTO GENERAL DEL CABILDO INSULAR DE TENERIFE
PROGRAMA DE ACTUACIÓN, INVERSIONES Y FINANCIACIÓN</t>
  </si>
  <si>
    <t>ACTIVO</t>
  </si>
  <si>
    <t>PASIVO</t>
  </si>
  <si>
    <t xml:space="preserve">       II.Prima de Emisión </t>
  </si>
  <si>
    <t xml:space="preserve">       V.Resultados de ejercicios anteriores</t>
  </si>
  <si>
    <t xml:space="preserve">    II.Existencias</t>
  </si>
  <si>
    <t>Intereses</t>
  </si>
  <si>
    <t>Amortizaciones</t>
  </si>
  <si>
    <t>IMPORTE</t>
  </si>
  <si>
    <t>DE EXPLOTACIÓN:</t>
  </si>
  <si>
    <t>INSTRUCCIONES:</t>
  </si>
  <si>
    <t xml:space="preserve">   </t>
  </si>
  <si>
    <t xml:space="preserve">          a) Ventas</t>
  </si>
  <si>
    <t>AVALES PRESTADOS POR EL CABILDO INSULAR DE TENERIFE (en euros)</t>
  </si>
  <si>
    <t>TOTAL</t>
  </si>
  <si>
    <t>ÁREA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</si>
  <si>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</si>
  <si>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</si>
  <si>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</si>
  <si>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</si>
  <si>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</si>
  <si>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CASINO DE TAORO, SA</t>
  </si>
  <si>
    <t>CASINO DE PLAYA DE LAS AMÉRICAS, SA</t>
  </si>
  <si>
    <t>CASINO DE SANTA CRUZ, SA</t>
  </si>
  <si>
    <t>EMPRESA INSULAR DE ARTESANÍA, SA</t>
  </si>
  <si>
    <t>INSTIT.FERIAL DE TENERIFE, SA</t>
  </si>
  <si>
    <t>AUDITORIO DE TENERIFE, SA</t>
  </si>
  <si>
    <t>Deberá informarse en la memoria de actividades sobre la naturaleza de las operaciones que se prevé realizar.</t>
  </si>
  <si>
    <t>METROPOLITANO DE TENERIFE, S.A.</t>
  </si>
  <si>
    <t>TITSA</t>
  </si>
  <si>
    <t>y a qué grupo de función pertenece</t>
  </si>
  <si>
    <t xml:space="preserve">    I. Inmovilizado Intangible</t>
  </si>
  <si>
    <t xml:space="preserve">    II.Inmovilizado material</t>
  </si>
  <si>
    <t xml:space="preserve">    III.Inversiones Inmobiliarias.</t>
  </si>
  <si>
    <t xml:space="preserve">      1.Terrenos</t>
  </si>
  <si>
    <t xml:space="preserve">    IV.Inversiones Empresas del Grupo y Asoc. a L/P</t>
  </si>
  <si>
    <t xml:space="preserve">    V.Inversiones Financieras a L/P</t>
  </si>
  <si>
    <t xml:space="preserve">    I.Activos no corrientes mantenidos para la venta</t>
  </si>
  <si>
    <t xml:space="preserve">    III.Deudores Comerciales y otras cuentas a cobrar.</t>
  </si>
  <si>
    <t xml:space="preserve">    IV.Inversiones Empresas del Grupo y Asoc. a C/P</t>
  </si>
  <si>
    <t xml:space="preserve">    V.Inversiones Financieras a C/P</t>
  </si>
  <si>
    <t>A) PATRIMONIO NETO</t>
  </si>
  <si>
    <t xml:space="preserve">   A-1)Fondos Propios</t>
  </si>
  <si>
    <t xml:space="preserve">       I.Capital</t>
  </si>
  <si>
    <t xml:space="preserve">       III.Reservas</t>
  </si>
  <si>
    <t xml:space="preserve">             2. (Resultados negativos ejercicios anteriores)</t>
  </si>
  <si>
    <t>B) PASIVO NO CORRIENTE</t>
  </si>
  <si>
    <t>A) OPERACIONES CONTINUADAS</t>
  </si>
  <si>
    <t xml:space="preserve">          a.1) Al sector público</t>
  </si>
  <si>
    <t>(1) Relacionar los importes y el concepto y entidad en hoja aparte (influye en la EP-10)</t>
  </si>
  <si>
    <t xml:space="preserve">          a.2) Al sector privado</t>
  </si>
  <si>
    <t xml:space="preserve">          b.1) Al sector público</t>
  </si>
  <si>
    <t xml:space="preserve">          b.2.) Al sector privado</t>
  </si>
  <si>
    <t>EPEL AGROTEIDE ENTIDAD INSULAR DESARROLLO AGRICOLA Y GANADERO</t>
  </si>
  <si>
    <t>INSTITUTO VULCANOLÓGICO DE CANARIAS S.A.</t>
  </si>
  <si>
    <t>FIFEDE</t>
  </si>
  <si>
    <t>FUNDACIÓN  ITB</t>
  </si>
  <si>
    <t>AGENCIA INSULAR DE LA ENERGIA</t>
  </si>
  <si>
    <t>EMPRESAS CON PARTICIPACION MINORITARIA EN EL CAPITAL SOCIAL PERO DEPENDIENTES DEL ECIT</t>
  </si>
  <si>
    <t>MERCATENERIFE, S.A.</t>
  </si>
  <si>
    <t>CANARIAS SUBMARINE LINK, S.L. (Canalink)</t>
  </si>
  <si>
    <t xml:space="preserve">T O T A L  G A S T O S  </t>
  </si>
  <si>
    <t>OPERACIONES DE CRÉDITO A L/P (2) (en euros)</t>
  </si>
  <si>
    <t>(2) En operaciones de crédito se desglosarán todas las existentes, estén o no avaladas por el Cabildo Insular de Tenerife y que han sido concedidas a largo plazo.</t>
  </si>
  <si>
    <t>OPERACIONES DE CRÉDITO A C/P(2) (en euros)</t>
  </si>
  <si>
    <t>Fecha Vencimiento</t>
  </si>
  <si>
    <t>TRANSFERENCIAS Y SUBVENCIONES</t>
  </si>
  <si>
    <t>ANEXO PERSONAL</t>
  </si>
  <si>
    <t>ANEXO DEUDA C/P</t>
  </si>
  <si>
    <t>ANEXO DEUDA L/P</t>
  </si>
  <si>
    <t>ANEXO INVERSIONES NO FINANCIERAS</t>
  </si>
  <si>
    <t>ANEXO INVERSIONES  FINANCIERAS</t>
  </si>
  <si>
    <t>ANEXO CPYG</t>
  </si>
  <si>
    <t>ANEXO ENCOMIENDAS DE GESTIÓN</t>
  </si>
  <si>
    <t>ANEXO OPERACIONES INTERNAS</t>
  </si>
  <si>
    <t>(2) En operaciones de crédito se desglosarán todas las existentes, estén o no avaladas por el Cabildo Insular de Tenerife y que han sido concedidas a corto plazo.</t>
  </si>
  <si>
    <t xml:space="preserve">VARIACIÓN DE LAS INVERSIONES FINANCIERAS E INSTRUMENTOS DE PATRIMONIO </t>
  </si>
  <si>
    <t>(2) % PARTICIPACION: poncentaje total de participación que, al final del ejercicio, la entidad posee en la sociedad del grupo o asociada.</t>
  </si>
  <si>
    <t>INVERSIONES EN OTRAS EMPRESAS (6)</t>
  </si>
  <si>
    <t>INVERSIONES EN INSTRUMENTOS DE PATRIMONIO (9)</t>
  </si>
  <si>
    <t>RESTO DE INVERSIONES (10)</t>
  </si>
  <si>
    <t>Observaciones (8)</t>
  </si>
  <si>
    <t>(8) OBSERVACIONES: se recogera cualquier otra información que se considere relevante relativa a cada operación. En particular, se señalará el importe de los desembolsos pendientes en instrumentos de patrimonio.</t>
  </si>
  <si>
    <t>PRESUPUESTO GENERAL DEL CABILDO INSULAR DE TENERIFE                                                                                                                                                                                                                                                                                                                            PROGRAMA ANUAL DE ACTUACIÓN, INVERSIONES Y FINANCIACIÓN</t>
  </si>
  <si>
    <t>PRESUPUESTO GENERAL DEL CABILDO INSULAR DE TENERIFE
PROGRAMA ANUAL DE ACTUACIÓN, INVERSIONES Y FINANCIACIÓN</t>
  </si>
  <si>
    <t xml:space="preserve">ESTADO DE PREVISION DE INGRESOS Y GASTOS - BALANCE DE SITUACIÓN </t>
  </si>
  <si>
    <t xml:space="preserve">ESTADO DE PREVISION DE INGRESOS Y GASTOS - CUENTA DE PERDIDAS Y GANANCIAS </t>
  </si>
  <si>
    <t>Otros Ingresos cuenta perdidas y ganancias</t>
  </si>
  <si>
    <t>Otros Gastos cuenta perdidas y ganancias</t>
  </si>
  <si>
    <t>ACTIVO FIJO NO FINANICERO</t>
  </si>
  <si>
    <t>Ajuste VARIACIONES DE BALANCE</t>
  </si>
  <si>
    <t>I</t>
  </si>
  <si>
    <t>II</t>
  </si>
  <si>
    <t>ACTIVO FIJO  FINANICERO</t>
  </si>
  <si>
    <t>VARIACIÓN ACTIVO CORRIENTE SIN INVERSIONES FINANCIERAS A CORTO PLAZO</t>
  </si>
  <si>
    <t>DEBE SER IGUAL CON SIGNO CONTRARIO A LOS AJUSTES DEL BALANCE</t>
  </si>
  <si>
    <t>RESULTADO DE LA COMPROBACIÓN</t>
  </si>
  <si>
    <t>A mano</t>
  </si>
  <si>
    <t>13. OTROS RESULTADOS</t>
  </si>
  <si>
    <t>12.a. Subvenciones concedidas y transferencias realizadas por la entidad.</t>
  </si>
  <si>
    <t>Al sector público local de carácter administrativo</t>
  </si>
  <si>
    <t>Al sector público local de carácter empresarial o fundacional</t>
  </si>
  <si>
    <t>A otros</t>
  </si>
  <si>
    <t>A.1.)  RESULTADO DE EXPLOTACIÓN (∑(1+2+3+4+5+6+7+8+9+10+11+12+12a+13))</t>
  </si>
  <si>
    <t>14. INGRESOS FINANCIEROS.</t>
  </si>
  <si>
    <t>15. GASTOS FINANCIEROS.</t>
  </si>
  <si>
    <t>16. VARIACIÓN DE VALOR RAZONABLE EN INSTRUMENTOS FINANCIEROS.</t>
  </si>
  <si>
    <t>17. DIFERENCIA DE CAMBIO.</t>
  </si>
  <si>
    <t>18. DETERIORO Y RESULTADO POR ENAJENACIONES DE INSTRUMENTOS FINANCIEROS</t>
  </si>
  <si>
    <t>20. IMPUESTOS SOBRE BENEFICIOS.</t>
  </si>
  <si>
    <t>21. RESULTADO DEL EJERCICIO PROCEDENTE DE OPERACIONES INTERRUMPIDAS NETO DE IMPUESTOS.</t>
  </si>
  <si>
    <t>19. OTROS INGRESOS Y GASTOS DE CARÁCTER FINANCIERO</t>
  </si>
  <si>
    <t>Ojo. Apto VI NO está considerado en los Ajustes de Variaciones de Balance</t>
  </si>
  <si>
    <t>Ojo. Apto VII NO está considerado en los Ajustes de Variaciones de Balance</t>
  </si>
  <si>
    <t xml:space="preserve">  A) ACTIVO NO CORRIENTE</t>
  </si>
  <si>
    <t xml:space="preserve">     3. Anticipos</t>
  </si>
  <si>
    <t xml:space="preserve">     2. Aplicaciones Informáticas</t>
  </si>
  <si>
    <t xml:space="preserve">      1.  Desarrollo </t>
  </si>
  <si>
    <t xml:space="preserve">  B) ACTIVO CORRIENTE</t>
  </si>
  <si>
    <t xml:space="preserve">       2. Accionistas(socios) por desembolsos exigidos</t>
  </si>
  <si>
    <t xml:space="preserve">       3. Otros deudores</t>
  </si>
  <si>
    <t>PRESUPUESTO GENERAL DEL CABILDO INSULAR DE TENERIFE</t>
  </si>
  <si>
    <t>Anexo Inversiones reales</t>
  </si>
  <si>
    <t>Proyecto de Inversión</t>
  </si>
  <si>
    <t>Programación plurianual</t>
  </si>
  <si>
    <t>Código</t>
  </si>
  <si>
    <t>Denominación</t>
  </si>
  <si>
    <t>Año inicial</t>
  </si>
  <si>
    <t>Año Fin</t>
  </si>
  <si>
    <t>Coste Total</t>
  </si>
  <si>
    <t>Resto</t>
  </si>
  <si>
    <t>Nota:</t>
  </si>
  <si>
    <t>Aquellos proyectos de inversión cuyos importes sean de escasa importacia en relación con el volumen total de inversiones podrán agruparse en uno o varios proyectos genéricos.</t>
  </si>
  <si>
    <t>Se inclluiran todos los proyectos de inversión que se estén realizando en el ejercicio presupuesto, asó como los que estaán previsto iniciar en los tres siguientes.</t>
  </si>
  <si>
    <t xml:space="preserve">SUBVENCIONES PARA FINANCIAR ACTIVIDADES ESPECÍFICAS </t>
  </si>
  <si>
    <t>Factoring sin recurso</t>
  </si>
  <si>
    <t>Otras operaciones de crédito</t>
  </si>
  <si>
    <t>Carga Sociales</t>
  </si>
  <si>
    <t>12. DIFERENCIAS NEGATIVAS EN COMBINACIONES DE NEGOCIOS (Cuenta 774)</t>
  </si>
  <si>
    <t xml:space="preserve">       c) Imputación de subvenciones, donaciones y legados de carácter financiero</t>
  </si>
  <si>
    <t>a) Otros ingresos de carácter financiero</t>
  </si>
  <si>
    <t>b) Otros gastos de carácter financiero</t>
  </si>
  <si>
    <t>PROGRAMA ANUAL DE ACTUACIÓN, INVERSIONES Y FINANCIACIÓN</t>
  </si>
  <si>
    <t>(Se cumplimentará un cuadro para cada uno de los sectores de actividad de la Entidad)</t>
  </si>
  <si>
    <t>Sectores a considerar</t>
  </si>
  <si>
    <t>- Administracion General y Resto de sectores</t>
  </si>
  <si>
    <t>- Sector Asistencia social y dependencia</t>
  </si>
  <si>
    <t>Importe de la encomienda</t>
  </si>
  <si>
    <t>- Sector Sanitario (personal que presta servicio en las Instituciones del Servicio Nacional de Salud</t>
  </si>
  <si>
    <t>- Educativo Universitario (personal que presta servicio en universidades)</t>
  </si>
  <si>
    <t>- Educativo no Universitario (personal que presta servicio en centros de la docencia no universitaria</t>
  </si>
  <si>
    <t>Datos de Plantillas y retribuciones de un determinado sector</t>
  </si>
  <si>
    <t>Administracion General y Resto de sectores</t>
  </si>
  <si>
    <t>Número total de efectivos</t>
  </si>
  <si>
    <t>Número total de Gastos</t>
  </si>
  <si>
    <t>Gastos distribuidos por grupos de personal</t>
  </si>
  <si>
    <t>Grupo de personal</t>
  </si>
  <si>
    <t>Numero de efectivos</t>
  </si>
  <si>
    <t>Retribuciones distribuidas por grupos</t>
  </si>
  <si>
    <t>Sueldos y salarios (excepto variable)</t>
  </si>
  <si>
    <t>Retribución variable</t>
  </si>
  <si>
    <t>Planes de Pensiones</t>
  </si>
  <si>
    <t>Otras retribuciones</t>
  </si>
  <si>
    <t xml:space="preserve">VARIACIÓN PASIVO CORRIENTE-NO CORRIENTE </t>
  </si>
  <si>
    <t>Total retribuciones</t>
  </si>
  <si>
    <t>Organos de Gobierno</t>
  </si>
  <si>
    <t>Máximos responsables</t>
  </si>
  <si>
    <t>Resto de personal directivo</t>
  </si>
  <si>
    <t>Laboral contrato indefinido</t>
  </si>
  <si>
    <t>Laboral duración determinada</t>
  </si>
  <si>
    <t>Gastos Comunes sin distribuir por gupos</t>
  </si>
  <si>
    <t>Seguridad Social</t>
  </si>
  <si>
    <t>Total gastos comunes</t>
  </si>
  <si>
    <t>Observaciones :</t>
  </si>
  <si>
    <t>A.2.) RESULTADO FINANCIERO (∑ (14 A 19))</t>
  </si>
  <si>
    <t xml:space="preserve">      3. Resto del Inmovilizado Material</t>
  </si>
  <si>
    <t xml:space="preserve">      2. Anticipo para inmovilizaciones materiales (239)</t>
  </si>
  <si>
    <t xml:space="preserve">      1. Terrenos (220, (2920))</t>
  </si>
  <si>
    <t xml:space="preserve">    VII.Deudores comerciales no corrientes</t>
  </si>
  <si>
    <t xml:space="preserve">       1. Existencias</t>
  </si>
  <si>
    <t xml:space="preserve">       2. Anticipos  </t>
  </si>
  <si>
    <t xml:space="preserve">          Inmovilizado</t>
  </si>
  <si>
    <t xml:space="preserve">                     Terrenos</t>
  </si>
  <si>
    <t xml:space="preserve">                      Resto del inmovilizadoInversiones financieras</t>
  </si>
  <si>
    <t xml:space="preserve">          Existencias y otros activos</t>
  </si>
  <si>
    <t xml:space="preserve">          Inversiones financieras</t>
  </si>
  <si>
    <t>x</t>
  </si>
  <si>
    <t>Accion social-Otros gastos sociales</t>
  </si>
  <si>
    <t xml:space="preserve">APORTACIONES DE SOCIOS: TRANSFERENCIAS PARA FINANCIAR DÉFICIT DE EXPLOTACIÓN  O GASTOS GENERALES DE FUNCIONAMIENTO </t>
  </si>
  <si>
    <t>(6) INVERSIONES: Inclyue las inversiones financieras, tanto a largo como a corto plazo, que la entidad realiza en entidades QUE NO SON del grupo y NI asociadas con independencia de que la empresa tenga la intención de venderlos en el corto plazo.</t>
  </si>
  <si>
    <t>(7) % PARTICIPACION: poncentaje total de participación que, al final del ejercicio, la entidad posee en la sociedad.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</si>
  <si>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</si>
  <si>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</si>
  <si>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 xml:space="preserve">Nº de Operación </t>
  </si>
  <si>
    <t>Avalada por el Cabildo (1)</t>
  </si>
  <si>
    <t>(1) Se especificará si la operación está avalada por el Cabildo</t>
  </si>
  <si>
    <t xml:space="preserve">N º de operación </t>
  </si>
  <si>
    <t>2. VARIACIÓN DE EXISTENCIAS DE PRODUCTOS TERMINADOS Y EN CURSO DE FABRICACIÓN</t>
  </si>
  <si>
    <t xml:space="preserve">          b.2.) Comunidad Autónoma</t>
  </si>
  <si>
    <t xml:space="preserve">          b.3. ) Corporaciones Locales</t>
  </si>
  <si>
    <t xml:space="preserve">      b) Indemnizaciones</t>
  </si>
  <si>
    <t xml:space="preserve">      c) Seguridad Social a cargo de la empresa</t>
  </si>
  <si>
    <t xml:space="preserve">      d) Aportaciones a Planes de Pensiones u otros de aportación definida</t>
  </si>
  <si>
    <t xml:space="preserve">      e) Otros Gastos Sociales</t>
  </si>
  <si>
    <t xml:space="preserve">      f) Provisiones</t>
  </si>
  <si>
    <t xml:space="preserve">      a) Servicios Exteriores</t>
  </si>
  <si>
    <t xml:space="preserve">      b) Tributos</t>
  </si>
  <si>
    <t xml:space="preserve">      b) Resultados por enajenaciones y otras</t>
  </si>
  <si>
    <t xml:space="preserve">      b) De valores negociables y otros instrumentos financieros</t>
  </si>
  <si>
    <t xml:space="preserve">      b) Por deudas con terceros</t>
  </si>
  <si>
    <t xml:space="preserve">      c) Por actualización de provisiones</t>
  </si>
  <si>
    <t xml:space="preserve">      b) Imputación al resultado del ejercicio por activos financieros disponibles para la venta</t>
  </si>
  <si>
    <t>A.3.) RESULTADO ANTES DE IMPUESTOS (A.1 + A.2)</t>
  </si>
  <si>
    <t>B) OPERACIONES INTERRUMPIDAS</t>
  </si>
  <si>
    <t>OBSERVACIONES</t>
  </si>
  <si>
    <t>(+)Adquisiciones (2)</t>
  </si>
  <si>
    <t>(+)Intereses capitalizados (4)</t>
  </si>
  <si>
    <t>(+/-)Deterioro o Reversión del deterioro (6)</t>
  </si>
  <si>
    <t>(-) Ventas (7)</t>
  </si>
  <si>
    <t>(+/-) Otras variaciones (especificar en observaciones) (8)</t>
  </si>
  <si>
    <t>INMOVILIZADO INTANGIBLE</t>
  </si>
  <si>
    <t>INVERSIONES INMOBILIARIAS (excepto terrenos)</t>
  </si>
  <si>
    <t>TERRENOS</t>
  </si>
  <si>
    <t>EXISTENCIAS</t>
  </si>
  <si>
    <t>NOTAS</t>
  </si>
  <si>
    <t>(1)SALDO INICIAL: Saldo recogido en balance a 1 de enero del ejercicio al que esté referido el período .</t>
  </si>
  <si>
    <t>(2)ADQUISICIONES: El importe facturado por el proveedor y otros importes (portes ...) incorporados como mayor valor del activo, salvo los recogidos en las columnas (3) y (4).</t>
  </si>
  <si>
    <t>ESTADO DE PREVISION DE INGRESOS Y GASTOS</t>
  </si>
  <si>
    <t>TOTAL INGRESOS CON INGRESOS NO PRESUPUESTARIOS</t>
  </si>
  <si>
    <t>TOTAL GASTOS CON GASTOS NO PRESUPUESTARIOS</t>
  </si>
  <si>
    <t>PATRIMONIO NETO Y PASIVO</t>
  </si>
  <si>
    <t>(3)PROVISIÓN POR DESMANTELAMIENTO: Se reflejará, con signo positivo o negativo según proceda, el importe de la provisión por desmantelamiento y las posteriores correcciones a la misma dotadas como mayor (o menor) valor del inmovilizado.</t>
  </si>
  <si>
    <t>(4)INTERESES CAPITALIZADOS: Se reflejará, con signo positivo, el importe de los intereses incorporados como mayor valor del activo.</t>
  </si>
  <si>
    <t xml:space="preserve">              1. Provisión por retribuciones al personal</t>
  </si>
  <si>
    <t xml:space="preserve">              2. Provisión por desmantelamiento, retiro o rehabilitación del Inmovilizado.</t>
  </si>
  <si>
    <t xml:space="preserve">        3. Otras provisiones.</t>
  </si>
  <si>
    <t xml:space="preserve">              4. Otras deudas a L/P.</t>
  </si>
  <si>
    <t xml:space="preserve">    VI. Acreedores comerciales no corrientes </t>
  </si>
  <si>
    <t xml:space="preserve">    VII. Deudores con características especiales a L/P. </t>
  </si>
  <si>
    <t xml:space="preserve">              4. Otras deudas a corto plazo</t>
  </si>
  <si>
    <t xml:space="preserve">              2. Otros acreedores</t>
  </si>
  <si>
    <t xml:space="preserve">    VII.- Deuda con característica especiales a corto plazo</t>
  </si>
  <si>
    <r>
      <t>INSTITUTO TECNOLÓGICO Y DE COMUNICACIONES DE TENERIFE, S.L. (IT</t>
    </r>
    <r>
      <rPr>
        <vertAlign val="superscript"/>
        <sz val="10"/>
        <rFont val="Tahoma"/>
        <family val="2"/>
      </rPr>
      <t>3</t>
    </r>
    <r>
      <rPr>
        <sz val="10"/>
        <rFont val="Tahoma"/>
        <family val="2"/>
      </rPr>
      <t>)</t>
    </r>
  </si>
  <si>
    <t>Son las cosas de Balance (Activo y Pasivo) que no están metidas en Presupuesto</t>
  </si>
  <si>
    <t>VARIACION DE PATRIMONIO NETO</t>
  </si>
  <si>
    <t>(+/-)Provisión por desmantelamiento (3)</t>
  </si>
  <si>
    <t>INVERSIONES EMPRESAS DEL GRUPO Y ASOCIADAS (1)</t>
  </si>
  <si>
    <t>(5)AMORTIZACIÓN DEL EJERCICIO: se reflejará, con signo negativo, el importe de la amortización dotada en el ejercicio. En su caso, con signo negativo, las correciones a la amortización acumulada</t>
  </si>
  <si>
    <t>(6)DETERIORO O REVERSIÓN DEL DETERIORO: se reflejará, con signo negativo, el deterioro contabilizado en el ejercicio. Con signo positivo figurarán los excesos de deterioro que se produzcan.</t>
  </si>
  <si>
    <t>(7)VENTAS: recoge el valor neto contable de las activos enajenados.</t>
  </si>
  <si>
    <t xml:space="preserve">PRESUPUESTO GENERAL DEL CABILDO INSULAR DE TENERIFE                  </t>
  </si>
  <si>
    <t>Variaciones producidas en el útlimo ejercicio</t>
  </si>
  <si>
    <t>Nº acciones</t>
  </si>
  <si>
    <t>Valor Nominal</t>
  </si>
  <si>
    <t>Incremento en la participación</t>
  </si>
  <si>
    <t>Incremento en el nº de acciones</t>
  </si>
  <si>
    <t>Reducciones en la participación</t>
  </si>
  <si>
    <t>Reducciones en el nº de acciones</t>
  </si>
  <si>
    <t>Desembolsos
pendientes</t>
  </si>
  <si>
    <r>
      <t xml:space="preserve">Valor Teórico
</t>
    </r>
    <r>
      <rPr>
        <b/>
        <sz val="8"/>
        <rFont val="Tahoma"/>
        <family val="2"/>
      </rPr>
      <t>(F.Propios)</t>
    </r>
  </si>
  <si>
    <t>INFORMACIÓN ADICIONAL RELATIVA A LA CUENTA DE PÉRDIDAS Y GANANCIAS</t>
  </si>
  <si>
    <t>Estimación 2016</t>
  </si>
  <si>
    <t>Previsión 2017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</si>
  <si>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</si>
  <si>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</si>
  <si>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</si>
  <si>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</si>
  <si>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</si>
  <si>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</si>
  <si>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Denominación de la Entidad</t>
  </si>
  <si>
    <t>B.1.- Ventas:</t>
  </si>
  <si>
    <t>B..2.- Prestaciones de servicios:</t>
  </si>
  <si>
    <t>C.- Resto de Ventas y Prestaciones de servicios:</t>
  </si>
  <si>
    <t>C.1.- A otras AA PP</t>
  </si>
  <si>
    <t>C.1.1.- Ventas:</t>
  </si>
  <si>
    <t>C.1.2.- Prestaciones de servicios: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</si>
  <si>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</si>
  <si>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</si>
  <si>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</si>
  <si>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</si>
  <si>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</si>
  <si>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</si>
  <si>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</si>
  <si>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</si>
  <si>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(1).</t>
  </si>
  <si>
    <t>Ventas y Prestaciones de Servicios:</t>
  </si>
  <si>
    <t>(2).</t>
  </si>
  <si>
    <t>(3).</t>
  </si>
  <si>
    <r>
      <t>VENTAS Y PRESTACIONES DE SERVICIOS</t>
    </r>
    <r>
      <rPr>
        <b/>
        <vertAlign val="superscript"/>
        <sz val="8"/>
        <rFont val="Tahoma"/>
        <family val="2"/>
      </rPr>
      <t xml:space="preserve"> (1)</t>
    </r>
  </si>
  <si>
    <r>
      <t>DETALLE DE INGRESOS (Cta 778)</t>
    </r>
    <r>
      <rPr>
        <vertAlign val="superscript"/>
        <sz val="8"/>
        <rFont val="Tahoma"/>
        <family val="2"/>
      </rPr>
      <t xml:space="preserve"> (2)</t>
    </r>
    <r>
      <rPr>
        <b/>
        <sz val="10"/>
        <rFont val="Tahoma"/>
        <family val="2"/>
      </rPr>
      <t>:</t>
    </r>
  </si>
  <si>
    <r>
      <t xml:space="preserve">DETALLE DE GASTOS (Cta 678) </t>
    </r>
    <r>
      <rPr>
        <vertAlign val="superscript"/>
        <sz val="8"/>
        <rFont val="Tahoma"/>
        <family val="2"/>
      </rPr>
      <t>(3)</t>
    </r>
    <r>
      <rPr>
        <b/>
        <sz val="10"/>
        <rFont val="Tahoma"/>
        <family val="2"/>
      </rPr>
      <t>:</t>
    </r>
  </si>
  <si>
    <r>
      <rPr>
        <b/>
        <i/>
        <sz val="8"/>
        <rFont val="Tahoma"/>
        <family val="2"/>
      </rPr>
      <t>778. Gastos Excepcionales:</t>
    </r>
    <r>
      <rPr>
        <i/>
        <sz val="8"/>
        <rFont val="Tahoma"/>
        <family val="2"/>
      </rPr>
      <t xml:space="preserve">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  </r>
  </si>
  <si>
    <r>
      <rPr>
        <b/>
        <i/>
        <sz val="8"/>
        <rFont val="Tahoma"/>
        <family val="2"/>
      </rPr>
      <t>678. Gastos Excepcionales:</t>
    </r>
    <r>
      <rPr>
        <i/>
        <sz val="8"/>
        <rFont val="Tahoma"/>
        <family val="2"/>
      </rPr>
      <t xml:space="preserve"> Pérdidas y gastos de carácter excepcional y cuantía significativa que, atendiendo a su naturaleza, no deban contabilizarse en otras cuentas del grupo 6. A título indicativo se señalan los siguientes: los producidos por inundaciones, sanciones y multas, incendios...etc.</t>
    </r>
  </si>
  <si>
    <t>PREVISIÓN
2017</t>
  </si>
  <si>
    <t>ESTIMACION 2016</t>
  </si>
  <si>
    <t>REAL 2015</t>
  </si>
  <si>
    <t>Real 2015</t>
  </si>
  <si>
    <t>Ejecución prevista hasta 31/12/2016</t>
  </si>
  <si>
    <t>ESTRUCTURA PRESUPUESTARIA: PRESUPUESTOS 2017</t>
  </si>
  <si>
    <t>ESTIMACIÓN 2016</t>
  </si>
  <si>
    <t>PREVISIÓN 2017</t>
  </si>
  <si>
    <t>ESTIMACION
2016</t>
  </si>
  <si>
    <t>Previsión de importes comprometidos a 31/12/2016</t>
  </si>
  <si>
    <t>SALDO INICIAL 01/01/2016 (1)</t>
  </si>
  <si>
    <t>SALDO INICIAL  01/01/2017 (1)</t>
  </si>
  <si>
    <t>SALDO FINAL 31/12/17 (9)</t>
  </si>
  <si>
    <t>Entidad beneficiaria (2)</t>
  </si>
  <si>
    <t>Saldo Inicial 2017</t>
  </si>
  <si>
    <t>Saldo final 2017</t>
  </si>
  <si>
    <t>% participación 31/12/17 (2)</t>
  </si>
  <si>
    <t>Dividendo a obtener 2017</t>
  </si>
  <si>
    <t>Adquisiciones (3)</t>
  </si>
  <si>
    <t>% participación 31/12/17(7)</t>
  </si>
  <si>
    <t>Deuda Viva y Previsión de Vencimientos de Deuda</t>
  </si>
  <si>
    <t>CONCEPTO</t>
  </si>
  <si>
    <t>Deuda Viva a 31/12/2017</t>
  </si>
  <si>
    <t>Vencimientos previstos</t>
  </si>
  <si>
    <t>Deuda a Corto Plazo (Operaciones de Tesorería)</t>
  </si>
  <si>
    <t>Deuda a Largo Plazo</t>
  </si>
  <si>
    <t>Emisiones de deuda</t>
  </si>
  <si>
    <t>Operaciones con entidades de crédito</t>
  </si>
  <si>
    <t>Factoring sin recursos</t>
  </si>
  <si>
    <t>Avales ejecutados durante el ejercicio</t>
  </si>
  <si>
    <t>Entidades dependientes del la corporación local (clasificadas con AA PP)</t>
  </si>
  <si>
    <t>Restos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</si>
  <si>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</si>
  <si>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</si>
  <si>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>Deuda con Administraciones Públicas (FFPP)</t>
    </r>
    <r>
      <rPr>
        <sz val="8"/>
        <rFont val="Tahoma"/>
        <family val="2"/>
      </rPr>
      <t xml:space="preserve"> </t>
    </r>
    <r>
      <rPr>
        <vertAlign val="superscript"/>
        <sz val="8"/>
        <rFont val="Tahoma"/>
        <family val="2"/>
      </rPr>
      <t>(1)</t>
    </r>
  </si>
  <si>
    <t>Operaciones con Entidades de Crédito</t>
  </si>
  <si>
    <t>Total Vencimientos:</t>
  </si>
  <si>
    <r>
      <t xml:space="preserve">Perfil de Vencimiento de la deuda en los próximos 10 años                                      </t>
    </r>
    <r>
      <rPr>
        <b/>
        <sz val="8"/>
        <rFont val="Tahoma"/>
        <family val="2"/>
      </rPr>
      <t>(Operaciones contratadas y/o previsto realizar hasta 31/12/2017)</t>
    </r>
  </si>
  <si>
    <r>
      <t>Vencimientos previstos en el Ejercicio</t>
    </r>
    <r>
      <rPr>
        <b/>
        <sz val="8"/>
        <rFont val="Tahoma"/>
        <family val="2"/>
      </rPr>
      <t xml:space="preserve"> (incluyendo las operaciones previsto realizar hasta 31/12/2017)</t>
    </r>
  </si>
  <si>
    <r>
      <t xml:space="preserve">Deuda con Administraciones Públicas </t>
    </r>
    <r>
      <rPr>
        <vertAlign val="superscript"/>
        <sz val="10"/>
        <rFont val="Tahoma"/>
        <family val="2"/>
      </rPr>
      <t>(1)</t>
    </r>
  </si>
  <si>
    <t>Estimación importe dispuesto a 31/12/16</t>
  </si>
  <si>
    <t>Previsión importes dispuesto a 31/12/17</t>
  </si>
  <si>
    <t>Concedidos antes de 2017</t>
  </si>
  <si>
    <t xml:space="preserve">Pdte. Amortiz. (2017 y siguientes) </t>
  </si>
  <si>
    <t>Pendiente de amortizar a  31/12/2016</t>
  </si>
  <si>
    <t>Importe concedido en 2017</t>
  </si>
  <si>
    <t>Cuota Amortización 2017(3)</t>
  </si>
  <si>
    <t>Cuota Intereses 2017</t>
  </si>
  <si>
    <t>Pendiente a  31/12/2017</t>
  </si>
  <si>
    <t>Concedidos en 2016</t>
  </si>
  <si>
    <t>Previsión ejercicio 2017</t>
  </si>
  <si>
    <t>Pendiente a  31/12/2016= Cuota Amortización 2017 (3)</t>
  </si>
  <si>
    <t>Importe concedido 2017</t>
  </si>
  <si>
    <t>Cuota Amortización 2017 (3)</t>
  </si>
  <si>
    <t>Importe de la anualidad 2017</t>
  </si>
  <si>
    <t>CAPACIDAD/NECESIDAD FINANCIACIÓN</t>
  </si>
  <si>
    <t>Importe contemplado en Informe Evaluación 2017 (+/-)</t>
  </si>
  <si>
    <t>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</si>
  <si>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</si>
  <si>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</si>
  <si>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</si>
  <si>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</si>
  <si>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</si>
  <si>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</si>
  <si>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Aportaciones patrimoniales</t>
  </si>
  <si>
    <t>Subvenciones de capital previsto recibir</t>
  </si>
  <si>
    <t>Gastos a efectos de Contabilidad Nacional</t>
  </si>
  <si>
    <t>Aprovisionamientos</t>
  </si>
  <si>
    <t>Gtos. de Personal</t>
  </si>
  <si>
    <t>Otros gastos de explotación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</si>
  <si>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</si>
  <si>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</si>
  <si>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</si>
  <si>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</si>
  <si>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</si>
  <si>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Aplicación de Provisiones</t>
  </si>
  <si>
    <t>Inversiones efectuadas por cuenta de Administraciones y Entidades Públicas</t>
  </si>
  <si>
    <t>Ayudas, transferencias y subvenciones concedidas</t>
  </si>
  <si>
    <t>Capacidad/Necesidad Financiación de la Entidad (Sistema Europeo de cuentas)</t>
  </si>
  <si>
    <r>
      <t xml:space="preserve">Variación de existencias de productos terminados y en curso de fabricación de la cuenta de PyG </t>
    </r>
    <r>
      <rPr>
        <vertAlign val="superscript"/>
        <sz val="10"/>
        <rFont val="Tahoma"/>
        <family val="2"/>
      </rPr>
      <t>(1)</t>
    </r>
  </si>
  <si>
    <t>PRESUPUESTO GENERAL DEL CABILDO INSULAR DE TENERIFE                                                                                                                                                              PROGRAMA ANUAL DE ACTUACIÓN, INVERSIONES Y FINANCIACIÓN</t>
  </si>
  <si>
    <t>(8)OTRAS VARIACIONES: deben reflejarse el resto de variaciones, distintas de las anteriores, que impliquen un mayor o menor valor de las activos.</t>
  </si>
  <si>
    <t>(9)SALDO FINAL: Saldo recogido en balance a 31 de diciembre del ejercicio al que está referidas las cuentas anuales.</t>
  </si>
  <si>
    <t xml:space="preserve">     4. Resto Inmovilizado Intangible</t>
  </si>
  <si>
    <t>(10)OBSERVACIONES: se recogera cualquier otra información que se considere relevante relativa a cada operación.</t>
  </si>
  <si>
    <t>INVERSIONES EN INSTRUMENTOS DE PATRIMONIO (4)</t>
  </si>
  <si>
    <t>RESTO DE INVERSIONES (5)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</si>
  <si>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</si>
  <si>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</si>
  <si>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</si>
  <si>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</si>
  <si>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Observaciones</t>
  </si>
  <si>
    <t xml:space="preserve">ENTE </t>
  </si>
  <si>
    <t>SALDO INICIAL SUBVENCIONES, DONACIONES Y LEGADOS RECIBIDOS</t>
  </si>
  <si>
    <t>MENOS EFECTOS IMPOSITIVOS CONCEDIDAS</t>
  </si>
  <si>
    <t>MENOS TRANSFERENCIAS A LA CUENTA DE RESULTADOS</t>
  </si>
  <si>
    <t>MAS EFECTO IMPOSITIVO TRANSFERENCIAS A LA CUENTA DE RESULTADOS</t>
  </si>
  <si>
    <t>SALDO FINAL SUBVENCIONES, DONACIONES Y LEGADOS RECIBIDOS</t>
  </si>
  <si>
    <t xml:space="preserve">DE CAPITAL: </t>
  </si>
  <si>
    <t>SUBVENCIONES Y TRANSFERENCIAS</t>
  </si>
  <si>
    <t>EMISIÓN DE PATRIMONIO PROPIO (AMPLIACIÓN DE CAPITAL SOCIAL)</t>
  </si>
  <si>
    <t xml:space="preserve">TOTAL SUBVENCIONES DE CAPITAL CONCEDIDAS </t>
  </si>
  <si>
    <t>PRESUPUESTO GENERAL DEL CABILDO INSULAR DE TENERIFE
ESTADO DE LA DEUDA</t>
  </si>
  <si>
    <t xml:space="preserve">Importe concedido </t>
  </si>
  <si>
    <t>(3) Se deberá recoger el importe correspondiente a las cuotas de amortización de los ejercicios correspondientes.</t>
  </si>
  <si>
    <t>EPEL. BALSAS DE TENERIFE</t>
  </si>
  <si>
    <t>PRESUPUESTO GENERAL DEL CABILDO INSULAR DE TENERIFE
OPERACIONES INTERNAS</t>
  </si>
  <si>
    <t>INSTRUCCIONES</t>
  </si>
  <si>
    <t>Comunidad Autónoma</t>
  </si>
  <si>
    <t>Cabildo Insular de Tenerife</t>
  </si>
  <si>
    <t>Estado</t>
  </si>
  <si>
    <t>Ayuntamientos</t>
  </si>
  <si>
    <t>Unión Europea</t>
  </si>
  <si>
    <t>Otros</t>
  </si>
  <si>
    <t>EP- 7A</t>
  </si>
  <si>
    <t>Concepto</t>
  </si>
  <si>
    <t>Rellenar en positivo</t>
  </si>
  <si>
    <t>ÚLTIMA</t>
  </si>
  <si>
    <t>ANTERIOR</t>
  </si>
  <si>
    <t>(+/-)Provisión por desmantela-miento (3)</t>
  </si>
  <si>
    <t>Cuenta de balance</t>
  </si>
  <si>
    <t>Aumentos (+)</t>
  </si>
  <si>
    <t>Disminuciones (-)</t>
  </si>
  <si>
    <t>Observaciones (3)</t>
  </si>
  <si>
    <t>Adquisiciones</t>
  </si>
  <si>
    <t>Revaloriz. y otros</t>
  </si>
  <si>
    <t>Enajenaciones o reembolsos de préstamos concedidos</t>
  </si>
  <si>
    <t>Pérdidas de valor y otros</t>
  </si>
  <si>
    <t>ECON</t>
  </si>
  <si>
    <t>PROG</t>
  </si>
  <si>
    <t>Total</t>
  </si>
  <si>
    <t>Variación fondo de maniobra</t>
  </si>
  <si>
    <t>a) Amortización del inmovilizado intangible</t>
  </si>
  <si>
    <t>b) Amortización del inmovilizado material</t>
  </si>
  <si>
    <t>c) Amortización de las inversiones inmobiliarias</t>
  </si>
  <si>
    <t>Del inmovilizado intangible</t>
  </si>
  <si>
    <t>Del inmovilizado material</t>
  </si>
  <si>
    <t>De las inversiones financieras</t>
  </si>
  <si>
    <t>Número total de miembros</t>
  </si>
  <si>
    <t>Miembros designados por el sector público.</t>
  </si>
  <si>
    <t>a.-</t>
  </si>
  <si>
    <t>Por la Entidad Local o sus Entes Dependientes.</t>
  </si>
  <si>
    <t>b.-</t>
  </si>
  <si>
    <t>Por otras Administraciones Públicas.</t>
  </si>
  <si>
    <t>Miembros designados por el sector privado.</t>
  </si>
  <si>
    <r>
      <t xml:space="preserve">PRESUPUESTO GENERAL DEL CABILDO INSULAR DE TENERIFE
</t>
    </r>
    <r>
      <rPr>
        <b/>
        <sz val="12"/>
        <rFont val="Arial"/>
        <family val="2"/>
      </rPr>
      <t>PROGRAMA DE ACTUACIÓN, INVERSIONES Y FINANCIACIÓN</t>
    </r>
  </si>
  <si>
    <t>Fuentes de Financiación %</t>
  </si>
  <si>
    <t>1.</t>
  </si>
  <si>
    <t>Ventas de Bienes y Prestación de servicios dentro del Sector Público</t>
  </si>
  <si>
    <t>a.</t>
  </si>
  <si>
    <t>A la Entidad Local o a sus unidades dependientes</t>
  </si>
  <si>
    <t>b.</t>
  </si>
  <si>
    <t>A otras Administraciones Públicas</t>
  </si>
  <si>
    <t>c.</t>
  </si>
  <si>
    <t>A empresas y Entes Públicos</t>
  </si>
  <si>
    <t>2.</t>
  </si>
  <si>
    <t>Ventas de Bienes y Prestaciones de Servicios al Sector Privado</t>
  </si>
  <si>
    <t>3.</t>
  </si>
  <si>
    <t>Transferencias y Subvenciones Recibidas</t>
  </si>
  <si>
    <t>De la Entidad Local o de sus unidades dependientes</t>
  </si>
  <si>
    <t>De otras Administraciones y Entes Públicos.</t>
  </si>
  <si>
    <t>De la Unión Europea</t>
  </si>
  <si>
    <t>4.</t>
  </si>
  <si>
    <t>Otros ingresos (especificar en su caso)</t>
  </si>
  <si>
    <t xml:space="preserve">TOTAL </t>
  </si>
  <si>
    <t>ACCIONISTAS</t>
  </si>
  <si>
    <t>Razón Social y C.I.F.</t>
  </si>
  <si>
    <t>% Participación</t>
  </si>
  <si>
    <t>PARTICIPACIONES EN OTRAS ENTIDADES</t>
  </si>
  <si>
    <t>Nombre Entidad y C.I.F.</t>
  </si>
  <si>
    <t>ADMINISTRADORES</t>
  </si>
  <si>
    <t>Nombre</t>
  </si>
  <si>
    <t>Cargo</t>
  </si>
  <si>
    <t>Fecha
Nombramiento</t>
  </si>
  <si>
    <t>Secretario</t>
  </si>
  <si>
    <t>AUDITORES DE CUENTAS</t>
  </si>
  <si>
    <t>ESTRUCTURA PRESUPUESTARIA: PRESUPUESTOS 2016</t>
  </si>
  <si>
    <t>SALDO FINAL 31/12/16 (9)</t>
  </si>
  <si>
    <t>Gastos excepcionales</t>
  </si>
  <si>
    <t>Ingresos excepcionales</t>
  </si>
  <si>
    <t xml:space="preserve">          a ) Positiva</t>
  </si>
  <si>
    <t xml:space="preserve">           b) Negativa</t>
  </si>
  <si>
    <t xml:space="preserve">          a.1) Result. Operaciones en común</t>
  </si>
  <si>
    <t xml:space="preserve">          a.2) Ingresos de arrendamientos y de prop. Industrial cedida en explotación</t>
  </si>
  <si>
    <t xml:space="preserve">          a.3) Ingresos por comisiones, servicios al personal y por servicios diversos</t>
  </si>
  <si>
    <t>CPYG</t>
  </si>
  <si>
    <t>(-)Amortización del ejercicio (5)</t>
  </si>
  <si>
    <t>EMPRESA PÚBLICA:</t>
  </si>
  <si>
    <t>12. OTROS RESULTADOS</t>
  </si>
  <si>
    <t>A.1.) RESULTADO DE EXPLOTACIÓN (∑ (1 A 12))</t>
  </si>
  <si>
    <t>17. DETERIORO Y RESULTADO POR ENAJENACIONES DE INSTRUMENTOS FINANCIEROS</t>
  </si>
  <si>
    <t>A.2.) RESULTADO FINANCIERO (∑ (13 A 17))</t>
  </si>
  <si>
    <t>A.4.) RESULTADO DEL EJERCICIO PROCEDENTE DE OPERACIONES CONTINUADAS (A.3 +18)</t>
  </si>
  <si>
    <t>19. RESULTADO DEL EJERCICIO PROCEDENTE DE OPERACIONES INTERRUMPIDAS NETO DE IMPUESTOS</t>
  </si>
  <si>
    <t xml:space="preserve">  A.5)    RESULTADO DEL EJERCICIO  (A.4+19)</t>
  </si>
  <si>
    <t>Previsión 2011</t>
  </si>
  <si>
    <t>Estimación Cierre 2010</t>
  </si>
  <si>
    <t>C A P I T U L O S</t>
  </si>
  <si>
    <t>EMPRESA</t>
  </si>
  <si>
    <t>I.</t>
  </si>
  <si>
    <t>II.</t>
  </si>
  <si>
    <t>III.</t>
  </si>
  <si>
    <t>IV.</t>
  </si>
  <si>
    <t>V.</t>
  </si>
  <si>
    <t xml:space="preserve">  TOTAL INGRESOS CORRIENTES</t>
  </si>
  <si>
    <t>VI.</t>
  </si>
  <si>
    <t>VII.</t>
  </si>
  <si>
    <t xml:space="preserve">  TOTAL INGRESOS DE CAPITAL</t>
  </si>
  <si>
    <t>VIII.</t>
  </si>
  <si>
    <t>IX.</t>
  </si>
  <si>
    <t xml:space="preserve">  TOTAL INGRESOS FINANCIEROS</t>
  </si>
  <si>
    <t>T O T A L    I N G R E S O S</t>
  </si>
  <si>
    <t>Otros Ingresos</t>
  </si>
  <si>
    <t>Gastos de Personal</t>
  </si>
  <si>
    <t>Compra de Bienes y Servicios</t>
  </si>
  <si>
    <t>Transferencias Corrientes</t>
  </si>
  <si>
    <t xml:space="preserve">  TOTAL GASTOS CORRIENTES</t>
  </si>
  <si>
    <t xml:space="preserve">  Ingresos corrientes -gastos corrientes</t>
  </si>
  <si>
    <t>Inversiones Reales</t>
  </si>
  <si>
    <t>Transferencias de Capital</t>
  </si>
  <si>
    <t xml:space="preserve">  TOTAL GASTOS DE CAPITAL</t>
  </si>
  <si>
    <t>Ingresos de capital - gastos de capital</t>
  </si>
  <si>
    <t>Activos Financieros</t>
  </si>
  <si>
    <t>Pasivos Financieros</t>
  </si>
  <si>
    <t xml:space="preserve">  TOTAL GASTOS FINANCIEROS</t>
  </si>
  <si>
    <t>Total ingresos - gastos</t>
  </si>
  <si>
    <t>Otros Gastos</t>
  </si>
  <si>
    <t>T O T A L  G A S T O S  ( 1 )</t>
  </si>
  <si>
    <t>Ajustes por Consolidación</t>
  </si>
  <si>
    <t>T O T A L  G A S T O S  ( 2 )</t>
  </si>
  <si>
    <t>Variación Negativa</t>
  </si>
  <si>
    <t>Variación no Cap Corriente</t>
  </si>
  <si>
    <t>Recursos por operaciones</t>
  </si>
  <si>
    <t>Provisiones y Amortizaciones Altas que superan a la pérdida que está incluida en la Variación de Capital</t>
  </si>
  <si>
    <t>ENTES DEPENDIENTES PARTICIPADOS INTEGRAMENTE POR CIT</t>
  </si>
  <si>
    <t>ESTRUCTURA PRESUPUESTARIA PRESUPUESTOS 2011</t>
  </si>
  <si>
    <t>(Incremento fondo de maniobra) - Disminución FM</t>
  </si>
  <si>
    <r>
      <t>NOTAS:</t>
    </r>
    <r>
      <rPr>
        <sz val="10"/>
        <rFont val="Arial"/>
        <family val="2"/>
      </rPr>
      <t xml:space="preserve">  Pendiente imputar el epígrafe de PyG de Otros Resultados, en función de la composición de su saldo. Pendiente imputación, en su caso, de la variación de existencias en otros ingresos u otros gastos, en función de su saldo acreedor o deudor.</t>
    </r>
  </si>
  <si>
    <t>1.  IMPORTE NETO DE LA CIFRA DE NEGOCIOS</t>
  </si>
  <si>
    <t xml:space="preserve">          a.1.1.) A la Entidad Local o a sus unidades dependientes (1)</t>
  </si>
  <si>
    <t xml:space="preserve">          a.1.2.) A otras Administraciones Públicas (1)</t>
  </si>
  <si>
    <t xml:space="preserve">          a.1.3.) A empresas y Entes Públicos (1)</t>
  </si>
  <si>
    <t xml:space="preserve">          b) Prestaciones de Servicios</t>
  </si>
  <si>
    <t>ACTIVO - PASIVO</t>
  </si>
  <si>
    <t xml:space="preserve">          b.1.1.) A la Entidad Local o a sus unidades dependientes (1)</t>
  </si>
  <si>
    <t xml:space="preserve">          b.1.2.) A otras Administraciones Públicas (1)</t>
  </si>
  <si>
    <t xml:space="preserve">          b.1.3.) A empresas y Entes Públicos (1)</t>
  </si>
  <si>
    <t>3. TRABAJOS REALIZADOS POR LA EMPRESA PARA SU ACTIVO</t>
  </si>
  <si>
    <t>4. APROVISIONAMIENTOS</t>
  </si>
  <si>
    <t xml:space="preserve">         a) Consumo de mercaderías</t>
  </si>
  <si>
    <t xml:space="preserve">          b) Consumo de materias primas y otras materias consumibles</t>
  </si>
  <si>
    <t xml:space="preserve">          c) Trabajos realizados por otras empresas</t>
  </si>
  <si>
    <t xml:space="preserve">          d) Deterioro de mercaderías, materias primas y otros aprovisionamientos</t>
  </si>
  <si>
    <t>5. OTROS INGRESOS DE EXPLOTACIÓN</t>
  </si>
  <si>
    <t xml:space="preserve">      a) Ingresos accesorios y otros de gestión corriente</t>
  </si>
  <si>
    <t>FUNDACION TENERIFE RURAL</t>
  </si>
  <si>
    <t xml:space="preserve">      b) Subvenciones de explotación incorporadas al resultado del ejercicio</t>
  </si>
  <si>
    <t xml:space="preserve">          b.1.) Estado</t>
  </si>
  <si>
    <t xml:space="preserve">          b.4. ) Cabildo Insular de Tenerife</t>
  </si>
  <si>
    <t xml:space="preserve">          b.5. ) Otros Entes</t>
  </si>
  <si>
    <t xml:space="preserve">          b.6. ) Imputación de subvenciones de explotación de ejercicios anteriores</t>
  </si>
  <si>
    <t>6. GASTOS DE PERSONAL</t>
  </si>
  <si>
    <t xml:space="preserve">      a) Sueldos, Salarios y Asimilados (sin indem)</t>
  </si>
  <si>
    <t>7. OTROS GASTOS DE EXPLOTACIÓN</t>
  </si>
  <si>
    <t xml:space="preserve">      c) Pérdidas, deterioro y variación de provisiones por operac. Comerciales</t>
  </si>
  <si>
    <t xml:space="preserve">         c 1) Deterioro y variación de provisiones por operac. comerciales</t>
  </si>
  <si>
    <t xml:space="preserve">         c 2) Pérdidas por operac. Comerciales.</t>
  </si>
  <si>
    <t xml:space="preserve">      d) Otros gastos de gestión corriente</t>
  </si>
  <si>
    <t>8. AMORTIZACIÓN DEL INMOVILIZADO</t>
  </si>
  <si>
    <t>9. IMPUTACIÓN DE SUBVENCIONES DE INMOVILIZADO NO FINANCIERO Y OTRAS (2)</t>
  </si>
  <si>
    <t>10. EXCESOS DE PROVISIONES</t>
  </si>
  <si>
    <t>11. DETERIORO Y RESULTADO POR ENAJENACIONES DEL INMOVILIZADO</t>
  </si>
  <si>
    <t>13. INGRESOS FINANCIEROS</t>
  </si>
  <si>
    <t xml:space="preserve">      a) De participaciones en instrumentos de patrimonio</t>
  </si>
  <si>
    <t xml:space="preserve">          a.1.) En empresas del grupo y asociadas</t>
  </si>
  <si>
    <t xml:space="preserve">          a.2) En terceros</t>
  </si>
  <si>
    <t xml:space="preserve">          b.1.) En empresas del grupo y asociadas</t>
  </si>
  <si>
    <t xml:space="preserve">          b.2) En terceros</t>
  </si>
  <si>
    <t>14. GASTOS FINANCIEROS</t>
  </si>
  <si>
    <t xml:space="preserve">      a) Por deudas con empresas del grupo y asociadas</t>
  </si>
  <si>
    <t>15. VARIACIÓN DE VALOR RAZONABLE EN INSTRUMENTOS FINANCIEROS</t>
  </si>
  <si>
    <t xml:space="preserve">      a) Cartera de negociación y otros</t>
  </si>
  <si>
    <t>16. DIFERENCIA DE CAMBIO</t>
  </si>
  <si>
    <t xml:space="preserve">      a) Deterioros y Pérdidas</t>
  </si>
  <si>
    <t>PRESUPUESTO GENERAL - CONSOLIDACIÓN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</si>
  <si>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</si>
  <si>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</si>
  <si>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</si>
  <si>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</si>
  <si>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</si>
  <si>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</t>
  </si>
  <si>
    <t>Transferencias de capital</t>
  </si>
  <si>
    <t>Activos financieros</t>
  </si>
  <si>
    <t>Pasivos financieros</t>
  </si>
  <si>
    <t>CUENTA DE PERDIDAS Y GANANCIAS</t>
  </si>
  <si>
    <t>VARIACIONES DE INMOVILIZADO Y EXISTENCIAS</t>
  </si>
  <si>
    <t>VARIACIÓN DE LAS INVERSIONES FINANCIERAS E INSTRUMENTOS DE PATRIMONIO</t>
  </si>
  <si>
    <t>VENTAS Y PRESTACIONES DE SERVICIOS PREVISTAS (IGIC incluido) (en euros)</t>
  </si>
  <si>
    <t>E.P.E. TEA, TENERFE ESPACIO DE LAS ARTES</t>
  </si>
  <si>
    <t>SINPROMI.S.L.</t>
  </si>
  <si>
    <t>SINPROMI, S.L.</t>
  </si>
  <si>
    <t>GEST. INS. DEPORTE, CULT.Y OCIO, SA (IDECO)</t>
  </si>
  <si>
    <t>SPET, TURISMO DE TENERIFE, S.A.</t>
  </si>
  <si>
    <t>INSTITUTO MEDICO TINERFEÑO, S.A. (IMETISA)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</si>
  <si>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</si>
  <si>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</si>
  <si>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</si>
  <si>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</si>
  <si>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RELACIÓN ENCOMIENDAS DE GESTIÓN DEL CABILDO INSULAR DE TENERIFE</t>
  </si>
  <si>
    <t>Tipo de operación avalada</t>
  </si>
  <si>
    <t xml:space="preserve">Año de concesión </t>
  </si>
  <si>
    <t>Entidad financiera</t>
  </si>
  <si>
    <t>Importe concedido</t>
  </si>
  <si>
    <t>Año de concesión</t>
  </si>
  <si>
    <t>Epígrafe de balance donde figura</t>
  </si>
  <si>
    <t xml:space="preserve">Entidad financiera </t>
  </si>
  <si>
    <t>Tipo de operación (2)</t>
  </si>
  <si>
    <t>GASTOS DE PERSONAL PRESUPUESTO 2017.</t>
  </si>
  <si>
    <t xml:space="preserve">ENTE: </t>
  </si>
  <si>
    <t>PERSONAL DIRECTIVO.</t>
  </si>
  <si>
    <t>ANTIGÜEDAD</t>
  </si>
  <si>
    <r>
      <t xml:space="preserve">OTRAS RETRIBUCIONES </t>
    </r>
    <r>
      <rPr>
        <b/>
        <i/>
        <sz val="8"/>
        <color indexed="8"/>
        <rFont val="Arial"/>
        <family val="2"/>
      </rPr>
      <t>(Especificar, añadiendo tantas columnas como sea necesario)</t>
    </r>
  </si>
  <si>
    <t>Nº</t>
  </si>
  <si>
    <t>PUESTO</t>
  </si>
  <si>
    <t>GRUPO</t>
  </si>
  <si>
    <t xml:space="preserve">SUELDO </t>
  </si>
  <si>
    <t>PAGAS EXTRAORDINARIAS</t>
  </si>
  <si>
    <t>PRODUCTIVIDAD</t>
  </si>
  <si>
    <t>SEGURIDAD SOCIAL</t>
  </si>
  <si>
    <t xml:space="preserve"> OBSERVACIONES</t>
  </si>
  <si>
    <t>PERSONAL LABORAL FIJO.</t>
  </si>
  <si>
    <t xml:space="preserve">Nº </t>
  </si>
  <si>
    <t>PERSONAL LABORAL TEMPORAL.</t>
  </si>
  <si>
    <t>PRESUPUESTO 2017.</t>
  </si>
  <si>
    <t>PRESTACIONES SOCIALES</t>
  </si>
  <si>
    <t>Indemnizaciones personal laboral jubilaciones anticipadas</t>
  </si>
  <si>
    <t>Otros (especificar en tantas filas como proceda)</t>
  </si>
  <si>
    <t>GASTOS SOCIALES DEL PERSONAL</t>
  </si>
  <si>
    <t>Formación y perfeccionamiento del personal</t>
  </si>
  <si>
    <t>Acción social</t>
  </si>
  <si>
    <r>
      <t xml:space="preserve">Seguros </t>
    </r>
    <r>
      <rPr>
        <i/>
        <sz val="11"/>
        <color indexed="8"/>
        <rFont val="Calibri"/>
        <family val="2"/>
      </rPr>
      <t>(de vida, póliza sanitaria)</t>
    </r>
  </si>
  <si>
    <t>Ayuda de estudios</t>
  </si>
  <si>
    <r>
      <t>Otros gastos sociales (</t>
    </r>
    <r>
      <rPr>
        <i/>
        <sz val="11"/>
        <color indexed="8"/>
        <rFont val="Calibri"/>
        <family val="2"/>
      </rPr>
      <t>especificar en tantas filas como proceda)</t>
    </r>
  </si>
  <si>
    <t>COMPARACIÓN CAPÍTULO DE GASTOS DE PERSONAL EJERCICIOS 2017-2016</t>
  </si>
  <si>
    <t>RETRIBUCIONES</t>
  </si>
  <si>
    <t>ACCIÓN SOCIAL</t>
  </si>
  <si>
    <t xml:space="preserve">SEGURIDAD SOCIAL </t>
  </si>
  <si>
    <t>GESTIÓN INSULAR DE AGUAS DE TENERIFE, S.A. (GESTA)</t>
  </si>
  <si>
    <t>CANALINK AFRICA, S.L.</t>
  </si>
  <si>
    <t>CANALINK BAHARICOM, S.L.</t>
  </si>
  <si>
    <t>FUNDACIÓN CANARIAS FACTORÍA DE LA INNOVACIÓN TURÍSTICA</t>
  </si>
  <si>
    <t>A.M.C. POLÍGONO INDUSTRIAL DE GÜIMAR</t>
  </si>
  <si>
    <t>POLÍGONO INDUSTRIAL DE GRANADILLA-PARQUE TECNOLÓGICO DE TENERIFE, S.A.</t>
  </si>
  <si>
    <t>BODEGAS INSULARES DE TENERIFE, S.A.</t>
  </si>
  <si>
    <t>PARQUES EÓLICOS DE GRANADILLA, A.I.E.</t>
  </si>
  <si>
    <t>EÓLICAS DE TENERIFE, A.I.E.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</si>
  <si>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</si>
  <si>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</si>
  <si>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</si>
  <si>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</si>
  <si>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ENTIDAD: INSTITUTO VOLCANOLOGICO DE CANARIAS</t>
  </si>
  <si>
    <t>PCTT</t>
  </si>
  <si>
    <t>ITER</t>
  </si>
  <si>
    <t>Varios Aytos</t>
  </si>
  <si>
    <t>Vigilancia Volcanica de Tenerife</t>
  </si>
  <si>
    <t>Instalación de Red Sísmica de Tenerife</t>
  </si>
  <si>
    <t>TFGeotermia</t>
  </si>
  <si>
    <t>Programa Torres Quevedo</t>
  </si>
  <si>
    <t>Vigilancia Volcánica de Tenerife</t>
  </si>
  <si>
    <t>Tenerife Volcano Disaster Assistance Tean</t>
  </si>
  <si>
    <t>Teleplaneta</t>
  </si>
  <si>
    <t>Feria de la Ciencia y los Volcanes</t>
  </si>
  <si>
    <t>Los Volcanes salen a la calle</t>
  </si>
  <si>
    <t xml:space="preserve">TFVoltur </t>
  </si>
  <si>
    <t>TFRiskedu</t>
  </si>
  <si>
    <t>INSTITUTO VOLCANOLOGICO DE CANARIAS</t>
  </si>
  <si>
    <t>Investigador / Ingeniero</t>
  </si>
  <si>
    <t>1A</t>
  </si>
  <si>
    <t>Tec</t>
  </si>
  <si>
    <t>Becas posgraduado</t>
  </si>
  <si>
    <t>Lic-N1</t>
  </si>
  <si>
    <t>Lic-N2</t>
  </si>
  <si>
    <t>Becas posdoctorales</t>
  </si>
  <si>
    <t>Doctor</t>
  </si>
  <si>
    <t>en 2016 devolución restante paga extra</t>
  </si>
  <si>
    <t>Transporte</t>
  </si>
  <si>
    <t>Complemento Personal</t>
  </si>
  <si>
    <t>reducción de jornada</t>
  </si>
  <si>
    <t>COSTE TOTAL</t>
  </si>
  <si>
    <t>Ingresos por servicios diversos</t>
  </si>
  <si>
    <t>INSTITUTO TECNOLOGICO DE ENERGÍAS RENOVABLES SA</t>
  </si>
  <si>
    <t>Carlos Enrique Alonso Rodríguez</t>
  </si>
  <si>
    <t>Antonio Miguel García Marichal</t>
  </si>
  <si>
    <t>Manuel Cendagorta-Galarza López</t>
  </si>
  <si>
    <t>Consejero-Presidente</t>
  </si>
  <si>
    <t>Consejero-Vicepresidente</t>
  </si>
  <si>
    <t>Consejero-Vocal</t>
  </si>
  <si>
    <t>Eduardo Ballesteros Ruiz-Benítez de Lugo</t>
  </si>
  <si>
    <t>% Incremento 2016-2017</t>
  </si>
  <si>
    <t>Inversiones Varias</t>
  </si>
  <si>
    <t>INSTITUTO VOLCANOLÓGICO DE CANARIAS</t>
  </si>
  <si>
    <t>ENTIDAD: INSTITUTO VOLCANOLÓGICO DE CANARIAS</t>
  </si>
</sst>
</file>

<file path=xl/styles.xml><?xml version="1.0" encoding="utf-8"?>
<styleSheet xmlns="http://schemas.openxmlformats.org/spreadsheetml/2006/main">
  <numFmts count="12">
    <numFmt numFmtId="43" formatCode="_-* #,##0.00\ _€_-;\-* #,##0.00\ _€_-;_-* &quot;-&quot;??\ _€_-;_-@_-"/>
    <numFmt numFmtId="164" formatCode="_-* #,##0\ _P_t_s_-;\-* #,##0\ _P_t_s_-;_-* &quot;-&quot;\ _P_t_s_-;_-@_-"/>
    <numFmt numFmtId="165" formatCode="_-* #,##0.00\ &quot;Pts&quot;_-;\-* #,##0.00\ &quot;Pts&quot;_-;_-* &quot;-&quot;??\ &quot;Pts&quot;_-;_-@_-"/>
    <numFmt numFmtId="166" formatCode="_-* #,##0.00\ _P_t_s_-;\-* #,##0.00\ _P_t_s_-;_-* &quot;-&quot;??\ _P_t_s_-;_-@_-"/>
    <numFmt numFmtId="167" formatCode="0.0"/>
    <numFmt numFmtId="168" formatCode="_-* #,##0.00\ [$€]_-;\-* #,##0.00\ [$€]_-;_-* &quot;-&quot;??\ [$€]_-;_-@_-"/>
    <numFmt numFmtId="169" formatCode="#,##0.00\ &quot;€&quot;"/>
    <numFmt numFmtId="170" formatCode="_-* #,##0.00\ [$€-C0A]_-;\-* #,##0.00\ [$€-C0A]_-;_-* &quot;-&quot;??\ [$€-C0A]_-;_-@_-"/>
    <numFmt numFmtId="171" formatCode="_-* #,##0.00\ [$€-42D]_-;\-* #,##0.00\ [$€-42D]_-;_-* &quot;-&quot;??\ [$€-42D]_-;_-@_-"/>
    <numFmt numFmtId="172" formatCode="_(* #,##0\ &quot;pta&quot;_);_(* \(#,##0\ &quot;pta&quot;\);_(* &quot;-&quot;??\ &quot;pta&quot;_);_(@_)"/>
    <numFmt numFmtId="173" formatCode="#,##0.00;\(#,##0.00\)"/>
    <numFmt numFmtId="174" formatCode="#,##0.00_ ;\-#,##0.00\ "/>
  </numFmts>
  <fonts count="92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3"/>
      <name val="Arial"/>
      <family val="2"/>
    </font>
    <font>
      <b/>
      <sz val="13"/>
      <color indexed="8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name val="MS Sans Serif"/>
      <family val="2"/>
    </font>
    <font>
      <sz val="11"/>
      <color indexed="62"/>
      <name val="Calibri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ahoma"/>
      <family val="2"/>
    </font>
    <font>
      <b/>
      <sz val="6"/>
      <name val="Verdana"/>
      <family val="2"/>
    </font>
    <font>
      <sz val="6"/>
      <name val="Tahoma"/>
      <family val="2"/>
    </font>
    <font>
      <sz val="6"/>
      <name val="Book Antiqua"/>
      <family val="1"/>
    </font>
    <font>
      <sz val="6"/>
      <name val="Verdana"/>
      <family val="2"/>
    </font>
    <font>
      <sz val="10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0"/>
      <color indexed="10"/>
      <name val="Tahoma"/>
      <family val="2"/>
    </font>
    <font>
      <b/>
      <sz val="10"/>
      <color indexed="9"/>
      <name val="Tahoma"/>
      <family val="2"/>
    </font>
    <font>
      <b/>
      <sz val="10"/>
      <color indexed="8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b/>
      <i/>
      <sz val="12"/>
      <name val="Tahoma"/>
      <family val="2"/>
    </font>
    <font>
      <b/>
      <sz val="10"/>
      <color indexed="62"/>
      <name val="Tahoma"/>
      <family val="2"/>
    </font>
    <font>
      <sz val="10"/>
      <color indexed="62"/>
      <name val="Tahoma"/>
      <family val="2"/>
    </font>
    <font>
      <b/>
      <u/>
      <sz val="10"/>
      <name val="Tahoma"/>
      <family val="2"/>
    </font>
    <font>
      <sz val="10"/>
      <color indexed="10"/>
      <name val="Tahoma"/>
      <family val="2"/>
    </font>
    <font>
      <sz val="12"/>
      <name val="Tahoma"/>
      <family val="2"/>
    </font>
    <font>
      <vertAlign val="superscript"/>
      <sz val="10"/>
      <name val="Tahoma"/>
      <family val="2"/>
    </font>
    <font>
      <sz val="8"/>
      <color indexed="18"/>
      <name val="Tahoma"/>
      <family val="2"/>
    </font>
    <font>
      <b/>
      <sz val="13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13"/>
      <color indexed="8"/>
      <name val="Tahoma"/>
      <family val="2"/>
    </font>
    <font>
      <b/>
      <sz val="12"/>
      <color indexed="8"/>
      <name val="Tahoma"/>
      <family val="2"/>
    </font>
    <font>
      <b/>
      <sz val="8"/>
      <color indexed="8"/>
      <name val="Tahoma"/>
      <family val="2"/>
    </font>
    <font>
      <sz val="10"/>
      <color indexed="8"/>
      <name val="Calibri"/>
      <family val="2"/>
    </font>
    <font>
      <sz val="10"/>
      <color indexed="55"/>
      <name val="Calibri"/>
      <family val="2"/>
    </font>
    <font>
      <sz val="10"/>
      <name val="Candara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26"/>
      <name val="Arial"/>
      <family val="2"/>
    </font>
    <font>
      <sz val="26"/>
      <name val="Tahoma"/>
      <family val="2"/>
    </font>
    <font>
      <b/>
      <sz val="12"/>
      <color indexed="12"/>
      <name val="Tahoma"/>
      <family val="2"/>
    </font>
    <font>
      <sz val="11"/>
      <name val="Tahoma"/>
      <family val="2"/>
    </font>
    <font>
      <b/>
      <sz val="11"/>
      <color indexed="8"/>
      <name val="Tahoma"/>
      <family val="2"/>
    </font>
    <font>
      <b/>
      <vertAlign val="superscript"/>
      <sz val="8"/>
      <name val="Tahoma"/>
      <family val="2"/>
    </font>
    <font>
      <vertAlign val="superscript"/>
      <sz val="8"/>
      <name val="Tahoma"/>
      <family val="2"/>
    </font>
    <font>
      <b/>
      <i/>
      <sz val="8"/>
      <name val="Tahoma"/>
      <family val="2"/>
    </font>
    <font>
      <i/>
      <sz val="8"/>
      <name val="Tahoma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i/>
      <sz val="11"/>
      <color indexed="8"/>
      <name val="Calibri"/>
      <family val="2"/>
    </font>
    <font>
      <i/>
      <sz val="10"/>
      <name val="Arial"/>
      <family val="2"/>
    </font>
    <font>
      <sz val="11"/>
      <name val="Arial"/>
      <family val="2"/>
    </font>
    <font>
      <sz val="9"/>
      <color theme="1"/>
      <name val="Trebuchet MS"/>
      <family val="2"/>
    </font>
    <font>
      <sz val="9"/>
      <name val="Arial"/>
      <family val="2"/>
    </font>
    <font>
      <sz val="9"/>
      <name val="Tahoma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darkDown">
        <fgColor indexed="44"/>
        <bgColor indexed="9"/>
      </patternFill>
    </fill>
    <fill>
      <patternFill patternType="darkDown">
        <fgColor indexed="49"/>
        <bgColor indexed="9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56"/>
      </left>
      <right style="medium">
        <color indexed="56"/>
      </right>
      <top style="medium">
        <color indexed="56"/>
      </top>
      <bottom style="medium">
        <color indexed="56"/>
      </bottom>
      <diagonal/>
    </border>
    <border>
      <left style="medium">
        <color indexed="56"/>
      </left>
      <right style="medium">
        <color indexed="64"/>
      </right>
      <top style="medium">
        <color indexed="56"/>
      </top>
      <bottom style="medium">
        <color indexed="56"/>
      </bottom>
      <diagonal/>
    </border>
    <border>
      <left style="medium">
        <color indexed="56"/>
      </left>
      <right style="medium">
        <color indexed="56"/>
      </right>
      <top style="medium">
        <color indexed="56"/>
      </top>
      <bottom/>
      <diagonal/>
    </border>
    <border>
      <left style="medium">
        <color indexed="56"/>
      </left>
      <right style="medium">
        <color indexed="64"/>
      </right>
      <top style="medium">
        <color indexed="56"/>
      </top>
      <bottom/>
      <diagonal/>
    </border>
    <border>
      <left style="medium">
        <color indexed="56"/>
      </left>
      <right style="medium">
        <color indexed="56"/>
      </right>
      <top style="medium">
        <color indexed="56"/>
      </top>
      <bottom style="medium">
        <color indexed="64"/>
      </bottom>
      <diagonal/>
    </border>
    <border>
      <left style="medium">
        <color indexed="56"/>
      </left>
      <right style="medium">
        <color indexed="64"/>
      </right>
      <top style="medium">
        <color indexed="56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41"/>
      </bottom>
      <diagonal/>
    </border>
    <border>
      <left style="thin">
        <color indexed="64"/>
      </left>
      <right style="medium">
        <color indexed="64"/>
      </right>
      <top style="thin">
        <color indexed="41"/>
      </top>
      <bottom style="thin">
        <color indexed="41"/>
      </bottom>
      <diagonal/>
    </border>
    <border>
      <left style="thin">
        <color indexed="64"/>
      </left>
      <right style="medium">
        <color indexed="64"/>
      </right>
      <top style="thin">
        <color indexed="41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41"/>
      </left>
      <right style="medium">
        <color indexed="64"/>
      </right>
      <top style="double">
        <color indexed="64"/>
      </top>
      <bottom/>
      <diagonal/>
    </border>
    <border>
      <left style="thin">
        <color indexed="41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4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41"/>
      </bottom>
      <diagonal/>
    </border>
    <border>
      <left/>
      <right style="medium">
        <color indexed="64"/>
      </right>
      <top style="thin">
        <color indexed="4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56"/>
      </top>
      <bottom style="medium">
        <color indexed="56"/>
      </bottom>
      <diagonal/>
    </border>
    <border>
      <left/>
      <right style="medium">
        <color indexed="56"/>
      </right>
      <top style="medium">
        <color indexed="56"/>
      </top>
      <bottom style="medium">
        <color indexed="56"/>
      </bottom>
      <diagonal/>
    </border>
    <border>
      <left style="medium">
        <color indexed="64"/>
      </left>
      <right/>
      <top/>
      <bottom style="medium">
        <color indexed="56"/>
      </bottom>
      <diagonal/>
    </border>
    <border>
      <left/>
      <right style="thin">
        <color indexed="64"/>
      </right>
      <top/>
      <bottom style="medium">
        <color indexed="56"/>
      </bottom>
      <diagonal/>
    </border>
    <border>
      <left style="medium">
        <color indexed="64"/>
      </left>
      <right style="medium">
        <color indexed="56"/>
      </right>
      <top style="medium">
        <color indexed="56"/>
      </top>
      <bottom style="medium">
        <color indexed="56"/>
      </bottom>
      <diagonal/>
    </border>
    <border>
      <left style="medium">
        <color indexed="64"/>
      </left>
      <right/>
      <top style="medium">
        <color indexed="56"/>
      </top>
      <bottom style="medium">
        <color indexed="64"/>
      </bottom>
      <diagonal/>
    </border>
    <border>
      <left/>
      <right style="medium">
        <color indexed="56"/>
      </right>
      <top style="medium">
        <color indexed="56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2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4" borderId="0" applyNumberFormat="0" applyBorder="0" applyAlignment="0" applyProtection="0"/>
    <xf numFmtId="0" fontId="17" fillId="16" borderId="1" applyNumberFormat="0" applyAlignment="0" applyProtection="0"/>
    <xf numFmtId="0" fontId="18" fillId="17" borderId="2" applyNumberFormat="0" applyAlignment="0" applyProtection="0"/>
    <xf numFmtId="0" fontId="19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12" fillId="7" borderId="1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1" fillId="3" borderId="0" applyNumberFormat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3" fillId="0" borderId="0"/>
    <xf numFmtId="0" fontId="11" fillId="0" borderId="0"/>
    <xf numFmtId="0" fontId="2" fillId="0" borderId="0"/>
    <xf numFmtId="0" fontId="11" fillId="0" borderId="0"/>
    <xf numFmtId="0" fontId="68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" fillId="23" borderId="4" applyNumberFormat="0" applyFont="0" applyAlignment="0" applyProtection="0"/>
    <xf numFmtId="9" fontId="1" fillId="0" borderId="0" applyFont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0" fillId="0" borderId="8" applyNumberFormat="0" applyFill="0" applyAlignment="0" applyProtection="0"/>
    <xf numFmtId="0" fontId="29" fillId="0" borderId="9" applyNumberFormat="0" applyFill="0" applyAlignment="0" applyProtection="0"/>
    <xf numFmtId="172" fontId="3" fillId="0" borderId="0" applyFont="0" applyFill="0" applyBorder="0" applyAlignment="0" applyProtection="0"/>
  </cellStyleXfs>
  <cellXfs count="1347">
    <xf numFmtId="0" fontId="0" fillId="0" borderId="0" xfId="0"/>
    <xf numFmtId="3" fontId="3" fillId="0" borderId="0" xfId="50" applyNumberFormat="1" applyFont="1" applyBorder="1"/>
    <xf numFmtId="0" fontId="3" fillId="0" borderId="0" xfId="0" applyFont="1"/>
    <xf numFmtId="3" fontId="3" fillId="0" borderId="0" xfId="50" applyNumberFormat="1" applyFont="1" applyBorder="1" applyAlignment="1">
      <alignment vertical="center"/>
    </xf>
    <xf numFmtId="0" fontId="4" fillId="0" borderId="0" xfId="0" applyFont="1"/>
    <xf numFmtId="3" fontId="4" fillId="0" borderId="10" xfId="50" applyNumberFormat="1" applyFont="1" applyBorder="1" applyAlignment="1">
      <alignment vertical="center"/>
    </xf>
    <xf numFmtId="3" fontId="3" fillId="0" borderId="0" xfId="50" applyNumberFormat="1" applyFont="1" applyFill="1" applyBorder="1"/>
    <xf numFmtId="3" fontId="4" fillId="0" borderId="0" xfId="50" applyNumberFormat="1" applyFont="1" applyFill="1" applyBorder="1"/>
    <xf numFmtId="3" fontId="4" fillId="0" borderId="0" xfId="50" applyNumberFormat="1" applyFont="1" applyBorder="1"/>
    <xf numFmtId="3" fontId="4" fillId="0" borderId="11" xfId="42" applyNumberFormat="1" applyFont="1" applyFill="1" applyBorder="1" applyAlignment="1">
      <alignment horizontal="center" vertical="center"/>
    </xf>
    <xf numFmtId="3" fontId="3" fillId="0" borderId="10" xfId="50" applyNumberFormat="1" applyFont="1" applyBorder="1" applyAlignment="1">
      <alignment vertical="center"/>
    </xf>
    <xf numFmtId="3" fontId="4" fillId="0" borderId="10" xfId="50" applyNumberFormat="1" applyFont="1" applyBorder="1" applyAlignment="1">
      <alignment horizontal="left" vertical="center" wrapText="1"/>
    </xf>
    <xf numFmtId="3" fontId="3" fillId="0" borderId="10" xfId="50" applyNumberFormat="1" applyFont="1" applyBorder="1" applyAlignment="1">
      <alignment horizontal="left" vertical="center" wrapText="1"/>
    </xf>
    <xf numFmtId="3" fontId="30" fillId="24" borderId="12" xfId="42" applyNumberFormat="1" applyFont="1" applyFill="1" applyBorder="1" applyAlignment="1">
      <alignment horizontal="center" vertical="center"/>
    </xf>
    <xf numFmtId="173" fontId="3" fillId="0" borderId="0" xfId="0" applyNumberFormat="1" applyFont="1"/>
    <xf numFmtId="173" fontId="4" fillId="0" borderId="0" xfId="0" applyNumberFormat="1" applyFont="1"/>
    <xf numFmtId="1" fontId="30" fillId="24" borderId="13" xfId="42" applyNumberFormat="1" applyFont="1" applyFill="1" applyBorder="1" applyAlignment="1">
      <alignment horizontal="center" vertical="center"/>
    </xf>
    <xf numFmtId="3" fontId="4" fillId="0" borderId="11" xfId="42" applyNumberFormat="1" applyFont="1" applyFill="1" applyBorder="1" applyAlignment="1">
      <alignment horizontal="center" vertical="center" wrapText="1"/>
    </xf>
    <xf numFmtId="3" fontId="4" fillId="0" borderId="14" xfId="42" applyNumberFormat="1" applyFont="1" applyFill="1" applyBorder="1" applyAlignment="1">
      <alignment horizontal="center" vertical="center" wrapText="1"/>
    </xf>
    <xf numFmtId="3" fontId="4" fillId="0" borderId="15" xfId="50" applyNumberFormat="1" applyFont="1" applyBorder="1" applyAlignment="1">
      <alignment horizontal="centerContinuous" vertical="center"/>
    </xf>
    <xf numFmtId="3" fontId="4" fillId="0" borderId="16" xfId="50" applyNumberFormat="1" applyFont="1" applyBorder="1" applyAlignment="1">
      <alignment vertical="center"/>
    </xf>
    <xf numFmtId="173" fontId="4" fillId="0" borderId="17" xfId="50" applyNumberFormat="1" applyFont="1" applyBorder="1" applyAlignment="1">
      <alignment horizontal="right" vertical="center"/>
    </xf>
    <xf numFmtId="173" fontId="4" fillId="0" borderId="12" xfId="50" applyNumberFormat="1" applyFont="1" applyBorder="1" applyAlignment="1">
      <alignment horizontal="right" vertical="center"/>
    </xf>
    <xf numFmtId="173" fontId="4" fillId="0" borderId="17" xfId="50" applyNumberFormat="1" applyFont="1" applyBorder="1" applyAlignment="1" applyProtection="1">
      <alignment horizontal="right" vertical="center"/>
      <protection locked="0"/>
    </xf>
    <xf numFmtId="173" fontId="4" fillId="0" borderId="12" xfId="50" applyNumberFormat="1" applyFont="1" applyBorder="1" applyAlignment="1" applyProtection="1">
      <alignment horizontal="right" vertical="center"/>
      <protection locked="0"/>
    </xf>
    <xf numFmtId="173" fontId="3" fillId="0" borderId="17" xfId="50" applyNumberFormat="1" applyFont="1" applyBorder="1" applyAlignment="1" applyProtection="1">
      <alignment horizontal="right" vertical="center"/>
      <protection locked="0"/>
    </xf>
    <xf numFmtId="173" fontId="3" fillId="0" borderId="12" xfId="50" applyNumberFormat="1" applyFont="1" applyBorder="1" applyAlignment="1" applyProtection="1">
      <alignment horizontal="right" vertical="center"/>
      <protection locked="0"/>
    </xf>
    <xf numFmtId="173" fontId="3" fillId="0" borderId="18" xfId="50" applyNumberFormat="1" applyFont="1" applyBorder="1" applyAlignment="1" applyProtection="1">
      <alignment horizontal="right" vertical="center"/>
      <protection locked="0"/>
    </xf>
    <xf numFmtId="173" fontId="3" fillId="0" borderId="12" xfId="50" applyNumberFormat="1" applyFont="1" applyFill="1" applyBorder="1" applyAlignment="1" applyProtection="1">
      <alignment horizontal="right" vertical="center"/>
      <protection locked="0"/>
    </xf>
    <xf numFmtId="173" fontId="3" fillId="0" borderId="17" xfId="50" applyNumberFormat="1" applyFont="1" applyBorder="1" applyAlignment="1">
      <alignment horizontal="right" vertical="center"/>
    </xf>
    <xf numFmtId="173" fontId="3" fillId="0" borderId="12" xfId="50" applyNumberFormat="1" applyFont="1" applyBorder="1" applyAlignment="1">
      <alignment horizontal="right" vertical="center"/>
    </xf>
    <xf numFmtId="173" fontId="4" fillId="0" borderId="19" xfId="50" applyNumberFormat="1" applyFont="1" applyBorder="1" applyAlignment="1">
      <alignment horizontal="right" vertical="center"/>
    </xf>
    <xf numFmtId="173" fontId="4" fillId="0" borderId="20" xfId="50" applyNumberFormat="1" applyFont="1" applyBorder="1" applyAlignment="1">
      <alignment horizontal="right" vertical="center"/>
    </xf>
    <xf numFmtId="173" fontId="3" fillId="0" borderId="0" xfId="50" applyNumberFormat="1" applyFont="1" applyBorder="1"/>
    <xf numFmtId="173" fontId="3" fillId="0" borderId="0" xfId="50" applyNumberFormat="1" applyFont="1" applyBorder="1" applyAlignment="1">
      <alignment horizontal="center"/>
    </xf>
    <xf numFmtId="173" fontId="3" fillId="0" borderId="0" xfId="50" applyNumberFormat="1" applyFont="1" applyFill="1" applyBorder="1" applyAlignment="1">
      <alignment horizontal="center"/>
    </xf>
    <xf numFmtId="0" fontId="4" fillId="0" borderId="0" xfId="0" quotePrefix="1" applyFont="1" applyBorder="1"/>
    <xf numFmtId="4" fontId="3" fillId="0" borderId="0" xfId="0" applyNumberFormat="1" applyFont="1"/>
    <xf numFmtId="4" fontId="4" fillId="0" borderId="0" xfId="0" applyNumberFormat="1" applyFont="1"/>
    <xf numFmtId="173" fontId="4" fillId="0" borderId="17" xfId="50" applyNumberFormat="1" applyFont="1" applyFill="1" applyBorder="1" applyAlignment="1" applyProtection="1">
      <alignment horizontal="right" vertical="center"/>
      <protection locked="0"/>
    </xf>
    <xf numFmtId="10" fontId="3" fillId="0" borderId="0" xfId="52" applyNumberFormat="1" applyFont="1" applyBorder="1" applyAlignment="1">
      <alignment vertical="center"/>
    </xf>
    <xf numFmtId="3" fontId="4" fillId="0" borderId="0" xfId="50" applyNumberFormat="1" applyFont="1" applyBorder="1" applyAlignment="1">
      <alignment vertical="center"/>
    </xf>
    <xf numFmtId="3" fontId="3" fillId="0" borderId="0" xfId="49" applyNumberFormat="1" applyFont="1" applyBorder="1"/>
    <xf numFmtId="0" fontId="3" fillId="0" borderId="0" xfId="41" applyFont="1" applyAlignment="1">
      <alignment vertical="center"/>
    </xf>
    <xf numFmtId="4" fontId="4" fillId="0" borderId="21" xfId="0" applyNumberFormat="1" applyFont="1" applyBorder="1"/>
    <xf numFmtId="0" fontId="3" fillId="0" borderId="15" xfId="0" applyFont="1" applyBorder="1"/>
    <xf numFmtId="0" fontId="3" fillId="0" borderId="0" xfId="0" applyFont="1" applyBorder="1"/>
    <xf numFmtId="173" fontId="3" fillId="0" borderId="22" xfId="0" applyNumberFormat="1" applyFont="1" applyBorder="1"/>
    <xf numFmtId="0" fontId="3" fillId="0" borderId="0" xfId="41" applyFont="1"/>
    <xf numFmtId="0" fontId="4" fillId="0" borderId="0" xfId="41" applyFont="1"/>
    <xf numFmtId="3" fontId="4" fillId="0" borderId="23" xfId="0" applyNumberFormat="1" applyFont="1" applyBorder="1" applyAlignment="1">
      <alignment vertical="center"/>
    </xf>
    <xf numFmtId="3" fontId="4" fillId="0" borderId="24" xfId="0" applyNumberFormat="1" applyFont="1" applyBorder="1" applyAlignment="1">
      <alignment vertical="center"/>
    </xf>
    <xf numFmtId="173" fontId="4" fillId="0" borderId="25" xfId="0" applyNumberFormat="1" applyFont="1" applyBorder="1" applyAlignment="1">
      <alignment vertical="center"/>
    </xf>
    <xf numFmtId="3" fontId="3" fillId="0" borderId="15" xfId="0" applyNumberFormat="1" applyFont="1" applyBorder="1" applyAlignment="1" applyProtection="1">
      <alignment horizontal="right" vertical="center"/>
    </xf>
    <xf numFmtId="3" fontId="3" fillId="0" borderId="26" xfId="0" applyNumberFormat="1" applyFont="1" applyBorder="1" applyAlignment="1" applyProtection="1">
      <alignment vertical="center"/>
    </xf>
    <xf numFmtId="173" fontId="3" fillId="0" borderId="27" xfId="35" applyNumberFormat="1" applyFont="1" applyBorder="1" applyAlignment="1" applyProtection="1">
      <alignment vertical="center"/>
    </xf>
    <xf numFmtId="3" fontId="3" fillId="0" borderId="15" xfId="0" applyNumberFormat="1" applyFont="1" applyBorder="1" applyAlignment="1">
      <alignment vertical="center"/>
    </xf>
    <xf numFmtId="3" fontId="3" fillId="0" borderId="26" xfId="0" applyNumberFormat="1" applyFont="1" applyBorder="1" applyAlignment="1">
      <alignment vertical="center"/>
    </xf>
    <xf numFmtId="173" fontId="3" fillId="0" borderId="27" xfId="35" applyNumberFormat="1" applyFont="1" applyBorder="1" applyAlignment="1">
      <alignment vertical="center"/>
    </xf>
    <xf numFmtId="3" fontId="4" fillId="0" borderId="28" xfId="0" applyNumberFormat="1" applyFont="1" applyBorder="1" applyAlignment="1">
      <alignment vertical="center"/>
    </xf>
    <xf numFmtId="3" fontId="4" fillId="0" borderId="29" xfId="0" applyNumberFormat="1" applyFont="1" applyBorder="1" applyAlignment="1">
      <alignment vertical="center"/>
    </xf>
    <xf numFmtId="173" fontId="3" fillId="0" borderId="14" xfId="35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3" fontId="4" fillId="0" borderId="26" xfId="0" applyNumberFormat="1" applyFont="1" applyBorder="1" applyAlignment="1">
      <alignment vertical="center"/>
    </xf>
    <xf numFmtId="173" fontId="3" fillId="0" borderId="27" xfId="0" applyNumberFormat="1" applyFont="1" applyBorder="1" applyAlignment="1">
      <alignment vertical="center"/>
    </xf>
    <xf numFmtId="3" fontId="4" fillId="0" borderId="30" xfId="0" applyNumberFormat="1" applyFont="1" applyBorder="1" applyAlignment="1">
      <alignment vertical="center"/>
    </xf>
    <xf numFmtId="3" fontId="4" fillId="0" borderId="31" xfId="0" applyNumberFormat="1" applyFont="1" applyBorder="1" applyAlignment="1">
      <alignment vertical="center"/>
    </xf>
    <xf numFmtId="173" fontId="4" fillId="0" borderId="32" xfId="0" applyNumberFormat="1" applyFont="1" applyBorder="1" applyAlignment="1">
      <alignment vertical="center"/>
    </xf>
    <xf numFmtId="3" fontId="4" fillId="24" borderId="15" xfId="0" applyNumberFormat="1" applyFont="1" applyFill="1" applyBorder="1" applyAlignment="1">
      <alignment vertical="center"/>
    </xf>
    <xf numFmtId="3" fontId="4" fillId="24" borderId="26" xfId="0" applyNumberFormat="1" applyFont="1" applyFill="1" applyBorder="1" applyAlignment="1">
      <alignment vertical="center"/>
    </xf>
    <xf numFmtId="173" fontId="4" fillId="24" borderId="27" xfId="0" applyNumberFormat="1" applyFont="1" applyFill="1" applyBorder="1" applyAlignment="1">
      <alignment vertical="center"/>
    </xf>
    <xf numFmtId="3" fontId="4" fillId="24" borderId="26" xfId="0" applyNumberFormat="1" applyFont="1" applyFill="1" applyBorder="1" applyAlignment="1" applyProtection="1">
      <alignment vertical="center"/>
    </xf>
    <xf numFmtId="173" fontId="4" fillId="24" borderId="27" xfId="0" applyNumberFormat="1" applyFont="1" applyFill="1" applyBorder="1" applyAlignment="1" applyProtection="1">
      <alignment vertical="center"/>
    </xf>
    <xf numFmtId="3" fontId="3" fillId="24" borderId="33" xfId="0" applyNumberFormat="1" applyFont="1" applyFill="1" applyBorder="1" applyAlignment="1">
      <alignment vertical="center"/>
    </xf>
    <xf numFmtId="3" fontId="4" fillId="24" borderId="34" xfId="0" applyNumberFormat="1" applyFont="1" applyFill="1" applyBorder="1" applyAlignment="1">
      <alignment vertical="center"/>
    </xf>
    <xf numFmtId="173" fontId="4" fillId="24" borderId="35" xfId="0" applyNumberFormat="1" applyFont="1" applyFill="1" applyBorder="1" applyAlignment="1">
      <alignment vertical="center"/>
    </xf>
    <xf numFmtId="3" fontId="4" fillId="0" borderId="36" xfId="0" applyNumberFormat="1" applyFont="1" applyFill="1" applyBorder="1" applyAlignment="1">
      <alignment vertical="center"/>
    </xf>
    <xf numFmtId="0" fontId="3" fillId="0" borderId="33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173" fontId="4" fillId="0" borderId="22" xfId="0" applyNumberFormat="1" applyFont="1" applyBorder="1" applyAlignment="1">
      <alignment vertical="center"/>
    </xf>
    <xf numFmtId="173" fontId="4" fillId="24" borderId="37" xfId="0" applyNumberFormat="1" applyFont="1" applyFill="1" applyBorder="1" applyAlignment="1">
      <alignment vertical="center"/>
    </xf>
    <xf numFmtId="173" fontId="4" fillId="24" borderId="38" xfId="0" applyNumberFormat="1" applyFont="1" applyFill="1" applyBorder="1" applyAlignment="1">
      <alignment vertical="center"/>
    </xf>
    <xf numFmtId="3" fontId="3" fillId="0" borderId="26" xfId="46" applyNumberFormat="1" applyFont="1" applyBorder="1" applyAlignment="1" applyProtection="1">
      <alignment vertical="center"/>
    </xf>
    <xf numFmtId="173" fontId="3" fillId="0" borderId="27" xfId="0" applyNumberFormat="1" applyFont="1" applyBorder="1" applyAlignment="1" applyProtection="1">
      <alignment vertical="center"/>
    </xf>
    <xf numFmtId="173" fontId="3" fillId="0" borderId="14" xfId="0" applyNumberFormat="1" applyFont="1" applyBorder="1" applyAlignment="1">
      <alignment vertical="center"/>
    </xf>
    <xf numFmtId="3" fontId="4" fillId="0" borderId="33" xfId="0" applyNumberFormat="1" applyFont="1" applyBorder="1" applyAlignment="1" applyProtection="1">
      <alignment vertical="center"/>
    </xf>
    <xf numFmtId="3" fontId="4" fillId="0" borderId="34" xfId="0" applyNumberFormat="1" applyFont="1" applyBorder="1" applyAlignment="1">
      <alignment vertical="center"/>
    </xf>
    <xf numFmtId="173" fontId="4" fillId="0" borderId="35" xfId="0" applyNumberFormat="1" applyFont="1" applyBorder="1" applyAlignment="1" applyProtection="1">
      <alignment vertical="center"/>
    </xf>
    <xf numFmtId="3" fontId="4" fillId="0" borderId="15" xfId="0" quotePrefix="1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173" fontId="4" fillId="0" borderId="22" xfId="0" applyNumberFormat="1" applyFont="1" applyFill="1" applyBorder="1" applyAlignment="1" applyProtection="1">
      <alignment vertical="center"/>
    </xf>
    <xf numFmtId="173" fontId="3" fillId="0" borderId="0" xfId="0" applyNumberFormat="1" applyFont="1" applyBorder="1" applyAlignment="1" applyProtection="1">
      <alignment vertical="center"/>
    </xf>
    <xf numFmtId="3" fontId="4" fillId="25" borderId="15" xfId="0" applyNumberFormat="1" applyFont="1" applyFill="1" applyBorder="1" applyAlignment="1" applyProtection="1">
      <alignment vertical="center"/>
    </xf>
    <xf numFmtId="3" fontId="4" fillId="25" borderId="26" xfId="0" applyNumberFormat="1" applyFont="1" applyFill="1" applyBorder="1" applyAlignment="1">
      <alignment vertical="center"/>
    </xf>
    <xf numFmtId="173" fontId="4" fillId="25" borderId="27" xfId="35" applyNumberFormat="1" applyFont="1" applyFill="1" applyBorder="1" applyAlignment="1" applyProtection="1">
      <alignment vertical="center"/>
    </xf>
    <xf numFmtId="173" fontId="4" fillId="25" borderId="27" xfId="0" applyNumberFormat="1" applyFont="1" applyFill="1" applyBorder="1" applyAlignment="1" applyProtection="1">
      <alignment vertical="center"/>
    </xf>
    <xf numFmtId="0" fontId="9" fillId="26" borderId="0" xfId="41" applyFont="1" applyFill="1"/>
    <xf numFmtId="3" fontId="3" fillId="26" borderId="0" xfId="49" applyNumberFormat="1" applyFont="1" applyFill="1" applyBorder="1"/>
    <xf numFmtId="3" fontId="4" fillId="24" borderId="39" xfId="0" applyNumberFormat="1" applyFont="1" applyFill="1" applyBorder="1" applyAlignment="1">
      <alignment vertical="center"/>
    </xf>
    <xf numFmtId="3" fontId="4" fillId="24" borderId="36" xfId="0" applyNumberFormat="1" applyFont="1" applyFill="1" applyBorder="1" applyAlignment="1">
      <alignment vertical="center"/>
    </xf>
    <xf numFmtId="3" fontId="4" fillId="24" borderId="40" xfId="0" applyNumberFormat="1" applyFont="1" applyFill="1" applyBorder="1" applyAlignment="1">
      <alignment vertical="center"/>
    </xf>
    <xf numFmtId="3" fontId="4" fillId="24" borderId="0" xfId="0" applyNumberFormat="1" applyFont="1" applyFill="1" applyBorder="1" applyAlignment="1" applyProtection="1">
      <alignment vertical="center"/>
    </xf>
    <xf numFmtId="3" fontId="3" fillId="24" borderId="41" xfId="0" applyNumberFormat="1" applyFont="1" applyFill="1" applyBorder="1" applyAlignment="1">
      <alignment vertical="center"/>
    </xf>
    <xf numFmtId="3" fontId="4" fillId="24" borderId="42" xfId="0" applyNumberFormat="1" applyFont="1" applyFill="1" applyBorder="1" applyAlignment="1">
      <alignment vertical="center"/>
    </xf>
    <xf numFmtId="3" fontId="4" fillId="24" borderId="43" xfId="0" applyNumberFormat="1" applyFont="1" applyFill="1" applyBorder="1" applyAlignment="1">
      <alignment vertical="center"/>
    </xf>
    <xf numFmtId="3" fontId="4" fillId="24" borderId="44" xfId="0" applyNumberFormat="1" applyFont="1" applyFill="1" applyBorder="1" applyAlignment="1">
      <alignment vertical="center"/>
    </xf>
    <xf numFmtId="0" fontId="3" fillId="26" borderId="0" xfId="0" applyFont="1" applyFill="1"/>
    <xf numFmtId="0" fontId="4" fillId="0" borderId="0" xfId="0" applyFont="1" applyAlignment="1">
      <alignment vertical="justify" wrapText="1"/>
    </xf>
    <xf numFmtId="0" fontId="6" fillId="27" borderId="13" xfId="43" applyFont="1" applyFill="1" applyBorder="1" applyAlignment="1">
      <alignment horizontal="center" vertical="center" wrapText="1"/>
    </xf>
    <xf numFmtId="0" fontId="3" fillId="0" borderId="0" xfId="40"/>
    <xf numFmtId="0" fontId="3" fillId="0" borderId="0" xfId="40" applyFill="1"/>
    <xf numFmtId="0" fontId="33" fillId="0" borderId="17" xfId="40" applyFont="1" applyBorder="1" applyAlignment="1">
      <alignment horizontal="center" vertical="center" wrapText="1"/>
    </xf>
    <xf numFmtId="0" fontId="34" fillId="0" borderId="17" xfId="40" applyFont="1" applyBorder="1" applyAlignment="1">
      <alignment horizontal="center" vertical="center" wrapText="1"/>
    </xf>
    <xf numFmtId="0" fontId="3" fillId="0" borderId="17" xfId="40" applyBorder="1"/>
    <xf numFmtId="0" fontId="35" fillId="0" borderId="17" xfId="40" applyFont="1" applyBorder="1" applyAlignment="1">
      <alignment horizontal="left" wrapText="1"/>
    </xf>
    <xf numFmtId="0" fontId="3" fillId="0" borderId="45" xfId="40" applyBorder="1"/>
    <xf numFmtId="0" fontId="37" fillId="0" borderId="46" xfId="40" applyFont="1" applyBorder="1" applyAlignment="1">
      <alignment wrapText="1"/>
    </xf>
    <xf numFmtId="170" fontId="36" fillId="0" borderId="46" xfId="40" applyNumberFormat="1" applyFont="1" applyBorder="1" applyAlignment="1">
      <alignment wrapText="1"/>
    </xf>
    <xf numFmtId="170" fontId="38" fillId="0" borderId="46" xfId="40" applyNumberFormat="1" applyFont="1" applyBorder="1"/>
    <xf numFmtId="170" fontId="38" fillId="0" borderId="47" xfId="40" applyNumberFormat="1" applyFont="1" applyBorder="1"/>
    <xf numFmtId="2" fontId="6" fillId="24" borderId="25" xfId="43" applyNumberFormat="1" applyFont="1" applyFill="1" applyBorder="1" applyAlignment="1">
      <alignment horizontal="center" vertical="center" wrapText="1"/>
    </xf>
    <xf numFmtId="0" fontId="3" fillId="0" borderId="46" xfId="40" applyFont="1" applyBorder="1"/>
    <xf numFmtId="0" fontId="3" fillId="0" borderId="47" xfId="40" applyFont="1" applyBorder="1"/>
    <xf numFmtId="0" fontId="3" fillId="0" borderId="0" xfId="40" applyFont="1"/>
    <xf numFmtId="170" fontId="39" fillId="0" borderId="17" xfId="40" applyNumberFormat="1" applyFont="1" applyBorder="1" applyAlignment="1">
      <alignment horizontal="center" vertical="center" wrapText="1"/>
    </xf>
    <xf numFmtId="170" fontId="40" fillId="0" borderId="17" xfId="40" applyNumberFormat="1" applyFont="1" applyBorder="1" applyAlignment="1">
      <alignment horizontal="center" wrapText="1"/>
    </xf>
    <xf numFmtId="170" fontId="40" fillId="0" borderId="17" xfId="40" applyNumberFormat="1" applyFont="1" applyBorder="1" applyAlignment="1">
      <alignment horizontal="center" vertical="center" wrapText="1"/>
    </xf>
    <xf numFmtId="170" fontId="39" fillId="0" borderId="48" xfId="40" applyNumberFormat="1" applyFont="1" applyBorder="1" applyAlignment="1">
      <alignment horizontal="center" wrapText="1"/>
    </xf>
    <xf numFmtId="168" fontId="40" fillId="0" borderId="17" xfId="31" applyFont="1" applyBorder="1" applyAlignment="1">
      <alignment horizontal="center" wrapText="1"/>
    </xf>
    <xf numFmtId="168" fontId="40" fillId="0" borderId="17" xfId="31" applyFont="1" applyBorder="1" applyAlignment="1">
      <alignment horizontal="right" vertical="center" wrapText="1"/>
    </xf>
    <xf numFmtId="168" fontId="40" fillId="0" borderId="17" xfId="31" applyFont="1" applyBorder="1" applyAlignment="1">
      <alignment horizontal="right" wrapText="1"/>
    </xf>
    <xf numFmtId="168" fontId="39" fillId="0" borderId="48" xfId="31" applyFont="1" applyBorder="1" applyAlignment="1">
      <alignment horizontal="center" wrapText="1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173" fontId="44" fillId="0" borderId="0" xfId="0" applyNumberFormat="1" applyFont="1" applyAlignment="1">
      <alignment vertical="center"/>
    </xf>
    <xf numFmtId="3" fontId="43" fillId="0" borderId="23" xfId="0" applyNumberFormat="1" applyFont="1" applyBorder="1" applyAlignment="1">
      <alignment vertical="center"/>
    </xf>
    <xf numFmtId="3" fontId="43" fillId="0" borderId="24" xfId="0" applyNumberFormat="1" applyFont="1" applyBorder="1" applyAlignment="1">
      <alignment vertical="center"/>
    </xf>
    <xf numFmtId="173" fontId="43" fillId="0" borderId="25" xfId="0" applyNumberFormat="1" applyFont="1" applyBorder="1" applyAlignment="1">
      <alignment vertical="center"/>
    </xf>
    <xf numFmtId="3" fontId="44" fillId="0" borderId="15" xfId="0" applyNumberFormat="1" applyFont="1" applyBorder="1" applyAlignment="1" applyProtection="1">
      <alignment horizontal="right" vertical="center"/>
    </xf>
    <xf numFmtId="3" fontId="44" fillId="0" borderId="26" xfId="0" applyNumberFormat="1" applyFont="1" applyBorder="1" applyAlignment="1" applyProtection="1">
      <alignment vertical="center"/>
    </xf>
    <xf numFmtId="173" fontId="44" fillId="0" borderId="27" xfId="35" applyNumberFormat="1" applyFont="1" applyBorder="1" applyAlignment="1" applyProtection="1">
      <alignment vertical="center"/>
    </xf>
    <xf numFmtId="3" fontId="44" fillId="0" borderId="15" xfId="0" applyNumberFormat="1" applyFont="1" applyBorder="1" applyAlignment="1">
      <alignment vertical="center"/>
    </xf>
    <xf numFmtId="3" fontId="44" fillId="0" borderId="26" xfId="0" applyNumberFormat="1" applyFont="1" applyBorder="1" applyAlignment="1">
      <alignment vertical="center"/>
    </xf>
    <xf numFmtId="173" fontId="44" fillId="0" borderId="27" xfId="35" applyNumberFormat="1" applyFont="1" applyBorder="1" applyAlignment="1">
      <alignment vertical="center"/>
    </xf>
    <xf numFmtId="3" fontId="43" fillId="25" borderId="15" xfId="0" applyNumberFormat="1" applyFont="1" applyFill="1" applyBorder="1" applyAlignment="1" applyProtection="1">
      <alignment vertical="center"/>
    </xf>
    <xf numFmtId="3" fontId="43" fillId="25" borderId="26" xfId="0" applyNumberFormat="1" applyFont="1" applyFill="1" applyBorder="1" applyAlignment="1">
      <alignment vertical="center"/>
    </xf>
    <xf numFmtId="173" fontId="43" fillId="25" borderId="27" xfId="35" applyNumberFormat="1" applyFont="1" applyFill="1" applyBorder="1" applyAlignment="1" applyProtection="1">
      <alignment vertical="center"/>
    </xf>
    <xf numFmtId="3" fontId="43" fillId="0" borderId="28" xfId="0" applyNumberFormat="1" applyFont="1" applyBorder="1" applyAlignment="1">
      <alignment vertical="center"/>
    </xf>
    <xf numFmtId="3" fontId="43" fillId="0" borderId="29" xfId="0" applyNumberFormat="1" applyFont="1" applyBorder="1" applyAlignment="1">
      <alignment vertical="center"/>
    </xf>
    <xf numFmtId="173" fontId="44" fillId="0" borderId="14" xfId="35" applyNumberFormat="1" applyFont="1" applyBorder="1" applyAlignment="1">
      <alignment vertical="center"/>
    </xf>
    <xf numFmtId="173" fontId="43" fillId="25" borderId="27" xfId="0" applyNumberFormat="1" applyFont="1" applyFill="1" applyBorder="1" applyAlignment="1" applyProtection="1">
      <alignment vertical="center"/>
    </xf>
    <xf numFmtId="3" fontId="43" fillId="0" borderId="15" xfId="0" applyNumberFormat="1" applyFont="1" applyBorder="1" applyAlignment="1">
      <alignment vertical="center"/>
    </xf>
    <xf numFmtId="3" fontId="43" fillId="0" borderId="26" xfId="0" applyNumberFormat="1" applyFont="1" applyBorder="1" applyAlignment="1">
      <alignment vertical="center"/>
    </xf>
    <xf numFmtId="173" fontId="44" fillId="0" borderId="27" xfId="0" applyNumberFormat="1" applyFont="1" applyBorder="1" applyAlignment="1">
      <alignment vertical="center"/>
    </xf>
    <xf numFmtId="3" fontId="43" fillId="24" borderId="15" xfId="0" applyNumberFormat="1" applyFont="1" applyFill="1" applyBorder="1" applyAlignment="1">
      <alignment vertical="center"/>
    </xf>
    <xf numFmtId="173" fontId="43" fillId="24" borderId="27" xfId="0" applyNumberFormat="1" applyFont="1" applyFill="1" applyBorder="1" applyAlignment="1">
      <alignment vertical="center"/>
    </xf>
    <xf numFmtId="3" fontId="43" fillId="24" borderId="26" xfId="0" applyNumberFormat="1" applyFont="1" applyFill="1" applyBorder="1" applyAlignment="1" applyProtection="1">
      <alignment vertical="center"/>
    </xf>
    <xf numFmtId="173" fontId="43" fillId="24" borderId="27" xfId="0" applyNumberFormat="1" applyFont="1" applyFill="1" applyBorder="1" applyAlignment="1" applyProtection="1">
      <alignment vertical="center"/>
    </xf>
    <xf numFmtId="0" fontId="44" fillId="0" borderId="0" xfId="0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173" fontId="43" fillId="0" borderId="22" xfId="0" applyNumberFormat="1" applyFont="1" applyBorder="1" applyAlignment="1">
      <alignment vertical="center"/>
    </xf>
    <xf numFmtId="3" fontId="43" fillId="24" borderId="43" xfId="0" applyNumberFormat="1" applyFont="1" applyFill="1" applyBorder="1" applyAlignment="1">
      <alignment vertical="center"/>
    </xf>
    <xf numFmtId="3" fontId="43" fillId="24" borderId="44" xfId="0" applyNumberFormat="1" applyFont="1" applyFill="1" applyBorder="1" applyAlignment="1">
      <alignment vertical="center"/>
    </xf>
    <xf numFmtId="173" fontId="43" fillId="24" borderId="49" xfId="0" applyNumberFormat="1" applyFont="1" applyFill="1" applyBorder="1" applyAlignment="1">
      <alignment vertical="center"/>
    </xf>
    <xf numFmtId="3" fontId="44" fillId="24" borderId="41" xfId="0" applyNumberFormat="1" applyFont="1" applyFill="1" applyBorder="1" applyAlignment="1">
      <alignment vertical="center"/>
    </xf>
    <xf numFmtId="3" fontId="43" fillId="24" borderId="42" xfId="0" applyNumberFormat="1" applyFont="1" applyFill="1" applyBorder="1" applyAlignment="1">
      <alignment vertical="center"/>
    </xf>
    <xf numFmtId="173" fontId="43" fillId="24" borderId="38" xfId="0" applyNumberFormat="1" applyFont="1" applyFill="1" applyBorder="1" applyAlignment="1">
      <alignment vertical="center"/>
    </xf>
    <xf numFmtId="3" fontId="44" fillId="0" borderId="26" xfId="46" applyNumberFormat="1" applyFont="1" applyBorder="1" applyAlignment="1" applyProtection="1">
      <alignment vertical="center"/>
    </xf>
    <xf numFmtId="173" fontId="44" fillId="0" borderId="27" xfId="0" applyNumberFormat="1" applyFont="1" applyBorder="1" applyAlignment="1" applyProtection="1">
      <alignment vertical="center"/>
    </xf>
    <xf numFmtId="4" fontId="44" fillId="0" borderId="0" xfId="0" applyNumberFormat="1" applyFont="1" applyAlignment="1">
      <alignment vertical="center"/>
    </xf>
    <xf numFmtId="173" fontId="44" fillId="0" borderId="14" xfId="0" applyNumberFormat="1" applyFont="1" applyBorder="1" applyAlignment="1">
      <alignment vertical="center"/>
    </xf>
    <xf numFmtId="3" fontId="43" fillId="0" borderId="33" xfId="0" applyNumberFormat="1" applyFont="1" applyBorder="1" applyAlignment="1" applyProtection="1">
      <alignment vertical="center"/>
    </xf>
    <xf numFmtId="3" fontId="43" fillId="0" borderId="34" xfId="0" applyNumberFormat="1" applyFont="1" applyBorder="1" applyAlignment="1">
      <alignment vertical="center"/>
    </xf>
    <xf numFmtId="173" fontId="43" fillId="0" borderId="35" xfId="0" applyNumberFormat="1" applyFont="1" applyBorder="1" applyAlignment="1" applyProtection="1">
      <alignment vertical="center"/>
    </xf>
    <xf numFmtId="3" fontId="43" fillId="0" borderId="0" xfId="0" applyNumberFormat="1" applyFont="1" applyFill="1" applyBorder="1" applyAlignment="1" applyProtection="1">
      <alignment vertical="center"/>
    </xf>
    <xf numFmtId="0" fontId="44" fillId="26" borderId="0" xfId="0" applyFont="1" applyFill="1" applyAlignment="1">
      <alignment vertical="center"/>
    </xf>
    <xf numFmtId="0" fontId="47" fillId="26" borderId="0" xfId="41" applyFont="1" applyFill="1" applyAlignment="1">
      <alignment vertical="center"/>
    </xf>
    <xf numFmtId="3" fontId="44" fillId="26" borderId="0" xfId="49" applyNumberFormat="1" applyFont="1" applyFill="1" applyBorder="1" applyAlignment="1">
      <alignment vertical="center"/>
    </xf>
    <xf numFmtId="0" fontId="44" fillId="0" borderId="0" xfId="41" applyFont="1" applyAlignment="1">
      <alignment vertical="center"/>
    </xf>
    <xf numFmtId="3" fontId="44" fillId="0" borderId="0" xfId="49" applyNumberFormat="1" applyFont="1" applyBorder="1" applyAlignment="1">
      <alignment vertical="center"/>
    </xf>
    <xf numFmtId="0" fontId="43" fillId="0" borderId="0" xfId="41" applyFont="1" applyAlignment="1">
      <alignment vertical="center" wrapText="1"/>
    </xf>
    <xf numFmtId="0" fontId="43" fillId="0" borderId="0" xfId="41" applyFont="1" applyAlignment="1">
      <alignment vertical="center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/>
    </xf>
    <xf numFmtId="2" fontId="44" fillId="0" borderId="0" xfId="0" applyNumberFormat="1" applyFont="1" applyAlignment="1">
      <alignment horizontal="center" vertical="center"/>
    </xf>
    <xf numFmtId="0" fontId="46" fillId="0" borderId="17" xfId="0" applyFont="1" applyBorder="1" applyAlignment="1">
      <alignment vertical="center"/>
    </xf>
    <xf numFmtId="173" fontId="46" fillId="0" borderId="17" xfId="0" applyNumberFormat="1" applyFont="1" applyBorder="1" applyAlignment="1" applyProtection="1">
      <alignment vertical="center"/>
    </xf>
    <xf numFmtId="173" fontId="44" fillId="0" borderId="17" xfId="0" applyNumberFormat="1" applyFont="1" applyBorder="1" applyAlignment="1">
      <alignment vertical="center"/>
    </xf>
    <xf numFmtId="3" fontId="43" fillId="24" borderId="24" xfId="0" applyNumberFormat="1" applyFont="1" applyFill="1" applyBorder="1" applyAlignment="1">
      <alignment vertical="center"/>
    </xf>
    <xf numFmtId="3" fontId="44" fillId="24" borderId="15" xfId="0" applyNumberFormat="1" applyFont="1" applyFill="1" applyBorder="1" applyAlignment="1">
      <alignment vertical="center"/>
    </xf>
    <xf numFmtId="3" fontId="43" fillId="24" borderId="0" xfId="0" applyNumberFormat="1" applyFont="1" applyFill="1" applyBorder="1" applyAlignment="1">
      <alignment vertical="center"/>
    </xf>
    <xf numFmtId="173" fontId="44" fillId="0" borderId="0" xfId="0" applyNumberFormat="1" applyFont="1" applyBorder="1" applyAlignment="1">
      <alignment vertical="center"/>
    </xf>
    <xf numFmtId="0" fontId="44" fillId="0" borderId="50" xfId="0" applyFont="1" applyBorder="1" applyAlignment="1">
      <alignment vertical="center"/>
    </xf>
    <xf numFmtId="173" fontId="44" fillId="0" borderId="50" xfId="0" applyNumberFormat="1" applyFont="1" applyBorder="1" applyAlignment="1">
      <alignment vertical="center"/>
    </xf>
    <xf numFmtId="0" fontId="44" fillId="0" borderId="50" xfId="0" applyFont="1" applyBorder="1" applyAlignment="1">
      <alignment vertical="center" wrapText="1"/>
    </xf>
    <xf numFmtId="0" fontId="46" fillId="0" borderId="50" xfId="0" applyFont="1" applyBorder="1" applyAlignment="1">
      <alignment vertical="center"/>
    </xf>
    <xf numFmtId="173" fontId="46" fillId="0" borderId="50" xfId="0" applyNumberFormat="1" applyFont="1" applyBorder="1" applyAlignment="1" applyProtection="1">
      <alignment vertical="center"/>
    </xf>
    <xf numFmtId="3" fontId="43" fillId="0" borderId="51" xfId="0" applyNumberFormat="1" applyFont="1" applyFill="1" applyBorder="1" applyAlignment="1">
      <alignment vertical="center"/>
    </xf>
    <xf numFmtId="3" fontId="43" fillId="0" borderId="52" xfId="0" applyNumberFormat="1" applyFont="1" applyFill="1" applyBorder="1" applyAlignment="1">
      <alignment vertical="center"/>
    </xf>
    <xf numFmtId="173" fontId="43" fillId="0" borderId="53" xfId="0" applyNumberFormat="1" applyFont="1" applyFill="1" applyBorder="1" applyAlignment="1">
      <alignment vertical="center"/>
    </xf>
    <xf numFmtId="3" fontId="43" fillId="0" borderId="15" xfId="0" applyNumberFormat="1" applyFont="1" applyFill="1" applyBorder="1" applyAlignment="1">
      <alignment vertical="center"/>
    </xf>
    <xf numFmtId="3" fontId="43" fillId="0" borderId="26" xfId="0" applyNumberFormat="1" applyFont="1" applyFill="1" applyBorder="1" applyAlignment="1">
      <alignment vertical="center"/>
    </xf>
    <xf numFmtId="173" fontId="43" fillId="0" borderId="27" xfId="0" applyNumberFormat="1" applyFont="1" applyBorder="1" applyAlignment="1">
      <alignment vertical="center"/>
    </xf>
    <xf numFmtId="3" fontId="43" fillId="24" borderId="54" xfId="0" applyNumberFormat="1" applyFont="1" applyFill="1" applyBorder="1" applyAlignment="1">
      <alignment vertical="center"/>
    </xf>
    <xf numFmtId="3" fontId="43" fillId="24" borderId="55" xfId="0" applyNumberFormat="1" applyFont="1" applyFill="1" applyBorder="1" applyAlignment="1">
      <alignment vertical="center"/>
    </xf>
    <xf numFmtId="3" fontId="43" fillId="24" borderId="0" xfId="0" applyNumberFormat="1" applyFont="1" applyFill="1" applyBorder="1" applyAlignment="1" applyProtection="1">
      <alignment vertical="center"/>
    </xf>
    <xf numFmtId="0" fontId="44" fillId="0" borderId="43" xfId="0" applyFont="1" applyBorder="1" applyAlignment="1">
      <alignment vertical="center"/>
    </xf>
    <xf numFmtId="3" fontId="43" fillId="0" borderId="43" xfId="0" quotePrefix="1" applyNumberFormat="1" applyFont="1" applyFill="1" applyBorder="1" applyAlignment="1">
      <alignment vertical="center"/>
    </xf>
    <xf numFmtId="3" fontId="43" fillId="0" borderId="41" xfId="0" applyNumberFormat="1" applyFont="1" applyFill="1" applyBorder="1" applyAlignment="1">
      <alignment vertical="center"/>
    </xf>
    <xf numFmtId="3" fontId="43" fillId="25" borderId="41" xfId="0" applyNumberFormat="1" applyFont="1" applyFill="1" applyBorder="1" applyAlignment="1" applyProtection="1">
      <alignment vertical="center"/>
    </xf>
    <xf numFmtId="3" fontId="44" fillId="0" borderId="0" xfId="46" applyNumberFormat="1" applyFont="1" applyBorder="1" applyAlignment="1" applyProtection="1">
      <alignment vertical="center"/>
    </xf>
    <xf numFmtId="3" fontId="43" fillId="25" borderId="0" xfId="0" applyNumberFormat="1" applyFont="1" applyFill="1" applyBorder="1" applyAlignment="1">
      <alignment vertical="center"/>
    </xf>
    <xf numFmtId="3" fontId="43" fillId="0" borderId="56" xfId="0" applyNumberFormat="1" applyFont="1" applyBorder="1" applyAlignment="1">
      <alignment vertical="center"/>
    </xf>
    <xf numFmtId="3" fontId="43" fillId="0" borderId="39" xfId="0" applyNumberFormat="1" applyFont="1" applyBorder="1" applyAlignment="1">
      <alignment vertical="center"/>
    </xf>
    <xf numFmtId="0" fontId="44" fillId="0" borderId="0" xfId="0" applyFont="1"/>
    <xf numFmtId="0" fontId="44" fillId="0" borderId="57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3" fillId="0" borderId="58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0" borderId="59" xfId="0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vertical="center" wrapText="1"/>
    </xf>
    <xf numFmtId="0" fontId="43" fillId="0" borderId="20" xfId="0" applyFont="1" applyBorder="1" applyAlignment="1">
      <alignment horizontal="center" vertical="center" wrapText="1"/>
    </xf>
    <xf numFmtId="0" fontId="43" fillId="0" borderId="0" xfId="38" applyFont="1" applyAlignment="1">
      <alignment horizontal="left" vertical="center" wrapText="1"/>
    </xf>
    <xf numFmtId="0" fontId="44" fillId="0" borderId="0" xfId="38" applyFont="1" applyAlignment="1">
      <alignment vertical="center"/>
    </xf>
    <xf numFmtId="0" fontId="44" fillId="0" borderId="0" xfId="38" applyFont="1" applyFill="1" applyAlignment="1">
      <alignment vertical="center"/>
    </xf>
    <xf numFmtId="171" fontId="44" fillId="0" borderId="0" xfId="38" applyNumberFormat="1" applyFont="1" applyAlignment="1">
      <alignment vertical="center"/>
    </xf>
    <xf numFmtId="0" fontId="43" fillId="0" borderId="0" xfId="38" applyFont="1" applyAlignment="1">
      <alignment vertical="center"/>
    </xf>
    <xf numFmtId="2" fontId="44" fillId="0" borderId="0" xfId="38" applyNumberFormat="1" applyFont="1" applyAlignment="1">
      <alignment vertical="center"/>
    </xf>
    <xf numFmtId="4" fontId="44" fillId="0" borderId="0" xfId="38" applyNumberFormat="1" applyFont="1" applyAlignment="1">
      <alignment vertical="center"/>
    </xf>
    <xf numFmtId="0" fontId="43" fillId="0" borderId="17" xfId="0" applyFont="1" applyBorder="1" applyAlignment="1">
      <alignment horizontal="center" vertical="center" wrapText="1"/>
    </xf>
    <xf numFmtId="0" fontId="44" fillId="0" borderId="0" xfId="0" applyFont="1" applyFill="1" applyAlignment="1">
      <alignment vertical="center"/>
    </xf>
    <xf numFmtId="0" fontId="44" fillId="0" borderId="15" xfId="0" applyFont="1" applyBorder="1" applyAlignment="1">
      <alignment vertical="center"/>
    </xf>
    <xf numFmtId="0" fontId="44" fillId="0" borderId="22" xfId="0" applyFont="1" applyBorder="1" applyAlignment="1">
      <alignment vertical="center"/>
    </xf>
    <xf numFmtId="168" fontId="44" fillId="0" borderId="0" xfId="0" applyNumberFormat="1" applyFont="1" applyAlignment="1">
      <alignment vertical="center"/>
    </xf>
    <xf numFmtId="0" fontId="44" fillId="0" borderId="0" xfId="0" applyFont="1" applyAlignment="1">
      <alignment horizontal="right" vertical="center"/>
    </xf>
    <xf numFmtId="171" fontId="44" fillId="28" borderId="0" xfId="0" applyNumberFormat="1" applyFont="1" applyFill="1" applyAlignment="1">
      <alignment vertical="center"/>
    </xf>
    <xf numFmtId="1" fontId="48" fillId="24" borderId="13" xfId="42" applyNumberFormat="1" applyFont="1" applyFill="1" applyBorder="1" applyAlignment="1">
      <alignment horizontal="center" vertical="center"/>
    </xf>
    <xf numFmtId="2" fontId="48" fillId="24" borderId="12" xfId="42" applyNumberFormat="1" applyFont="1" applyFill="1" applyBorder="1" applyAlignment="1">
      <alignment horizontal="center" vertical="center"/>
    </xf>
    <xf numFmtId="0" fontId="44" fillId="0" borderId="0" xfId="47" applyFont="1" applyAlignment="1">
      <alignment vertical="center"/>
    </xf>
    <xf numFmtId="4" fontId="44" fillId="0" borderId="0" xfId="47" applyNumberFormat="1" applyFont="1" applyAlignment="1">
      <alignment vertical="center"/>
    </xf>
    <xf numFmtId="3" fontId="44" fillId="0" borderId="0" xfId="47" applyNumberFormat="1" applyFont="1" applyAlignment="1">
      <alignment vertical="center"/>
    </xf>
    <xf numFmtId="4" fontId="44" fillId="29" borderId="11" xfId="47" applyNumberFormat="1" applyFont="1" applyFill="1" applyBorder="1" applyAlignment="1" applyProtection="1">
      <alignment horizontal="center" vertical="center"/>
      <protection locked="0"/>
    </xf>
    <xf numFmtId="173" fontId="44" fillId="0" borderId="11" xfId="36" applyNumberFormat="1" applyFont="1" applyBorder="1" applyAlignment="1" applyProtection="1">
      <alignment horizontal="right" vertical="center"/>
      <protection locked="0"/>
    </xf>
    <xf numFmtId="173" fontId="44" fillId="0" borderId="17" xfId="36" applyNumberFormat="1" applyFont="1" applyBorder="1" applyAlignment="1" applyProtection="1">
      <alignment horizontal="right" vertical="center"/>
      <protection locked="0"/>
    </xf>
    <xf numFmtId="49" fontId="44" fillId="0" borderId="61" xfId="47" applyNumberFormat="1" applyFont="1" applyFill="1" applyBorder="1" applyAlignment="1" applyProtection="1">
      <alignment horizontal="center" vertical="center"/>
      <protection locked="0"/>
    </xf>
    <xf numFmtId="49" fontId="44" fillId="0" borderId="25" xfId="47" applyNumberFormat="1" applyFont="1" applyFill="1" applyBorder="1" applyAlignment="1" applyProtection="1">
      <alignment horizontal="center" vertical="center"/>
      <protection locked="0"/>
    </xf>
    <xf numFmtId="0" fontId="44" fillId="0" borderId="61" xfId="47" applyNumberFormat="1" applyFont="1" applyFill="1" applyBorder="1" applyAlignment="1" applyProtection="1">
      <alignment vertical="center"/>
      <protection locked="0"/>
    </xf>
    <xf numFmtId="0" fontId="44" fillId="0" borderId="25" xfId="47" applyNumberFormat="1" applyFont="1" applyFill="1" applyBorder="1" applyAlignment="1" applyProtection="1">
      <alignment vertical="center"/>
      <protection locked="0"/>
    </xf>
    <xf numFmtId="4" fontId="44" fillId="29" borderId="57" xfId="47" applyNumberFormat="1" applyFont="1" applyFill="1" applyBorder="1" applyAlignment="1" applyProtection="1">
      <alignment horizontal="center" vertical="center"/>
      <protection locked="0"/>
    </xf>
    <xf numFmtId="173" fontId="44" fillId="0" borderId="48" xfId="36" applyNumberFormat="1" applyFont="1" applyBorder="1" applyAlignment="1" applyProtection="1">
      <alignment horizontal="right" vertical="center"/>
      <protection locked="0"/>
    </xf>
    <xf numFmtId="0" fontId="44" fillId="0" borderId="62" xfId="47" applyNumberFormat="1" applyFont="1" applyFill="1" applyBorder="1" applyAlignment="1" applyProtection="1">
      <alignment vertical="center"/>
      <protection locked="0"/>
    </xf>
    <xf numFmtId="0" fontId="44" fillId="0" borderId="20" xfId="47" applyNumberFormat="1" applyFont="1" applyFill="1" applyBorder="1" applyAlignment="1" applyProtection="1">
      <alignment vertical="center"/>
      <protection locked="0"/>
    </xf>
    <xf numFmtId="4" fontId="44" fillId="0" borderId="17" xfId="47" applyNumberFormat="1" applyFont="1" applyBorder="1" applyAlignment="1" applyProtection="1">
      <alignment horizontal="center" vertical="center"/>
      <protection locked="0"/>
    </xf>
    <xf numFmtId="173" fontId="44" fillId="0" borderId="17" xfId="47" applyNumberFormat="1" applyFont="1" applyBorder="1" applyAlignment="1" applyProtection="1">
      <alignment horizontal="right" vertical="center"/>
      <protection locked="0"/>
    </xf>
    <xf numFmtId="4" fontId="44" fillId="0" borderId="48" xfId="47" applyNumberFormat="1" applyFont="1" applyBorder="1" applyAlignment="1" applyProtection="1">
      <alignment horizontal="center" vertical="center"/>
      <protection locked="0"/>
    </xf>
    <xf numFmtId="173" fontId="44" fillId="0" borderId="48" xfId="47" applyNumberFormat="1" applyFont="1" applyBorder="1" applyAlignment="1" applyProtection="1">
      <alignment horizontal="right" vertical="center"/>
      <protection locked="0"/>
    </xf>
    <xf numFmtId="0" fontId="43" fillId="0" borderId="0" xfId="47" applyFont="1" applyBorder="1" applyAlignment="1">
      <alignment horizontal="center" vertical="center"/>
    </xf>
    <xf numFmtId="0" fontId="44" fillId="0" borderId="0" xfId="47" applyFont="1" applyBorder="1" applyAlignment="1">
      <alignment vertical="center"/>
    </xf>
    <xf numFmtId="173" fontId="43" fillId="0" borderId="0" xfId="47" applyNumberFormat="1" applyFont="1" applyBorder="1" applyAlignment="1" applyProtection="1">
      <alignment horizontal="right" vertical="center"/>
      <protection locked="0"/>
    </xf>
    <xf numFmtId="0" fontId="44" fillId="0" borderId="0" xfId="0" applyFont="1" applyAlignment="1">
      <alignment horizontal="center" vertical="center" wrapText="1"/>
    </xf>
    <xf numFmtId="0" fontId="44" fillId="0" borderId="0" xfId="48" applyFont="1" applyAlignment="1">
      <alignment vertical="center"/>
    </xf>
    <xf numFmtId="4" fontId="44" fillId="0" borderId="0" xfId="48" applyNumberFormat="1" applyFont="1" applyAlignment="1">
      <alignment vertical="center"/>
    </xf>
    <xf numFmtId="0" fontId="43" fillId="0" borderId="18" xfId="48" applyFont="1" applyFill="1" applyBorder="1" applyAlignment="1">
      <alignment horizontal="center" vertical="center" wrapText="1"/>
    </xf>
    <xf numFmtId="0" fontId="43" fillId="0" borderId="17" xfId="48" applyFont="1" applyFill="1" applyBorder="1" applyAlignment="1">
      <alignment horizontal="center" vertical="center" wrapText="1"/>
    </xf>
    <xf numFmtId="0" fontId="43" fillId="0" borderId="63" xfId="48" applyFont="1" applyFill="1" applyBorder="1" applyAlignment="1">
      <alignment vertical="center" wrapText="1"/>
    </xf>
    <xf numFmtId="4" fontId="44" fillId="0" borderId="64" xfId="48" applyNumberFormat="1" applyFont="1" applyBorder="1" applyAlignment="1">
      <alignment vertical="center"/>
    </xf>
    <xf numFmtId="4" fontId="44" fillId="0" borderId="17" xfId="48" applyNumberFormat="1" applyFont="1" applyFill="1" applyBorder="1" applyAlignment="1">
      <alignment horizontal="center" vertical="center" wrapText="1"/>
    </xf>
    <xf numFmtId="4" fontId="44" fillId="0" borderId="64" xfId="48" applyNumberFormat="1" applyFont="1" applyFill="1" applyBorder="1" applyAlignment="1">
      <alignment vertical="center" wrapText="1"/>
    </xf>
    <xf numFmtId="0" fontId="43" fillId="0" borderId="48" xfId="48" applyFont="1" applyFill="1" applyBorder="1" applyAlignment="1">
      <alignment horizontal="center" vertical="center" wrapText="1"/>
    </xf>
    <xf numFmtId="4" fontId="43" fillId="0" borderId="12" xfId="48" applyNumberFormat="1" applyFont="1" applyFill="1" applyBorder="1" applyAlignment="1">
      <alignment horizontal="center" vertical="center" wrapText="1"/>
    </xf>
    <xf numFmtId="4" fontId="55" fillId="0" borderId="0" xfId="48" applyNumberFormat="1" applyFont="1" applyAlignment="1">
      <alignment vertical="center"/>
    </xf>
    <xf numFmtId="4" fontId="44" fillId="0" borderId="65" xfId="48" quotePrefix="1" applyNumberFormat="1" applyFont="1" applyFill="1" applyBorder="1" applyAlignment="1">
      <alignment horizontal="center" vertical="center" wrapText="1"/>
    </xf>
    <xf numFmtId="0" fontId="44" fillId="0" borderId="17" xfId="48" applyFont="1" applyFill="1" applyBorder="1" applyAlignment="1">
      <alignment horizontal="center" vertical="center"/>
    </xf>
    <xf numFmtId="173" fontId="44" fillId="0" borderId="17" xfId="48" applyNumberFormat="1" applyFont="1" applyFill="1" applyBorder="1" applyAlignment="1">
      <alignment horizontal="center" vertical="center" wrapText="1"/>
    </xf>
    <xf numFmtId="173" fontId="44" fillId="0" borderId="17" xfId="48" applyNumberFormat="1" applyFont="1" applyFill="1" applyBorder="1" applyAlignment="1">
      <alignment horizontal="right" vertical="center" wrapText="1"/>
    </xf>
    <xf numFmtId="173" fontId="44" fillId="0" borderId="17" xfId="48" applyNumberFormat="1" applyFont="1" applyBorder="1" applyAlignment="1">
      <alignment horizontal="center" vertical="center"/>
    </xf>
    <xf numFmtId="4" fontId="44" fillId="0" borderId="12" xfId="48" applyNumberFormat="1" applyFont="1" applyFill="1" applyBorder="1" applyAlignment="1">
      <alignment horizontal="center" vertical="center" wrapText="1"/>
    </xf>
    <xf numFmtId="0" fontId="44" fillId="0" borderId="0" xfId="48" applyFont="1" applyAlignment="1">
      <alignment horizontal="center" vertical="center"/>
    </xf>
    <xf numFmtId="4" fontId="55" fillId="0" borderId="0" xfId="48" applyNumberFormat="1" applyFont="1" applyAlignment="1">
      <alignment horizontal="center" vertical="center"/>
    </xf>
    <xf numFmtId="4" fontId="44" fillId="0" borderId="0" xfId="48" applyNumberFormat="1" applyFont="1" applyAlignment="1">
      <alignment horizontal="center" vertical="center"/>
    </xf>
    <xf numFmtId="4" fontId="44" fillId="0" borderId="65" xfId="48" applyNumberFormat="1" applyFont="1" applyFill="1" applyBorder="1" applyAlignment="1">
      <alignment horizontal="center" vertical="center" wrapText="1"/>
    </xf>
    <xf numFmtId="169" fontId="44" fillId="0" borderId="17" xfId="48" applyNumberFormat="1" applyFont="1" applyFill="1" applyBorder="1" applyAlignment="1">
      <alignment horizontal="right" vertical="center" wrapText="1"/>
    </xf>
    <xf numFmtId="0" fontId="44" fillId="0" borderId="17" xfId="48" applyNumberFormat="1" applyFont="1" applyBorder="1" applyAlignment="1">
      <alignment horizontal="center" vertical="center"/>
    </xf>
    <xf numFmtId="4" fontId="44" fillId="0" borderId="66" xfId="48" applyNumberFormat="1" applyFont="1" applyFill="1" applyBorder="1" applyAlignment="1">
      <alignment horizontal="center" vertical="center" wrapText="1"/>
    </xf>
    <xf numFmtId="0" fontId="44" fillId="0" borderId="48" xfId="48" applyFont="1" applyFill="1" applyBorder="1" applyAlignment="1">
      <alignment horizontal="center" vertical="center"/>
    </xf>
    <xf numFmtId="4" fontId="44" fillId="0" borderId="48" xfId="48" applyNumberFormat="1" applyFont="1" applyFill="1" applyBorder="1" applyAlignment="1">
      <alignment horizontal="center" vertical="center" wrapText="1"/>
    </xf>
    <xf numFmtId="169" fontId="44" fillId="0" borderId="48" xfId="48" applyNumberFormat="1" applyFont="1" applyFill="1" applyBorder="1" applyAlignment="1">
      <alignment horizontal="right" vertical="center" wrapText="1"/>
    </xf>
    <xf numFmtId="0" fontId="44" fillId="0" borderId="48" xfId="48" applyNumberFormat="1" applyFont="1" applyBorder="1" applyAlignment="1">
      <alignment horizontal="center" vertical="center"/>
    </xf>
    <xf numFmtId="4" fontId="44" fillId="0" borderId="25" xfId="48" applyNumberFormat="1" applyFont="1" applyFill="1" applyBorder="1" applyAlignment="1">
      <alignment horizontal="center" vertical="center" wrapText="1"/>
    </xf>
    <xf numFmtId="49" fontId="44" fillId="0" borderId="50" xfId="48" applyNumberFormat="1" applyFont="1" applyBorder="1" applyAlignment="1">
      <alignment horizontal="center" vertical="center"/>
    </xf>
    <xf numFmtId="0" fontId="44" fillId="0" borderId="67" xfId="48" applyFont="1" applyBorder="1" applyAlignment="1">
      <alignment horizontal="center" vertical="center"/>
    </xf>
    <xf numFmtId="0" fontId="44" fillId="0" borderId="50" xfId="48" applyFont="1" applyBorder="1" applyAlignment="1">
      <alignment horizontal="center" vertical="center"/>
    </xf>
    <xf numFmtId="0" fontId="44" fillId="0" borderId="50" xfId="48" applyNumberFormat="1" applyFont="1" applyBorder="1" applyAlignment="1" applyProtection="1">
      <alignment horizontal="center" vertical="center"/>
      <protection locked="0"/>
    </xf>
    <xf numFmtId="4" fontId="44" fillId="0" borderId="50" xfId="48" applyNumberFormat="1" applyFont="1" applyBorder="1" applyAlignment="1">
      <alignment horizontal="center" vertical="center"/>
    </xf>
    <xf numFmtId="4" fontId="44" fillId="0" borderId="0" xfId="48" applyNumberFormat="1" applyFont="1" applyFill="1" applyBorder="1" applyAlignment="1">
      <alignment horizontal="center" vertical="center" wrapText="1"/>
    </xf>
    <xf numFmtId="0" fontId="44" fillId="0" borderId="0" xfId="48" applyFont="1" applyFill="1" applyBorder="1" applyAlignment="1">
      <alignment horizontal="center" vertical="center"/>
    </xf>
    <xf numFmtId="0" fontId="44" fillId="0" borderId="0" xfId="48" applyNumberFormat="1" applyFont="1" applyFill="1" applyBorder="1" applyAlignment="1">
      <alignment horizontal="center" vertical="center" wrapText="1"/>
    </xf>
    <xf numFmtId="0" fontId="44" fillId="0" borderId="0" xfId="48" applyNumberFormat="1" applyFont="1" applyBorder="1" applyAlignment="1">
      <alignment horizontal="center" vertical="center"/>
    </xf>
    <xf numFmtId="3" fontId="44" fillId="0" borderId="0" xfId="48" applyNumberFormat="1" applyFont="1" applyFill="1" applyBorder="1" applyAlignment="1">
      <alignment horizontal="center" vertical="center" wrapText="1"/>
    </xf>
    <xf numFmtId="0" fontId="43" fillId="0" borderId="0" xfId="48" applyFont="1" applyAlignment="1">
      <alignment vertical="center"/>
    </xf>
    <xf numFmtId="0" fontId="43" fillId="0" borderId="0" xfId="48" applyFont="1" applyAlignment="1">
      <alignment horizontal="center" vertical="center"/>
    </xf>
    <xf numFmtId="0" fontId="33" fillId="24" borderId="68" xfId="0" applyFont="1" applyFill="1" applyBorder="1" applyAlignment="1">
      <alignment horizontal="center" vertical="center" wrapText="1"/>
    </xf>
    <xf numFmtId="0" fontId="44" fillId="0" borderId="65" xfId="0" applyFont="1" applyBorder="1" applyAlignment="1">
      <alignment horizontal="center" vertical="center"/>
    </xf>
    <xf numFmtId="49" fontId="44" fillId="0" borderId="0" xfId="0" applyNumberFormat="1" applyFont="1" applyBorder="1" applyAlignment="1">
      <alignment vertical="center"/>
    </xf>
    <xf numFmtId="0" fontId="44" fillId="0" borderId="0" xfId="0" applyFont="1" applyBorder="1" applyAlignment="1">
      <alignment horizontal="right" vertical="center" wrapText="1"/>
    </xf>
    <xf numFmtId="4" fontId="44" fillId="0" borderId="11" xfId="0" applyNumberFormat="1" applyFont="1" applyBorder="1" applyAlignment="1">
      <alignment horizontal="right" vertical="center" wrapText="1"/>
    </xf>
    <xf numFmtId="4" fontId="44" fillId="0" borderId="14" xfId="0" applyNumberFormat="1" applyFont="1" applyBorder="1" applyAlignment="1">
      <alignment horizontal="right" vertical="center" wrapText="1"/>
    </xf>
    <xf numFmtId="4" fontId="44" fillId="0" borderId="17" xfId="0" applyNumberFormat="1" applyFont="1" applyBorder="1" applyAlignment="1">
      <alignment horizontal="right" vertical="center" wrapText="1"/>
    </xf>
    <xf numFmtId="4" fontId="44" fillId="0" borderId="12" xfId="0" applyNumberFormat="1" applyFont="1" applyBorder="1" applyAlignment="1">
      <alignment horizontal="right" vertical="center" wrapText="1"/>
    </xf>
    <xf numFmtId="4" fontId="43" fillId="0" borderId="19" xfId="0" applyNumberFormat="1" applyFont="1" applyBorder="1" applyAlignment="1">
      <alignment horizontal="right" vertical="center" wrapText="1"/>
    </xf>
    <xf numFmtId="4" fontId="43" fillId="0" borderId="20" xfId="0" applyNumberFormat="1" applyFont="1" applyBorder="1" applyAlignment="1">
      <alignment horizontal="right" vertical="center" wrapText="1"/>
    </xf>
    <xf numFmtId="4" fontId="44" fillId="0" borderId="14" xfId="0" applyNumberFormat="1" applyFont="1" applyBorder="1" applyAlignment="1">
      <alignment horizontal="right" vertical="center"/>
    </xf>
    <xf numFmtId="4" fontId="44" fillId="0" borderId="12" xfId="0" applyNumberFormat="1" applyFont="1" applyBorder="1" applyAlignment="1">
      <alignment horizontal="right" vertical="center"/>
    </xf>
    <xf numFmtId="0" fontId="44" fillId="0" borderId="42" xfId="0" applyFont="1" applyBorder="1" applyAlignment="1">
      <alignment horizontal="right" vertical="center" wrapText="1"/>
    </xf>
    <xf numFmtId="0" fontId="44" fillId="0" borderId="42" xfId="0" applyFont="1" applyBorder="1" applyAlignment="1">
      <alignment vertical="center"/>
    </xf>
    <xf numFmtId="4" fontId="43" fillId="0" borderId="20" xfId="0" applyNumberFormat="1" applyFont="1" applyBorder="1" applyAlignment="1">
      <alignment horizontal="right" vertical="center"/>
    </xf>
    <xf numFmtId="0" fontId="54" fillId="0" borderId="0" xfId="0" applyFont="1" applyBorder="1" applyAlignment="1">
      <alignment vertical="center"/>
    </xf>
    <xf numFmtId="0" fontId="44" fillId="0" borderId="41" xfId="0" applyFont="1" applyBorder="1" applyAlignment="1">
      <alignment vertical="center"/>
    </xf>
    <xf numFmtId="0" fontId="44" fillId="0" borderId="69" xfId="0" applyFont="1" applyBorder="1" applyAlignment="1">
      <alignment vertical="center"/>
    </xf>
    <xf numFmtId="0" fontId="43" fillId="0" borderId="64" xfId="0" applyFont="1" applyFill="1" applyBorder="1" applyAlignment="1" applyProtection="1">
      <alignment horizontal="center" vertical="center"/>
      <protection locked="0"/>
    </xf>
    <xf numFmtId="0" fontId="43" fillId="0" borderId="17" xfId="0" applyFont="1" applyBorder="1" applyAlignment="1" applyProtection="1">
      <alignment horizontal="center" vertical="center"/>
      <protection locked="0"/>
    </xf>
    <xf numFmtId="4" fontId="44" fillId="0" borderId="17" xfId="0" applyNumberFormat="1" applyFont="1" applyBorder="1" applyAlignment="1" applyProtection="1">
      <alignment horizontal="right" vertical="center"/>
      <protection locked="0"/>
    </xf>
    <xf numFmtId="0" fontId="44" fillId="0" borderId="17" xfId="0" applyFont="1" applyBorder="1" applyAlignment="1" applyProtection="1">
      <alignment horizontal="left" vertical="center"/>
      <protection locked="0"/>
    </xf>
    <xf numFmtId="4" fontId="44" fillId="0" borderId="17" xfId="0" applyNumberFormat="1" applyFont="1" applyFill="1" applyBorder="1" applyAlignment="1" applyProtection="1">
      <alignment horizontal="right" vertical="center"/>
      <protection locked="0"/>
    </xf>
    <xf numFmtId="3" fontId="44" fillId="0" borderId="0" xfId="0" applyNumberFormat="1" applyFont="1"/>
    <xf numFmtId="0" fontId="58" fillId="0" borderId="0" xfId="0" applyFont="1"/>
    <xf numFmtId="2" fontId="48" fillId="24" borderId="12" xfId="42" applyNumberFormat="1" applyFont="1" applyFill="1" applyBorder="1" applyAlignment="1">
      <alignment horizontal="center" vertical="center" wrapText="1"/>
    </xf>
    <xf numFmtId="0" fontId="43" fillId="0" borderId="65" xfId="0" applyFont="1" applyFill="1" applyBorder="1" applyAlignment="1" applyProtection="1">
      <alignment horizontal="center" vertical="center"/>
      <protection locked="0"/>
    </xf>
    <xf numFmtId="0" fontId="43" fillId="0" borderId="63" xfId="0" applyFont="1" applyFill="1" applyBorder="1" applyAlignment="1" applyProtection="1">
      <alignment horizontal="center" vertical="center"/>
      <protection locked="0"/>
    </xf>
    <xf numFmtId="0" fontId="44" fillId="0" borderId="65" xfId="0" applyFont="1" applyBorder="1" applyAlignment="1" applyProtection="1">
      <alignment horizontal="left" vertical="center"/>
      <protection locked="0"/>
    </xf>
    <xf numFmtId="4" fontId="44" fillId="0" borderId="64" xfId="0" applyNumberFormat="1" applyFont="1" applyBorder="1" applyAlignment="1" applyProtection="1">
      <alignment horizontal="left" vertical="center"/>
      <protection locked="0"/>
    </xf>
    <xf numFmtId="4" fontId="44" fillId="0" borderId="12" xfId="0" applyNumberFormat="1" applyFont="1" applyBorder="1" applyAlignment="1" applyProtection="1">
      <alignment horizontal="right" vertical="center"/>
      <protection locked="0"/>
    </xf>
    <xf numFmtId="4" fontId="44" fillId="0" borderId="18" xfId="0" applyNumberFormat="1" applyFont="1" applyBorder="1" applyAlignment="1" applyProtection="1">
      <alignment horizontal="right" vertical="center"/>
      <protection locked="0"/>
    </xf>
    <xf numFmtId="4" fontId="44" fillId="0" borderId="17" xfId="0" applyNumberFormat="1" applyFont="1" applyBorder="1" applyAlignment="1" applyProtection="1">
      <alignment horizontal="left" vertical="center"/>
      <protection locked="0"/>
    </xf>
    <xf numFmtId="0" fontId="43" fillId="0" borderId="58" xfId="0" applyFont="1" applyBorder="1" applyAlignment="1">
      <alignment horizontal="center" vertical="center"/>
    </xf>
    <xf numFmtId="4" fontId="43" fillId="0" borderId="19" xfId="0" applyNumberFormat="1" applyFont="1" applyBorder="1" applyAlignment="1" applyProtection="1">
      <alignment horizontal="right" vertical="center"/>
    </xf>
    <xf numFmtId="3" fontId="43" fillId="24" borderId="23" xfId="0" applyNumberFormat="1" applyFont="1" applyFill="1" applyBorder="1" applyAlignment="1">
      <alignment vertical="center"/>
    </xf>
    <xf numFmtId="173" fontId="43" fillId="24" borderId="25" xfId="0" applyNumberFormat="1" applyFont="1" applyFill="1" applyBorder="1" applyAlignment="1">
      <alignment vertical="center"/>
    </xf>
    <xf numFmtId="4" fontId="44" fillId="29" borderId="59" xfId="47" applyNumberFormat="1" applyFont="1" applyFill="1" applyBorder="1" applyAlignment="1" applyProtection="1">
      <alignment horizontal="center" vertical="center"/>
      <protection locked="0"/>
    </xf>
    <xf numFmtId="173" fontId="44" fillId="0" borderId="19" xfId="36" applyNumberFormat="1" applyFont="1" applyBorder="1" applyAlignment="1" applyProtection="1">
      <alignment horizontal="right" vertical="center"/>
      <protection locked="0"/>
    </xf>
    <xf numFmtId="173" fontId="44" fillId="0" borderId="14" xfId="47" applyNumberFormat="1" applyFont="1" applyBorder="1" applyAlignment="1" applyProtection="1">
      <alignment horizontal="right" vertical="center"/>
      <protection locked="0"/>
    </xf>
    <xf numFmtId="173" fontId="44" fillId="0" borderId="12" xfId="47" applyNumberFormat="1" applyFont="1" applyBorder="1" applyAlignment="1" applyProtection="1">
      <alignment horizontal="right" vertical="center"/>
      <protection locked="0"/>
    </xf>
    <xf numFmtId="173" fontId="44" fillId="0" borderId="25" xfId="47" applyNumberFormat="1" applyFont="1" applyBorder="1" applyAlignment="1" applyProtection="1">
      <alignment horizontal="right" vertical="center"/>
      <protection locked="0"/>
    </xf>
    <xf numFmtId="0" fontId="59" fillId="24" borderId="17" xfId="43" applyNumberFormat="1" applyFont="1" applyFill="1" applyBorder="1" applyAlignment="1">
      <alignment horizontal="center" vertical="center"/>
    </xf>
    <xf numFmtId="0" fontId="59" fillId="0" borderId="0" xfId="43" applyNumberFormat="1" applyFont="1" applyFill="1" applyBorder="1" applyAlignment="1">
      <alignment horizontal="center" vertical="center"/>
    </xf>
    <xf numFmtId="0" fontId="60" fillId="0" borderId="0" xfId="43" applyNumberFormat="1" applyFont="1" applyFill="1" applyBorder="1" applyAlignment="1">
      <alignment horizontal="center" vertical="center"/>
    </xf>
    <xf numFmtId="3" fontId="61" fillId="0" borderId="0" xfId="50" applyNumberFormat="1" applyFont="1" applyBorder="1"/>
    <xf numFmtId="3" fontId="44" fillId="0" borderId="0" xfId="50" applyNumberFormat="1" applyFont="1" applyBorder="1"/>
    <xf numFmtId="2" fontId="59" fillId="24" borderId="17" xfId="43" applyNumberFormat="1" applyFont="1" applyFill="1" applyBorder="1" applyAlignment="1">
      <alignment horizontal="center" vertical="center"/>
    </xf>
    <xf numFmtId="2" fontId="59" fillId="0" borderId="0" xfId="43" applyNumberFormat="1" applyFont="1" applyFill="1" applyBorder="1" applyAlignment="1">
      <alignment horizontal="center" vertical="center"/>
    </xf>
    <xf numFmtId="2" fontId="60" fillId="0" borderId="0" xfId="43" applyNumberFormat="1" applyFont="1" applyFill="1" applyBorder="1" applyAlignment="1">
      <alignment horizontal="center" vertical="center"/>
    </xf>
    <xf numFmtId="2" fontId="63" fillId="0" borderId="0" xfId="43" applyNumberFormat="1" applyFont="1" applyFill="1" applyBorder="1" applyAlignment="1">
      <alignment horizontal="center" vertical="center"/>
    </xf>
    <xf numFmtId="2" fontId="64" fillId="0" borderId="0" xfId="43" applyNumberFormat="1" applyFont="1" applyFill="1" applyBorder="1" applyAlignment="1">
      <alignment horizontal="center" vertical="center"/>
    </xf>
    <xf numFmtId="3" fontId="45" fillId="0" borderId="61" xfId="50" applyNumberFormat="1" applyFont="1" applyFill="1" applyBorder="1" applyAlignment="1">
      <alignment horizontal="centerContinuous" vertical="center"/>
    </xf>
    <xf numFmtId="0" fontId="43" fillId="0" borderId="17" xfId="0" applyFont="1" applyFill="1" applyBorder="1" applyAlignment="1">
      <alignment horizontal="center" vertical="center" wrapText="1"/>
    </xf>
    <xf numFmtId="2" fontId="43" fillId="0" borderId="48" xfId="0" applyNumberFormat="1" applyFont="1" applyFill="1" applyBorder="1" applyAlignment="1">
      <alignment horizontal="center" vertical="center" wrapText="1"/>
    </xf>
    <xf numFmtId="2" fontId="43" fillId="0" borderId="0" xfId="0" applyNumberFormat="1" applyFont="1" applyBorder="1" applyAlignment="1">
      <alignment horizontal="center" vertical="center" wrapText="1"/>
    </xf>
    <xf numFmtId="4" fontId="60" fillId="0" borderId="0" xfId="50" applyNumberFormat="1" applyFont="1" applyBorder="1" applyAlignment="1">
      <alignment horizontal="center" vertical="center" wrapText="1"/>
    </xf>
    <xf numFmtId="3" fontId="33" fillId="0" borderId="18" xfId="50" applyNumberFormat="1" applyFont="1" applyFill="1" applyBorder="1" applyAlignment="1">
      <alignment vertical="center"/>
    </xf>
    <xf numFmtId="4" fontId="45" fillId="0" borderId="0" xfId="50" applyNumberFormat="1" applyFont="1" applyBorder="1" applyAlignment="1">
      <alignment horizontal="right" vertical="center"/>
    </xf>
    <xf numFmtId="3" fontId="44" fillId="0" borderId="0" xfId="50" applyNumberFormat="1" applyFont="1" applyBorder="1" applyAlignment="1">
      <alignment vertical="center"/>
    </xf>
    <xf numFmtId="3" fontId="43" fillId="0" borderId="17" xfId="50" applyNumberFormat="1" applyFont="1" applyFill="1" applyBorder="1" applyAlignment="1">
      <alignment vertical="center"/>
    </xf>
    <xf numFmtId="174" fontId="45" fillId="0" borderId="0" xfId="34" applyNumberFormat="1" applyFont="1" applyBorder="1" applyAlignment="1" applyProtection="1">
      <alignment horizontal="right" vertical="center"/>
      <protection locked="0"/>
    </xf>
    <xf numFmtId="174" fontId="60" fillId="0" borderId="0" xfId="34" applyNumberFormat="1" applyFont="1" applyBorder="1" applyAlignment="1" applyProtection="1">
      <alignment horizontal="right" vertical="center"/>
      <protection locked="0"/>
    </xf>
    <xf numFmtId="4" fontId="60" fillId="0" borderId="0" xfId="50" applyNumberFormat="1" applyFont="1" applyBorder="1" applyAlignment="1">
      <alignment vertical="center"/>
    </xf>
    <xf numFmtId="3" fontId="44" fillId="0" borderId="17" xfId="50" applyNumberFormat="1" applyFont="1" applyFill="1" applyBorder="1" applyAlignment="1">
      <alignment vertical="center"/>
    </xf>
    <xf numFmtId="174" fontId="56" fillId="0" borderId="0" xfId="34" applyNumberFormat="1" applyFont="1" applyBorder="1" applyAlignment="1" applyProtection="1">
      <alignment horizontal="right" vertical="center"/>
      <protection locked="0"/>
    </xf>
    <xf numFmtId="174" fontId="61" fillId="0" borderId="0" xfId="34" applyNumberFormat="1" applyFont="1" applyBorder="1" applyAlignment="1" applyProtection="1">
      <alignment horizontal="right" vertical="center"/>
      <protection locked="0"/>
    </xf>
    <xf numFmtId="3" fontId="61" fillId="0" borderId="0" xfId="50" applyNumberFormat="1" applyFont="1" applyBorder="1" applyAlignment="1">
      <alignment vertical="center"/>
    </xf>
    <xf numFmtId="174" fontId="56" fillId="0" borderId="0" xfId="34" applyNumberFormat="1" applyFont="1" applyFill="1" applyBorder="1" applyAlignment="1" applyProtection="1">
      <alignment horizontal="right" vertical="center"/>
      <protection locked="0"/>
    </xf>
    <xf numFmtId="3" fontId="43" fillId="0" borderId="17" xfId="50" applyNumberFormat="1" applyFont="1" applyFill="1" applyBorder="1" applyAlignment="1">
      <alignment vertical="center" wrapText="1"/>
    </xf>
    <xf numFmtId="174" fontId="45" fillId="0" borderId="0" xfId="34" applyNumberFormat="1" applyFont="1" applyFill="1" applyBorder="1" applyAlignment="1" applyProtection="1">
      <alignment horizontal="right" vertical="center"/>
      <protection locked="0"/>
    </xf>
    <xf numFmtId="174" fontId="60" fillId="0" borderId="0" xfId="34" applyNumberFormat="1" applyFont="1" applyFill="1" applyBorder="1" applyAlignment="1" applyProtection="1">
      <alignment horizontal="right" vertical="center"/>
      <protection locked="0"/>
    </xf>
    <xf numFmtId="3" fontId="43" fillId="0" borderId="17" xfId="50" applyNumberFormat="1" applyFont="1" applyFill="1" applyBorder="1" applyAlignment="1">
      <alignment horizontal="left" vertical="center" wrapText="1"/>
    </xf>
    <xf numFmtId="174" fontId="61" fillId="0" borderId="0" xfId="34" applyNumberFormat="1" applyFont="1" applyFill="1" applyBorder="1" applyAlignment="1" applyProtection="1">
      <alignment horizontal="right" vertical="center"/>
      <protection locked="0"/>
    </xf>
    <xf numFmtId="3" fontId="61" fillId="0" borderId="0" xfId="50" applyNumberFormat="1" applyFont="1" applyFill="1" applyBorder="1" applyAlignment="1">
      <alignment vertical="center"/>
    </xf>
    <xf numFmtId="3" fontId="44" fillId="0" borderId="0" xfId="50" applyNumberFormat="1" applyFont="1" applyFill="1" applyBorder="1" applyAlignment="1">
      <alignment vertical="center"/>
    </xf>
    <xf numFmtId="174" fontId="45" fillId="0" borderId="0" xfId="34" applyNumberFormat="1" applyFont="1" applyBorder="1" applyAlignment="1">
      <alignment horizontal="right" vertical="center"/>
    </xf>
    <xf numFmtId="174" fontId="60" fillId="0" borderId="0" xfId="34" applyNumberFormat="1" applyFont="1" applyBorder="1" applyAlignment="1">
      <alignment horizontal="right" vertical="center"/>
    </xf>
    <xf numFmtId="174" fontId="56" fillId="0" borderId="0" xfId="34" applyNumberFormat="1" applyFont="1" applyFill="1" applyBorder="1" applyAlignment="1">
      <alignment horizontal="right" vertical="center"/>
    </xf>
    <xf numFmtId="174" fontId="61" fillId="0" borderId="0" xfId="34" applyNumberFormat="1" applyFont="1" applyFill="1" applyBorder="1" applyAlignment="1">
      <alignment horizontal="right" vertical="center"/>
    </xf>
    <xf numFmtId="174" fontId="45" fillId="0" borderId="0" xfId="34" applyNumberFormat="1" applyFont="1" applyFill="1" applyBorder="1" applyAlignment="1">
      <alignment horizontal="right" vertical="center"/>
    </xf>
    <xf numFmtId="174" fontId="60" fillId="0" borderId="0" xfId="34" applyNumberFormat="1" applyFont="1" applyFill="1" applyBorder="1" applyAlignment="1">
      <alignment horizontal="right" vertical="center"/>
    </xf>
    <xf numFmtId="3" fontId="44" fillId="0" borderId="17" xfId="50" applyNumberFormat="1" applyFont="1" applyFill="1" applyBorder="1" applyAlignment="1">
      <alignment vertical="center" wrapText="1"/>
    </xf>
    <xf numFmtId="3" fontId="33" fillId="0" borderId="17" xfId="50" applyNumberFormat="1" applyFont="1" applyFill="1" applyBorder="1" applyAlignment="1">
      <alignment vertical="center"/>
    </xf>
    <xf numFmtId="174" fontId="45" fillId="0" borderId="0" xfId="34" applyNumberFormat="1" applyFont="1" applyBorder="1" applyAlignment="1" applyProtection="1">
      <alignment vertical="center"/>
      <protection locked="0"/>
    </xf>
    <xf numFmtId="174" fontId="45" fillId="0" borderId="0" xfId="34" applyNumberFormat="1" applyFont="1" applyFill="1" applyBorder="1" applyAlignment="1">
      <alignment vertical="center"/>
    </xf>
    <xf numFmtId="3" fontId="33" fillId="0" borderId="17" xfId="50" applyNumberFormat="1" applyFont="1" applyFill="1" applyBorder="1" applyAlignment="1">
      <alignment vertical="center" wrapText="1"/>
    </xf>
    <xf numFmtId="3" fontId="45" fillId="0" borderId="17" xfId="50" applyNumberFormat="1" applyFont="1" applyFill="1" applyBorder="1" applyAlignment="1">
      <alignment vertical="center"/>
    </xf>
    <xf numFmtId="4" fontId="44" fillId="0" borderId="0" xfId="50" applyNumberFormat="1" applyFont="1" applyBorder="1"/>
    <xf numFmtId="4" fontId="61" fillId="0" borderId="0" xfId="50" applyNumberFormat="1" applyFont="1" applyBorder="1"/>
    <xf numFmtId="0" fontId="61" fillId="0" borderId="0" xfId="0" applyFont="1"/>
    <xf numFmtId="3" fontId="43" fillId="0" borderId="0" xfId="50" applyNumberFormat="1" applyFont="1" applyBorder="1"/>
    <xf numFmtId="4" fontId="44" fillId="0" borderId="0" xfId="50" applyNumberFormat="1" applyFont="1" applyBorder="1" applyAlignment="1">
      <alignment horizontal="center"/>
    </xf>
    <xf numFmtId="4" fontId="61" fillId="0" borderId="0" xfId="50" applyNumberFormat="1" applyFont="1" applyBorder="1" applyAlignment="1">
      <alignment horizontal="center"/>
    </xf>
    <xf numFmtId="173" fontId="44" fillId="0" borderId="0" xfId="50" applyNumberFormat="1" applyFont="1" applyBorder="1"/>
    <xf numFmtId="173" fontId="61" fillId="0" borderId="0" xfId="50" applyNumberFormat="1" applyFont="1" applyBorder="1"/>
    <xf numFmtId="173" fontId="44" fillId="28" borderId="0" xfId="50" applyNumberFormat="1" applyFont="1" applyFill="1" applyBorder="1"/>
    <xf numFmtId="173" fontId="61" fillId="28" borderId="0" xfId="50" applyNumberFormat="1" applyFont="1" applyFill="1" applyBorder="1"/>
    <xf numFmtId="3" fontId="44" fillId="0" borderId="0" xfId="50" applyNumberFormat="1" applyFont="1" applyFill="1" applyBorder="1"/>
    <xf numFmtId="173" fontId="44" fillId="0" borderId="0" xfId="50" applyNumberFormat="1" applyFont="1" applyFill="1" applyBorder="1"/>
    <xf numFmtId="173" fontId="61" fillId="0" borderId="0" xfId="50" applyNumberFormat="1" applyFont="1" applyFill="1" applyBorder="1"/>
    <xf numFmtId="3" fontId="61" fillId="0" borderId="0" xfId="50" applyNumberFormat="1" applyFont="1" applyFill="1" applyBorder="1"/>
    <xf numFmtId="3" fontId="44" fillId="28" borderId="0" xfId="50" applyNumberFormat="1" applyFont="1" applyFill="1" applyBorder="1" applyAlignment="1">
      <alignment horizontal="right"/>
    </xf>
    <xf numFmtId="4" fontId="44" fillId="28" borderId="0" xfId="50" applyNumberFormat="1" applyFont="1" applyFill="1" applyBorder="1"/>
    <xf numFmtId="4" fontId="61" fillId="28" borderId="0" xfId="50" applyNumberFormat="1" applyFont="1" applyFill="1" applyBorder="1"/>
    <xf numFmtId="0" fontId="59" fillId="27" borderId="17" xfId="43" applyFont="1" applyFill="1" applyBorder="1" applyAlignment="1">
      <alignment horizontal="center" vertical="center" wrapText="1"/>
    </xf>
    <xf numFmtId="0" fontId="44" fillId="0" borderId="0" xfId="43" applyFont="1" applyAlignment="1">
      <alignment vertical="center"/>
    </xf>
    <xf numFmtId="167" fontId="63" fillId="0" borderId="0" xfId="43" applyNumberFormat="1" applyFont="1" applyFill="1" applyBorder="1" applyAlignment="1">
      <alignment horizontal="center" vertical="center" wrapText="1"/>
    </xf>
    <xf numFmtId="0" fontId="33" fillId="0" borderId="17" xfId="43" applyFont="1" applyFill="1" applyBorder="1" applyAlignment="1">
      <alignment horizontal="center" vertical="center"/>
    </xf>
    <xf numFmtId="0" fontId="43" fillId="0" borderId="17" xfId="43" applyFont="1" applyFill="1" applyBorder="1" applyAlignment="1">
      <alignment horizontal="center" vertical="center"/>
    </xf>
    <xf numFmtId="0" fontId="43" fillId="0" borderId="17" xfId="43" applyFont="1" applyFill="1" applyBorder="1" applyAlignment="1">
      <alignment horizontal="center" vertical="center" wrapText="1"/>
    </xf>
    <xf numFmtId="0" fontId="43" fillId="0" borderId="0" xfId="43" applyFont="1" applyFill="1" applyBorder="1" applyAlignment="1">
      <alignment horizontal="center" vertical="center" wrapText="1"/>
    </xf>
    <xf numFmtId="0" fontId="43" fillId="0" borderId="17" xfId="43" applyFont="1" applyFill="1" applyBorder="1" applyAlignment="1">
      <alignment vertical="center"/>
    </xf>
    <xf numFmtId="4" fontId="43" fillId="0" borderId="0" xfId="43" applyNumberFormat="1" applyFont="1" applyFill="1" applyBorder="1" applyAlignment="1">
      <alignment horizontal="right" vertical="center"/>
    </xf>
    <xf numFmtId="4" fontId="44" fillId="0" borderId="0" xfId="43" applyNumberFormat="1" applyFont="1" applyFill="1" applyBorder="1" applyAlignment="1">
      <alignment horizontal="right" vertical="center"/>
    </xf>
    <xf numFmtId="0" fontId="44" fillId="0" borderId="17" xfId="43" applyFont="1" applyFill="1" applyBorder="1" applyAlignment="1">
      <alignment vertical="center"/>
    </xf>
    <xf numFmtId="4" fontId="44" fillId="0" borderId="0" xfId="43" applyNumberFormat="1" applyFont="1" applyAlignment="1">
      <alignment vertical="center"/>
    </xf>
    <xf numFmtId="0" fontId="44" fillId="0" borderId="0" xfId="43" applyFont="1" applyFill="1" applyAlignment="1">
      <alignment vertical="center"/>
    </xf>
    <xf numFmtId="0" fontId="45" fillId="0" borderId="17" xfId="43" applyFont="1" applyFill="1" applyBorder="1" applyAlignment="1">
      <alignment horizontal="left" vertical="center"/>
    </xf>
    <xf numFmtId="0" fontId="45" fillId="0" borderId="0" xfId="43" applyFont="1" applyFill="1" applyBorder="1" applyAlignment="1">
      <alignment horizontal="left" vertical="center"/>
    </xf>
    <xf numFmtId="4" fontId="43" fillId="0" borderId="0" xfId="43" applyNumberFormat="1" applyFont="1" applyBorder="1" applyAlignment="1">
      <alignment horizontal="right" vertical="center"/>
    </xf>
    <xf numFmtId="0" fontId="46" fillId="0" borderId="0" xfId="43" quotePrefix="1" applyFont="1" applyAlignment="1">
      <alignment vertical="center"/>
    </xf>
    <xf numFmtId="2" fontId="44" fillId="0" borderId="0" xfId="43" applyNumberFormat="1" applyFont="1" applyAlignment="1">
      <alignment vertical="center"/>
    </xf>
    <xf numFmtId="2" fontId="44" fillId="0" borderId="0" xfId="43" applyNumberFormat="1" applyFont="1" applyFill="1" applyAlignment="1">
      <alignment vertical="center"/>
    </xf>
    <xf numFmtId="4" fontId="44" fillId="0" borderId="17" xfId="43" applyNumberFormat="1" applyFont="1" applyFill="1" applyBorder="1" applyAlignment="1">
      <alignment vertical="center"/>
    </xf>
    <xf numFmtId="4" fontId="44" fillId="0" borderId="0" xfId="43" applyNumberFormat="1" applyFont="1" applyFill="1" applyBorder="1" applyAlignment="1">
      <alignment vertical="center"/>
    </xf>
    <xf numFmtId="0" fontId="44" fillId="0" borderId="0" xfId="43" applyFont="1" applyFill="1" applyBorder="1" applyAlignment="1">
      <alignment vertical="center"/>
    </xf>
    <xf numFmtId="4" fontId="44" fillId="30" borderId="0" xfId="43" applyNumberFormat="1" applyFont="1" applyFill="1" applyBorder="1" applyAlignment="1">
      <alignment vertical="center"/>
    </xf>
    <xf numFmtId="173" fontId="44" fillId="0" borderId="64" xfId="42" applyNumberFormat="1" applyFont="1" applyFill="1" applyBorder="1" applyAlignment="1">
      <alignment vertical="center"/>
    </xf>
    <xf numFmtId="0" fontId="44" fillId="0" borderId="64" xfId="42" applyFont="1" applyBorder="1" applyAlignment="1">
      <alignment vertical="center"/>
    </xf>
    <xf numFmtId="4" fontId="44" fillId="31" borderId="17" xfId="43" applyNumberFormat="1" applyFont="1" applyFill="1" applyBorder="1" applyAlignment="1">
      <alignment vertical="center"/>
    </xf>
    <xf numFmtId="0" fontId="43" fillId="0" borderId="0" xfId="43" applyFont="1" applyFill="1" applyBorder="1" applyAlignment="1">
      <alignment vertical="center"/>
    </xf>
    <xf numFmtId="4" fontId="43" fillId="0" borderId="0" xfId="43" applyNumberFormat="1" applyFont="1" applyFill="1" applyBorder="1" applyAlignment="1">
      <alignment vertical="center"/>
    </xf>
    <xf numFmtId="2" fontId="44" fillId="0" borderId="0" xfId="43" applyNumberFormat="1" applyFont="1" applyFill="1" applyBorder="1" applyAlignment="1">
      <alignment vertical="center"/>
    </xf>
    <xf numFmtId="0" fontId="44" fillId="0" borderId="0" xfId="43" applyFont="1"/>
    <xf numFmtId="2" fontId="44" fillId="0" borderId="0" xfId="43" applyNumberFormat="1" applyFont="1"/>
    <xf numFmtId="2" fontId="44" fillId="0" borderId="0" xfId="43" applyNumberFormat="1" applyFont="1" applyFill="1"/>
    <xf numFmtId="0" fontId="44" fillId="0" borderId="0" xfId="43" applyFont="1" applyFill="1"/>
    <xf numFmtId="0" fontId="59" fillId="0" borderId="0" xfId="43" applyFont="1" applyFill="1" applyBorder="1" applyAlignment="1">
      <alignment horizontal="center" vertical="center" wrapText="1"/>
    </xf>
    <xf numFmtId="2" fontId="43" fillId="0" borderId="17" xfId="0" applyNumberFormat="1" applyFont="1" applyBorder="1" applyAlignment="1">
      <alignment horizontal="center" vertical="center" wrapText="1"/>
    </xf>
    <xf numFmtId="2" fontId="43" fillId="0" borderId="0" xfId="0" applyNumberFormat="1" applyFont="1" applyFill="1" applyBorder="1" applyAlignment="1">
      <alignment horizontal="center" vertical="center" wrapText="1"/>
    </xf>
    <xf numFmtId="0" fontId="33" fillId="0" borderId="17" xfId="43" applyFont="1" applyFill="1" applyBorder="1" applyAlignment="1">
      <alignment horizontal="left" vertical="center"/>
    </xf>
    <xf numFmtId="0" fontId="43" fillId="0" borderId="17" xfId="43" applyFont="1" applyBorder="1" applyAlignment="1">
      <alignment vertical="center"/>
    </xf>
    <xf numFmtId="0" fontId="44" fillId="0" borderId="17" xfId="43" applyFont="1" applyBorder="1" applyAlignment="1">
      <alignment vertical="center"/>
    </xf>
    <xf numFmtId="4" fontId="44" fillId="0" borderId="0" xfId="50" applyNumberFormat="1" applyFont="1" applyFill="1" applyBorder="1" applyAlignment="1">
      <alignment horizontal="right" vertical="center"/>
    </xf>
    <xf numFmtId="0" fontId="44" fillId="0" borderId="17" xfId="43" applyFont="1" applyFill="1" applyBorder="1" applyAlignment="1">
      <alignment vertical="center" wrapText="1"/>
    </xf>
    <xf numFmtId="0" fontId="43" fillId="0" borderId="17" xfId="43" applyFont="1" applyFill="1" applyBorder="1" applyAlignment="1">
      <alignment vertical="center" wrapText="1"/>
    </xf>
    <xf numFmtId="4" fontId="44" fillId="0" borderId="0" xfId="43" applyNumberFormat="1" applyFont="1" applyFill="1" applyAlignment="1">
      <alignment vertical="center"/>
    </xf>
    <xf numFmtId="173" fontId="44" fillId="0" borderId="27" xfId="0" applyNumberFormat="1" applyFont="1" applyFill="1" applyBorder="1" applyAlignment="1" applyProtection="1">
      <alignment vertical="center"/>
    </xf>
    <xf numFmtId="173" fontId="44" fillId="0" borderId="22" xfId="35" applyNumberFormat="1" applyFont="1" applyBorder="1" applyAlignment="1" applyProtection="1">
      <alignment vertical="center"/>
    </xf>
    <xf numFmtId="173" fontId="44" fillId="0" borderId="22" xfId="35" applyNumberFormat="1" applyFont="1" applyBorder="1" applyAlignment="1">
      <alignment vertical="center"/>
    </xf>
    <xf numFmtId="173" fontId="43" fillId="25" borderId="22" xfId="35" applyNumberFormat="1" applyFont="1" applyFill="1" applyBorder="1" applyAlignment="1" applyProtection="1">
      <alignment vertical="center"/>
    </xf>
    <xf numFmtId="173" fontId="44" fillId="0" borderId="70" xfId="35" applyNumberFormat="1" applyFont="1" applyBorder="1" applyAlignment="1">
      <alignment vertical="center"/>
    </xf>
    <xf numFmtId="173" fontId="43" fillId="25" borderId="69" xfId="0" applyNumberFormat="1" applyFont="1" applyFill="1" applyBorder="1" applyAlignment="1" applyProtection="1">
      <alignment vertical="center"/>
    </xf>
    <xf numFmtId="3" fontId="43" fillId="25" borderId="54" xfId="0" applyNumberFormat="1" applyFont="1" applyFill="1" applyBorder="1" applyAlignment="1">
      <alignment vertical="center"/>
    </xf>
    <xf numFmtId="173" fontId="43" fillId="24" borderId="71" xfId="0" applyNumberFormat="1" applyFont="1" applyFill="1" applyBorder="1" applyAlignment="1">
      <alignment vertical="center"/>
    </xf>
    <xf numFmtId="173" fontId="43" fillId="24" borderId="22" xfId="0" applyNumberFormat="1" applyFont="1" applyFill="1" applyBorder="1" applyAlignment="1" applyProtection="1">
      <alignment vertical="center"/>
    </xf>
    <xf numFmtId="173" fontId="43" fillId="24" borderId="69" xfId="0" applyNumberFormat="1" applyFont="1" applyFill="1" applyBorder="1" applyAlignment="1">
      <alignment vertical="center"/>
    </xf>
    <xf numFmtId="173" fontId="44" fillId="0" borderId="71" xfId="0" applyNumberFormat="1" applyFont="1" applyBorder="1" applyAlignment="1">
      <alignment vertical="center"/>
    </xf>
    <xf numFmtId="173" fontId="43" fillId="0" borderId="69" xfId="0" applyNumberFormat="1" applyFont="1" applyBorder="1" applyAlignment="1">
      <alignment vertical="center"/>
    </xf>
    <xf numFmtId="0" fontId="44" fillId="0" borderId="44" xfId="0" applyFont="1" applyBorder="1" applyAlignment="1">
      <alignment vertical="center"/>
    </xf>
    <xf numFmtId="3" fontId="43" fillId="0" borderId="54" xfId="0" applyNumberFormat="1" applyFont="1" applyFill="1" applyBorder="1" applyAlignment="1">
      <alignment vertical="center"/>
    </xf>
    <xf numFmtId="173" fontId="44" fillId="0" borderId="22" xfId="0" applyNumberFormat="1" applyFont="1" applyBorder="1" applyAlignment="1">
      <alignment vertical="center"/>
    </xf>
    <xf numFmtId="173" fontId="44" fillId="0" borderId="22" xfId="0" applyNumberFormat="1" applyFont="1" applyFill="1" applyBorder="1" applyAlignment="1" applyProtection="1">
      <alignment vertical="center"/>
    </xf>
    <xf numFmtId="173" fontId="44" fillId="0" borderId="22" xfId="0" applyNumberFormat="1" applyFont="1" applyBorder="1" applyAlignment="1" applyProtection="1">
      <alignment vertical="center"/>
    </xf>
    <xf numFmtId="173" fontId="43" fillId="25" borderId="22" xfId="0" applyNumberFormat="1" applyFont="1" applyFill="1" applyBorder="1" applyAlignment="1" applyProtection="1">
      <alignment vertical="center"/>
    </xf>
    <xf numFmtId="173" fontId="44" fillId="0" borderId="70" xfId="0" applyNumberFormat="1" applyFont="1" applyBorder="1" applyAlignment="1">
      <alignment vertical="center"/>
    </xf>
    <xf numFmtId="173" fontId="43" fillId="0" borderId="71" xfId="0" applyNumberFormat="1" applyFont="1" applyFill="1" applyBorder="1" applyAlignment="1" applyProtection="1">
      <alignment vertical="center"/>
    </xf>
    <xf numFmtId="173" fontId="43" fillId="0" borderId="22" xfId="0" applyNumberFormat="1" applyFont="1" applyFill="1" applyBorder="1" applyAlignment="1">
      <alignment vertical="center"/>
    </xf>
    <xf numFmtId="173" fontId="43" fillId="0" borderId="69" xfId="0" applyNumberFormat="1" applyFont="1" applyFill="1" applyBorder="1" applyAlignment="1">
      <alignment vertical="center"/>
    </xf>
    <xf numFmtId="173" fontId="43" fillId="24" borderId="22" xfId="0" applyNumberFormat="1" applyFont="1" applyFill="1" applyBorder="1" applyAlignment="1">
      <alignment vertical="center"/>
    </xf>
    <xf numFmtId="3" fontId="43" fillId="0" borderId="44" xfId="0" applyNumberFormat="1" applyFont="1" applyFill="1" applyBorder="1" applyAlignment="1" applyProtection="1">
      <alignment vertical="center"/>
    </xf>
    <xf numFmtId="3" fontId="43" fillId="24" borderId="26" xfId="0" applyNumberFormat="1" applyFont="1" applyFill="1" applyBorder="1" applyAlignment="1">
      <alignment vertical="center"/>
    </xf>
    <xf numFmtId="0" fontId="43" fillId="0" borderId="17" xfId="38" applyFont="1" applyBorder="1" applyAlignment="1">
      <alignment horizontal="center" vertical="center" wrapText="1"/>
    </xf>
    <xf numFmtId="0" fontId="43" fillId="0" borderId="65" xfId="38" applyFont="1" applyBorder="1" applyAlignment="1">
      <alignment vertical="center" wrapText="1"/>
    </xf>
    <xf numFmtId="0" fontId="43" fillId="0" borderId="65" xfId="38" applyFont="1" applyBorder="1" applyAlignment="1">
      <alignment horizontal="left" vertical="center" wrapText="1"/>
    </xf>
    <xf numFmtId="0" fontId="44" fillId="0" borderId="65" xfId="38" applyFont="1" applyBorder="1" applyAlignment="1">
      <alignment vertical="center"/>
    </xf>
    <xf numFmtId="0" fontId="43" fillId="0" borderId="58" xfId="38" applyFont="1" applyBorder="1" applyAlignment="1">
      <alignment horizontal="left" vertical="center" wrapText="1"/>
    </xf>
    <xf numFmtId="169" fontId="43" fillId="0" borderId="50" xfId="48" applyNumberFormat="1" applyFont="1" applyFill="1" applyBorder="1" applyAlignment="1">
      <alignment horizontal="right" vertical="center" wrapText="1"/>
    </xf>
    <xf numFmtId="174" fontId="43" fillId="0" borderId="17" xfId="34" applyNumberFormat="1" applyFont="1" applyFill="1" applyBorder="1" applyAlignment="1" applyProtection="1">
      <alignment horizontal="right" vertical="center"/>
      <protection locked="0"/>
    </xf>
    <xf numFmtId="174" fontId="44" fillId="0" borderId="17" xfId="34" applyNumberFormat="1" applyFont="1" applyFill="1" applyBorder="1" applyAlignment="1" applyProtection="1">
      <alignment horizontal="right" vertical="center"/>
      <protection locked="0"/>
    </xf>
    <xf numFmtId="174" fontId="43" fillId="0" borderId="17" xfId="34" applyNumberFormat="1" applyFont="1" applyFill="1" applyBorder="1" applyAlignment="1" applyProtection="1">
      <alignment vertical="center"/>
      <protection locked="0"/>
    </xf>
    <xf numFmtId="174" fontId="43" fillId="0" borderId="17" xfId="34" applyNumberFormat="1" applyFont="1" applyFill="1" applyBorder="1" applyAlignment="1" applyProtection="1">
      <alignment horizontal="right" vertical="center"/>
    </xf>
    <xf numFmtId="174" fontId="44" fillId="0" borderId="17" xfId="34" applyNumberFormat="1" applyFont="1" applyFill="1" applyBorder="1" applyAlignment="1" applyProtection="1">
      <alignment horizontal="right" vertical="center"/>
    </xf>
    <xf numFmtId="174" fontId="43" fillId="0" borderId="17" xfId="34" applyNumberFormat="1" applyFont="1" applyFill="1" applyBorder="1" applyAlignment="1" applyProtection="1">
      <alignment vertical="center"/>
    </xf>
    <xf numFmtId="4" fontId="43" fillId="0" borderId="17" xfId="43" applyNumberFormat="1" applyFont="1" applyFill="1" applyBorder="1" applyAlignment="1" applyProtection="1">
      <alignment horizontal="right" vertical="center"/>
    </xf>
    <xf numFmtId="0" fontId="50" fillId="0" borderId="72" xfId="0" applyFont="1" applyBorder="1" applyAlignment="1" applyProtection="1">
      <alignment vertical="center" wrapText="1"/>
      <protection locked="0"/>
    </xf>
    <xf numFmtId="168" fontId="50" fillId="0" borderId="72" xfId="31" applyFont="1" applyBorder="1" applyAlignment="1" applyProtection="1">
      <alignment vertical="center" wrapText="1"/>
      <protection locked="0"/>
    </xf>
    <xf numFmtId="168" fontId="44" fillId="0" borderId="72" xfId="31" applyFont="1" applyBorder="1" applyAlignment="1" applyProtection="1">
      <alignment vertical="center" wrapText="1"/>
      <protection locked="0"/>
    </xf>
    <xf numFmtId="173" fontId="44" fillId="0" borderId="72" xfId="31" applyNumberFormat="1" applyFont="1" applyBorder="1" applyAlignment="1" applyProtection="1">
      <alignment vertical="center" wrapText="1"/>
      <protection locked="0"/>
    </xf>
    <xf numFmtId="10" fontId="49" fillId="0" borderId="72" xfId="52" applyNumberFormat="1" applyFont="1" applyBorder="1" applyAlignment="1" applyProtection="1">
      <alignment vertical="center" wrapText="1"/>
      <protection locked="0"/>
    </xf>
    <xf numFmtId="173" fontId="44" fillId="0" borderId="72" xfId="52" applyNumberFormat="1" applyFont="1" applyBorder="1" applyAlignment="1" applyProtection="1">
      <alignment vertical="center" wrapText="1"/>
      <protection locked="0"/>
    </xf>
    <xf numFmtId="173" fontId="44" fillId="0" borderId="73" xfId="0" applyNumberFormat="1" applyFont="1" applyBorder="1" applyAlignment="1" applyProtection="1">
      <alignment vertical="center" wrapText="1"/>
      <protection locked="0"/>
    </xf>
    <xf numFmtId="173" fontId="44" fillId="0" borderId="72" xfId="0" applyNumberFormat="1" applyFont="1" applyBorder="1" applyAlignment="1" applyProtection="1">
      <alignment vertical="center" wrapText="1"/>
      <protection locked="0"/>
    </xf>
    <xf numFmtId="10" fontId="44" fillId="0" borderId="72" xfId="52" applyNumberFormat="1" applyFont="1" applyBorder="1" applyAlignment="1" applyProtection="1">
      <alignment horizontal="center" vertical="center" wrapText="1"/>
      <protection locked="0"/>
    </xf>
    <xf numFmtId="173" fontId="43" fillId="0" borderId="72" xfId="0" applyNumberFormat="1" applyFont="1" applyBorder="1" applyAlignment="1" applyProtection="1">
      <alignment horizontal="left" vertical="center" wrapText="1"/>
      <protection locked="0"/>
    </xf>
    <xf numFmtId="173" fontId="43" fillId="0" borderId="72" xfId="31" applyNumberFormat="1" applyFont="1" applyBorder="1" applyAlignment="1" applyProtection="1">
      <alignment vertical="center" wrapText="1"/>
      <protection locked="0"/>
    </xf>
    <xf numFmtId="173" fontId="43" fillId="0" borderId="73" xfId="0" applyNumberFormat="1" applyFont="1" applyBorder="1" applyAlignment="1" applyProtection="1">
      <alignment horizontal="left" vertical="center" wrapText="1"/>
      <protection locked="0"/>
    </xf>
    <xf numFmtId="173" fontId="44" fillId="0" borderId="74" xfId="0" applyNumberFormat="1" applyFont="1" applyBorder="1" applyAlignment="1" applyProtection="1">
      <alignment vertical="center" wrapText="1"/>
      <protection locked="0"/>
    </xf>
    <xf numFmtId="173" fontId="44" fillId="0" borderId="74" xfId="52" applyNumberFormat="1" applyFont="1" applyBorder="1" applyAlignment="1" applyProtection="1">
      <alignment vertical="center" wrapText="1"/>
      <protection locked="0"/>
    </xf>
    <xf numFmtId="173" fontId="44" fillId="0" borderId="75" xfId="0" applyNumberFormat="1" applyFont="1" applyBorder="1" applyAlignment="1" applyProtection="1">
      <alignment vertical="center" wrapText="1"/>
      <protection locked="0"/>
    </xf>
    <xf numFmtId="173" fontId="43" fillId="0" borderId="76" xfId="0" applyNumberFormat="1" applyFont="1" applyBorder="1" applyAlignment="1" applyProtection="1">
      <alignment horizontal="left" vertical="center" wrapText="1"/>
      <protection locked="0"/>
    </xf>
    <xf numFmtId="173" fontId="43" fillId="0" borderId="76" xfId="31" applyNumberFormat="1" applyFont="1" applyBorder="1" applyAlignment="1" applyProtection="1">
      <alignment vertical="center" wrapText="1"/>
      <protection locked="0"/>
    </xf>
    <xf numFmtId="173" fontId="43" fillId="0" borderId="77" xfId="0" applyNumberFormat="1" applyFont="1" applyBorder="1" applyAlignment="1" applyProtection="1">
      <alignment horizontal="left" vertical="center" wrapText="1"/>
      <protection locked="0"/>
    </xf>
    <xf numFmtId="174" fontId="43" fillId="0" borderId="72" xfId="31" applyNumberFormat="1" applyFont="1" applyBorder="1" applyAlignment="1" applyProtection="1">
      <alignment vertical="center" wrapText="1"/>
    </xf>
    <xf numFmtId="173" fontId="44" fillId="0" borderId="17" xfId="31" applyNumberFormat="1" applyFont="1" applyBorder="1" applyAlignment="1" applyProtection="1">
      <alignment vertical="center" wrapText="1"/>
      <protection locked="0"/>
    </xf>
    <xf numFmtId="0" fontId="44" fillId="0" borderId="12" xfId="38" applyFont="1" applyBorder="1" applyAlignment="1" applyProtection="1">
      <alignment horizontal="left" vertical="center" wrapText="1"/>
      <protection locked="0"/>
    </xf>
    <xf numFmtId="0" fontId="44" fillId="0" borderId="12" xfId="38" applyFont="1" applyBorder="1" applyAlignment="1" applyProtection="1">
      <alignment horizontal="center" vertical="center" wrapText="1"/>
      <protection locked="0"/>
    </xf>
    <xf numFmtId="173" fontId="43" fillId="0" borderId="12" xfId="31" applyNumberFormat="1" applyFont="1" applyBorder="1" applyAlignment="1" applyProtection="1">
      <alignment vertical="center"/>
      <protection locked="0"/>
    </xf>
    <xf numFmtId="0" fontId="44" fillId="0" borderId="17" xfId="38" applyFont="1" applyBorder="1" applyAlignment="1" applyProtection="1">
      <alignment vertical="center"/>
      <protection locked="0"/>
    </xf>
    <xf numFmtId="2" fontId="44" fillId="0" borderId="17" xfId="38" applyNumberFormat="1" applyFont="1" applyBorder="1" applyAlignment="1" applyProtection="1">
      <alignment vertical="center"/>
      <protection locked="0"/>
    </xf>
    <xf numFmtId="0" fontId="44" fillId="0" borderId="12" xfId="38" applyFont="1" applyBorder="1" applyAlignment="1" applyProtection="1">
      <alignment vertical="center"/>
      <protection locked="0"/>
    </xf>
    <xf numFmtId="0" fontId="43" fillId="0" borderId="12" xfId="38" applyFont="1" applyBorder="1" applyAlignment="1" applyProtection="1">
      <alignment vertical="center"/>
      <protection locked="0"/>
    </xf>
    <xf numFmtId="0" fontId="44" fillId="0" borderId="20" xfId="38" applyFont="1" applyBorder="1" applyAlignment="1" applyProtection="1">
      <alignment horizontal="center" vertical="center" wrapText="1"/>
      <protection locked="0"/>
    </xf>
    <xf numFmtId="173" fontId="44" fillId="0" borderId="17" xfId="31" applyNumberFormat="1" applyFont="1" applyBorder="1" applyAlignment="1" applyProtection="1">
      <alignment vertical="center" wrapText="1"/>
    </xf>
    <xf numFmtId="173" fontId="43" fillId="0" borderId="17" xfId="31" applyNumberFormat="1" applyFont="1" applyBorder="1" applyAlignment="1" applyProtection="1">
      <alignment vertical="center"/>
    </xf>
    <xf numFmtId="173" fontId="44" fillId="0" borderId="19" xfId="31" applyNumberFormat="1" applyFont="1" applyBorder="1" applyAlignment="1" applyProtection="1">
      <alignment vertical="center" wrapText="1"/>
    </xf>
    <xf numFmtId="4" fontId="44" fillId="0" borderId="17" xfId="43" applyNumberFormat="1" applyFont="1" applyBorder="1" applyAlignment="1" applyProtection="1">
      <alignment vertical="center"/>
      <protection locked="0"/>
    </xf>
    <xf numFmtId="4" fontId="44" fillId="0" borderId="17" xfId="43" applyNumberFormat="1" applyFont="1" applyFill="1" applyBorder="1" applyAlignment="1" applyProtection="1">
      <alignment vertical="center"/>
      <protection locked="0"/>
    </xf>
    <xf numFmtId="4" fontId="44" fillId="0" borderId="17" xfId="50" applyNumberFormat="1" applyFont="1" applyBorder="1" applyAlignment="1" applyProtection="1">
      <alignment horizontal="right" vertical="center"/>
      <protection locked="0"/>
    </xf>
    <xf numFmtId="4" fontId="44" fillId="0" borderId="17" xfId="50" applyNumberFormat="1" applyFont="1" applyFill="1" applyBorder="1" applyAlignment="1" applyProtection="1">
      <alignment horizontal="right" vertical="center"/>
      <protection locked="0"/>
    </xf>
    <xf numFmtId="4" fontId="43" fillId="0" borderId="17" xfId="43" applyNumberFormat="1" applyFont="1" applyFill="1" applyBorder="1" applyAlignment="1" applyProtection="1">
      <alignment vertical="center"/>
      <protection locked="0"/>
    </xf>
    <xf numFmtId="4" fontId="43" fillId="0" borderId="17" xfId="43" applyNumberFormat="1" applyFont="1" applyBorder="1" applyAlignment="1" applyProtection="1">
      <alignment vertical="center"/>
    </xf>
    <xf numFmtId="4" fontId="44" fillId="0" borderId="17" xfId="43" applyNumberFormat="1" applyFont="1" applyBorder="1" applyAlignment="1" applyProtection="1">
      <alignment vertical="center"/>
    </xf>
    <xf numFmtId="4" fontId="43" fillId="0" borderId="17" xfId="43" applyNumberFormat="1" applyFont="1" applyFill="1" applyBorder="1" applyAlignment="1" applyProtection="1">
      <alignment vertical="center"/>
    </xf>
    <xf numFmtId="4" fontId="43" fillId="0" borderId="17" xfId="43" applyNumberFormat="1" applyFont="1" applyBorder="1" applyAlignment="1" applyProtection="1">
      <alignment horizontal="right" vertical="center"/>
    </xf>
    <xf numFmtId="4" fontId="45" fillId="0" borderId="17" xfId="50" applyNumberFormat="1" applyFont="1" applyFill="1" applyBorder="1" applyAlignment="1" applyProtection="1">
      <alignment horizontal="right" vertical="center"/>
      <protection locked="0"/>
    </xf>
    <xf numFmtId="4" fontId="43" fillId="0" borderId="17" xfId="43" applyNumberFormat="1" applyFont="1" applyFill="1" applyBorder="1" applyAlignment="1" applyProtection="1">
      <alignment horizontal="right" vertical="center"/>
      <protection locked="0"/>
    </xf>
    <xf numFmtId="4" fontId="44" fillId="0" borderId="17" xfId="43" applyNumberFormat="1" applyFont="1" applyFill="1" applyBorder="1" applyAlignment="1" applyProtection="1">
      <alignment horizontal="right" vertical="center"/>
      <protection locked="0"/>
    </xf>
    <xf numFmtId="4" fontId="44" fillId="0" borderId="17" xfId="43" applyNumberFormat="1" applyFont="1" applyFill="1" applyBorder="1" applyAlignment="1" applyProtection="1">
      <alignment horizontal="right" vertical="center"/>
    </xf>
    <xf numFmtId="174" fontId="43" fillId="0" borderId="72" xfId="31" applyNumberFormat="1" applyFont="1" applyFill="1" applyBorder="1" applyAlignment="1" applyProtection="1">
      <alignment vertical="center" wrapText="1"/>
    </xf>
    <xf numFmtId="174" fontId="43" fillId="0" borderId="72" xfId="31" applyNumberFormat="1" applyFont="1" applyFill="1" applyBorder="1" applyAlignment="1" applyProtection="1">
      <alignment vertical="center" wrapText="1"/>
      <protection locked="0"/>
    </xf>
    <xf numFmtId="173" fontId="43" fillId="0" borderId="72" xfId="31" applyNumberFormat="1" applyFont="1" applyFill="1" applyBorder="1" applyAlignment="1" applyProtection="1">
      <alignment vertical="center" wrapText="1"/>
    </xf>
    <xf numFmtId="174" fontId="43" fillId="0" borderId="76" xfId="31" applyNumberFormat="1" applyFont="1" applyFill="1" applyBorder="1" applyAlignment="1" applyProtection="1">
      <alignment vertical="center" wrapText="1"/>
    </xf>
    <xf numFmtId="174" fontId="43" fillId="0" borderId="76" xfId="31" applyNumberFormat="1" applyFont="1" applyFill="1" applyBorder="1" applyAlignment="1" applyProtection="1">
      <alignment vertical="center" wrapText="1"/>
      <protection locked="0"/>
    </xf>
    <xf numFmtId="173" fontId="43" fillId="0" borderId="76" xfId="31" applyNumberFormat="1" applyFont="1" applyFill="1" applyBorder="1" applyAlignment="1" applyProtection="1">
      <alignment vertical="center" wrapText="1"/>
    </xf>
    <xf numFmtId="173" fontId="43" fillId="0" borderId="17" xfId="31" applyNumberFormat="1" applyFont="1" applyFill="1" applyBorder="1" applyAlignment="1" applyProtection="1">
      <alignment vertical="center"/>
    </xf>
    <xf numFmtId="0" fontId="44" fillId="0" borderId="17" xfId="48" applyNumberFormat="1" applyFont="1" applyFill="1" applyBorder="1" applyAlignment="1">
      <alignment horizontal="right" vertical="center" wrapText="1"/>
    </xf>
    <xf numFmtId="0" fontId="44" fillId="0" borderId="48" xfId="48" applyNumberFormat="1" applyFont="1" applyFill="1" applyBorder="1" applyAlignment="1">
      <alignment horizontal="right" vertical="center" wrapText="1"/>
    </xf>
    <xf numFmtId="0" fontId="44" fillId="0" borderId="78" xfId="0" applyFont="1" applyBorder="1" applyAlignment="1" applyProtection="1">
      <alignment vertical="center"/>
      <protection locked="0"/>
    </xf>
    <xf numFmtId="0" fontId="44" fillId="0" borderId="11" xfId="0" applyFont="1" applyBorder="1" applyAlignment="1" applyProtection="1">
      <alignment vertical="center"/>
      <protection locked="0"/>
    </xf>
    <xf numFmtId="43" fontId="44" fillId="0" borderId="11" xfId="0" applyNumberFormat="1" applyFont="1" applyBorder="1" applyAlignment="1" applyProtection="1">
      <alignment vertical="center"/>
      <protection locked="0"/>
    </xf>
    <xf numFmtId="43" fontId="44" fillId="0" borderId="14" xfId="0" applyNumberFormat="1" applyFont="1" applyBorder="1" applyAlignment="1" applyProtection="1">
      <alignment vertical="center"/>
      <protection locked="0"/>
    </xf>
    <xf numFmtId="43" fontId="44" fillId="0" borderId="78" xfId="0" applyNumberFormat="1" applyFont="1" applyBorder="1" applyAlignment="1" applyProtection="1">
      <alignment vertical="center"/>
      <protection locked="0"/>
    </xf>
    <xf numFmtId="0" fontId="44" fillId="0" borderId="65" xfId="0" applyFont="1" applyBorder="1" applyAlignment="1" applyProtection="1">
      <alignment vertical="center"/>
      <protection locked="0"/>
    </xf>
    <xf numFmtId="0" fontId="44" fillId="0" borderId="17" xfId="0" applyFont="1" applyBorder="1" applyAlignment="1" applyProtection="1">
      <alignment vertical="center"/>
      <protection locked="0"/>
    </xf>
    <xf numFmtId="43" fontId="44" fillId="0" borderId="17" xfId="0" applyNumberFormat="1" applyFont="1" applyBorder="1" applyAlignment="1" applyProtection="1">
      <alignment vertical="center"/>
      <protection locked="0"/>
    </xf>
    <xf numFmtId="43" fontId="44" fillId="0" borderId="12" xfId="0" applyNumberFormat="1" applyFont="1" applyBorder="1" applyAlignment="1" applyProtection="1">
      <alignment vertical="center"/>
      <protection locked="0"/>
    </xf>
    <xf numFmtId="43" fontId="44" fillId="0" borderId="65" xfId="0" applyNumberFormat="1" applyFont="1" applyBorder="1" applyAlignment="1" applyProtection="1">
      <alignment vertical="center"/>
      <protection locked="0"/>
    </xf>
    <xf numFmtId="0" fontId="44" fillId="0" borderId="58" xfId="0" applyFont="1" applyBorder="1" applyAlignment="1" applyProtection="1">
      <alignment vertical="center"/>
      <protection locked="0"/>
    </xf>
    <xf numFmtId="0" fontId="44" fillId="0" borderId="19" xfId="0" applyFont="1" applyBorder="1" applyAlignment="1" applyProtection="1">
      <alignment vertical="center"/>
      <protection locked="0"/>
    </xf>
    <xf numFmtId="43" fontId="44" fillId="0" borderId="19" xfId="0" applyNumberFormat="1" applyFont="1" applyBorder="1" applyAlignment="1" applyProtection="1">
      <alignment vertical="center"/>
      <protection locked="0"/>
    </xf>
    <xf numFmtId="43" fontId="44" fillId="0" borderId="20" xfId="0" applyNumberFormat="1" applyFont="1" applyBorder="1" applyAlignment="1" applyProtection="1">
      <alignment vertical="center"/>
      <protection locked="0"/>
    </xf>
    <xf numFmtId="43" fontId="44" fillId="0" borderId="58" xfId="0" applyNumberFormat="1" applyFont="1" applyBorder="1" applyAlignment="1" applyProtection="1">
      <alignment vertical="center"/>
      <protection locked="0"/>
    </xf>
    <xf numFmtId="0" fontId="43" fillId="32" borderId="51" xfId="47" applyFont="1" applyFill="1" applyBorder="1" applyAlignment="1" applyProtection="1">
      <alignment horizontal="left" vertical="center" wrapText="1"/>
    </xf>
    <xf numFmtId="0" fontId="44" fillId="0" borderId="52" xfId="47" applyFont="1" applyBorder="1" applyAlignment="1" applyProtection="1">
      <alignment vertical="center"/>
    </xf>
    <xf numFmtId="0" fontId="43" fillId="0" borderId="52" xfId="47" applyFont="1" applyBorder="1" applyAlignment="1" applyProtection="1">
      <alignment horizontal="center" vertical="center"/>
    </xf>
    <xf numFmtId="0" fontId="43" fillId="0" borderId="47" xfId="47" applyFont="1" applyBorder="1" applyAlignment="1" applyProtection="1">
      <alignment horizontal="center" vertical="center"/>
    </xf>
    <xf numFmtId="0" fontId="43" fillId="0" borderId="79" xfId="47" applyFont="1" applyBorder="1" applyAlignment="1" applyProtection="1">
      <alignment vertical="center"/>
    </xf>
    <xf numFmtId="0" fontId="44" fillId="0" borderId="59" xfId="47" applyFont="1" applyBorder="1" applyAlignment="1" applyProtection="1">
      <alignment vertical="center"/>
    </xf>
    <xf numFmtId="4" fontId="44" fillId="33" borderId="80" xfId="47" applyNumberFormat="1" applyFont="1" applyFill="1" applyBorder="1" applyAlignment="1" applyProtection="1">
      <alignment horizontal="center" vertical="center"/>
    </xf>
    <xf numFmtId="173" fontId="52" fillId="7" borderId="81" xfId="30" applyNumberFormat="1" applyFont="1" applyBorder="1" applyAlignment="1" applyProtection="1">
      <alignment horizontal="right" vertical="center"/>
    </xf>
    <xf numFmtId="173" fontId="52" fillId="7" borderId="82" xfId="30" applyNumberFormat="1" applyFont="1" applyBorder="1" applyAlignment="1" applyProtection="1">
      <alignment horizontal="right" vertical="center"/>
    </xf>
    <xf numFmtId="4" fontId="44" fillId="33" borderId="54" xfId="47" applyNumberFormat="1" applyFont="1" applyFill="1" applyBorder="1" applyAlignment="1" applyProtection="1">
      <alignment horizontal="center" vertical="center"/>
    </xf>
    <xf numFmtId="4" fontId="44" fillId="33" borderId="59" xfId="47" applyNumberFormat="1" applyFont="1" applyFill="1" applyBorder="1" applyAlignment="1" applyProtection="1">
      <alignment horizontal="center" vertical="center"/>
    </xf>
    <xf numFmtId="4" fontId="44" fillId="33" borderId="38" xfId="47" applyNumberFormat="1" applyFont="1" applyFill="1" applyBorder="1" applyAlignment="1" applyProtection="1">
      <alignment horizontal="center" vertical="center"/>
    </xf>
    <xf numFmtId="0" fontId="44" fillId="0" borderId="11" xfId="47" applyFont="1" applyBorder="1" applyAlignment="1" applyProtection="1">
      <alignment vertical="center"/>
    </xf>
    <xf numFmtId="0" fontId="44" fillId="0" borderId="66" xfId="47" applyFont="1" applyBorder="1" applyAlignment="1" applyProtection="1">
      <alignment vertical="center"/>
    </xf>
    <xf numFmtId="0" fontId="43" fillId="0" borderId="50" xfId="47" applyFont="1" applyBorder="1" applyAlignment="1" applyProtection="1">
      <alignment vertical="center"/>
    </xf>
    <xf numFmtId="0" fontId="44" fillId="0" borderId="83" xfId="47" applyFont="1" applyBorder="1" applyAlignment="1" applyProtection="1">
      <alignment vertical="center"/>
    </xf>
    <xf numFmtId="4" fontId="44" fillId="33" borderId="50" xfId="47" applyNumberFormat="1" applyFont="1" applyFill="1" applyBorder="1" applyAlignment="1" applyProtection="1">
      <alignment horizontal="center" vertical="center"/>
    </xf>
    <xf numFmtId="0" fontId="44" fillId="0" borderId="78" xfId="47" applyFont="1" applyBorder="1" applyAlignment="1" applyProtection="1">
      <alignment horizontal="left" vertical="center" wrapText="1"/>
    </xf>
    <xf numFmtId="0" fontId="44" fillId="0" borderId="57" xfId="47" applyFont="1" applyBorder="1" applyAlignment="1" applyProtection="1">
      <alignment vertical="center"/>
    </xf>
    <xf numFmtId="0" fontId="43" fillId="0" borderId="84" xfId="47" applyFont="1" applyBorder="1" applyAlignment="1" applyProtection="1">
      <alignment vertical="center"/>
    </xf>
    <xf numFmtId="0" fontId="44" fillId="0" borderId="85" xfId="47" applyFont="1" applyBorder="1" applyAlignment="1" applyProtection="1">
      <alignment vertical="center"/>
    </xf>
    <xf numFmtId="0" fontId="43" fillId="0" borderId="86" xfId="47" applyFont="1" applyFill="1" applyBorder="1" applyAlignment="1" applyProtection="1">
      <alignment horizontal="center" vertical="center"/>
    </xf>
    <xf numFmtId="4" fontId="44" fillId="33" borderId="52" xfId="47" applyNumberFormat="1" applyFont="1" applyFill="1" applyBorder="1" applyAlignment="1" applyProtection="1">
      <alignment horizontal="center" vertical="center"/>
    </xf>
    <xf numFmtId="173" fontId="53" fillId="7" borderId="87" xfId="30" applyNumberFormat="1" applyFont="1" applyBorder="1" applyAlignment="1" applyProtection="1">
      <alignment horizontal="center" vertical="center"/>
    </xf>
    <xf numFmtId="4" fontId="44" fillId="33" borderId="53" xfId="47" applyNumberFormat="1" applyFont="1" applyFill="1" applyBorder="1" applyAlignment="1" applyProtection="1">
      <alignment horizontal="center" vertical="center"/>
    </xf>
    <xf numFmtId="0" fontId="43" fillId="0" borderId="50" xfId="47" applyFont="1" applyBorder="1" applyAlignment="1" applyProtection="1">
      <alignment horizontal="center" vertical="center"/>
    </xf>
    <xf numFmtId="4" fontId="44" fillId="34" borderId="52" xfId="47" applyNumberFormat="1" applyFont="1" applyFill="1" applyBorder="1" applyAlignment="1" applyProtection="1">
      <alignment horizontal="center" vertical="center"/>
    </xf>
    <xf numFmtId="0" fontId="43" fillId="35" borderId="51" xfId="47" applyFont="1" applyFill="1" applyBorder="1" applyAlignment="1" applyProtection="1">
      <alignment horizontal="left" vertical="center" wrapText="1"/>
    </xf>
    <xf numFmtId="173" fontId="43" fillId="0" borderId="53" xfId="47" applyNumberFormat="1" applyFont="1" applyBorder="1" applyAlignment="1" applyProtection="1">
      <alignment horizontal="right" vertical="center"/>
    </xf>
    <xf numFmtId="0" fontId="44" fillId="0" borderId="88" xfId="47" applyFont="1" applyBorder="1" applyAlignment="1" applyProtection="1">
      <alignment vertical="center"/>
      <protection locked="0"/>
    </xf>
    <xf numFmtId="0" fontId="44" fillId="0" borderId="11" xfId="47" applyFont="1" applyBorder="1" applyAlignment="1" applyProtection="1">
      <alignment vertical="center"/>
      <protection locked="0"/>
    </xf>
    <xf numFmtId="0" fontId="44" fillId="0" borderId="66" xfId="47" applyFont="1" applyBorder="1" applyAlignment="1" applyProtection="1">
      <alignment vertical="center"/>
      <protection locked="0"/>
    </xf>
    <xf numFmtId="0" fontId="44" fillId="0" borderId="58" xfId="47" applyFont="1" applyBorder="1" applyAlignment="1" applyProtection="1">
      <alignment vertical="center"/>
      <protection locked="0"/>
    </xf>
    <xf numFmtId="0" fontId="44" fillId="0" borderId="59" xfId="47" applyFont="1" applyBorder="1" applyAlignment="1" applyProtection="1">
      <alignment vertical="center"/>
      <protection locked="0"/>
    </xf>
    <xf numFmtId="0" fontId="44" fillId="0" borderId="57" xfId="47" applyFont="1" applyBorder="1" applyAlignment="1" applyProtection="1">
      <alignment vertical="center"/>
      <protection locked="0"/>
    </xf>
    <xf numFmtId="14" fontId="44" fillId="0" borderId="17" xfId="48" applyNumberFormat="1" applyFont="1" applyFill="1" applyBorder="1" applyAlignment="1">
      <alignment horizontal="center" vertical="center" wrapText="1"/>
    </xf>
    <xf numFmtId="4" fontId="44" fillId="0" borderId="22" xfId="0" applyNumberFormat="1" applyFont="1" applyBorder="1" applyAlignment="1">
      <alignment vertical="center"/>
    </xf>
    <xf numFmtId="4" fontId="43" fillId="0" borderId="19" xfId="0" applyNumberFormat="1" applyFont="1" applyBorder="1" applyAlignment="1">
      <alignment horizontal="right" vertical="center"/>
    </xf>
    <xf numFmtId="0" fontId="44" fillId="0" borderId="89" xfId="47" applyFont="1" applyBorder="1" applyAlignment="1" applyProtection="1">
      <alignment vertical="center"/>
      <protection locked="0"/>
    </xf>
    <xf numFmtId="0" fontId="44" fillId="0" borderId="90" xfId="47" applyFont="1" applyBorder="1" applyAlignment="1" applyProtection="1">
      <alignment vertical="center"/>
      <protection locked="0"/>
    </xf>
    <xf numFmtId="4" fontId="44" fillId="29" borderId="90" xfId="47" applyNumberFormat="1" applyFont="1" applyFill="1" applyBorder="1" applyAlignment="1" applyProtection="1">
      <alignment horizontal="center" vertical="center"/>
      <protection locked="0"/>
    </xf>
    <xf numFmtId="173" fontId="44" fillId="0" borderId="90" xfId="36" applyNumberFormat="1" applyFont="1" applyBorder="1" applyAlignment="1" applyProtection="1">
      <alignment horizontal="right" vertical="center"/>
      <protection locked="0"/>
    </xf>
    <xf numFmtId="173" fontId="44" fillId="0" borderId="90" xfId="36" applyNumberFormat="1" applyFont="1" applyFill="1" applyBorder="1" applyAlignment="1" applyProtection="1">
      <alignment horizontal="right" vertical="center"/>
      <protection locked="0"/>
    </xf>
    <xf numFmtId="0" fontId="43" fillId="0" borderId="68" xfId="47" applyFont="1" applyBorder="1" applyAlignment="1" applyProtection="1">
      <alignment horizontal="center" vertical="center"/>
    </xf>
    <xf numFmtId="4" fontId="44" fillId="34" borderId="59" xfId="47" applyNumberFormat="1" applyFont="1" applyFill="1" applyBorder="1" applyAlignment="1" applyProtection="1">
      <alignment horizontal="center" vertical="center"/>
    </xf>
    <xf numFmtId="0" fontId="43" fillId="0" borderId="0" xfId="47" applyFont="1" applyAlignment="1">
      <alignment vertical="center"/>
    </xf>
    <xf numFmtId="0" fontId="43" fillId="0" borderId="0" xfId="47" applyFont="1" applyAlignment="1">
      <alignment horizontal="center" vertical="center"/>
    </xf>
    <xf numFmtId="0" fontId="44" fillId="0" borderId="0" xfId="0" applyFont="1" applyAlignment="1" applyProtection="1">
      <alignment vertical="center"/>
    </xf>
    <xf numFmtId="173" fontId="44" fillId="0" borderId="11" xfId="0" applyNumberFormat="1" applyFont="1" applyBorder="1" applyAlignment="1" applyProtection="1">
      <alignment vertical="center"/>
      <protection locked="0"/>
    </xf>
    <xf numFmtId="3" fontId="44" fillId="0" borderId="0" xfId="0" applyNumberFormat="1" applyFont="1" applyAlignment="1">
      <alignment vertical="center"/>
    </xf>
    <xf numFmtId="4" fontId="44" fillId="29" borderId="17" xfId="47" applyNumberFormat="1" applyFont="1" applyFill="1" applyBorder="1" applyAlignment="1" applyProtection="1">
      <alignment horizontal="center" vertical="center"/>
      <protection locked="0"/>
    </xf>
    <xf numFmtId="173" fontId="44" fillId="0" borderId="50" xfId="0" applyNumberFormat="1" applyFont="1" applyBorder="1" applyAlignment="1">
      <alignment horizontal="center" vertical="center"/>
    </xf>
    <xf numFmtId="173" fontId="44" fillId="0" borderId="17" xfId="48" applyNumberFormat="1" applyFont="1" applyFill="1" applyBorder="1" applyAlignment="1">
      <alignment vertical="center" wrapText="1"/>
    </xf>
    <xf numFmtId="173" fontId="44" fillId="0" borderId="17" xfId="48" applyNumberFormat="1" applyFont="1" applyBorder="1" applyAlignment="1">
      <alignment vertical="center"/>
    </xf>
    <xf numFmtId="173" fontId="44" fillId="0" borderId="17" xfId="48" applyNumberFormat="1" applyFont="1" applyBorder="1" applyAlignment="1">
      <alignment horizontal="right" vertical="center"/>
    </xf>
    <xf numFmtId="3" fontId="43" fillId="0" borderId="18" xfId="50" applyNumberFormat="1" applyFont="1" applyFill="1" applyBorder="1" applyAlignment="1">
      <alignment vertical="center" wrapText="1"/>
    </xf>
    <xf numFmtId="3" fontId="44" fillId="0" borderId="18" xfId="50" applyNumberFormat="1" applyFont="1" applyFill="1" applyBorder="1" applyAlignment="1">
      <alignment vertical="center"/>
    </xf>
    <xf numFmtId="173" fontId="44" fillId="0" borderId="0" xfId="0" applyNumberFormat="1" applyFont="1" applyFill="1" applyBorder="1" applyAlignment="1" applyProtection="1">
      <alignment vertical="center"/>
    </xf>
    <xf numFmtId="0" fontId="61" fillId="0" borderId="0" xfId="0" applyFont="1" applyAlignment="1">
      <alignment vertical="center"/>
    </xf>
    <xf numFmtId="173" fontId="61" fillId="0" borderId="0" xfId="35" applyNumberFormat="1" applyFont="1" applyBorder="1" applyAlignment="1" applyProtection="1">
      <alignment vertical="center"/>
    </xf>
    <xf numFmtId="2" fontId="44" fillId="0" borderId="0" xfId="0" applyNumberFormat="1" applyFont="1" applyAlignment="1">
      <alignment vertical="center"/>
    </xf>
    <xf numFmtId="0" fontId="43" fillId="0" borderId="0" xfId="0" applyFont="1" applyFill="1" applyAlignment="1">
      <alignment horizontal="center" vertical="center"/>
    </xf>
    <xf numFmtId="0" fontId="45" fillId="0" borderId="0" xfId="0" applyFont="1" applyFill="1" applyBorder="1" applyAlignment="1">
      <alignment horizontal="center" vertical="center" wrapText="1"/>
    </xf>
    <xf numFmtId="173" fontId="44" fillId="0" borderId="0" xfId="0" applyNumberFormat="1" applyFont="1" applyFill="1" applyAlignment="1">
      <alignment vertical="center"/>
    </xf>
    <xf numFmtId="173" fontId="43" fillId="0" borderId="0" xfId="0" applyNumberFormat="1" applyFont="1" applyFill="1" applyBorder="1" applyAlignment="1" applyProtection="1">
      <alignment horizontal="center" vertical="center"/>
    </xf>
    <xf numFmtId="173" fontId="44" fillId="0" borderId="0" xfId="0" applyNumberFormat="1" applyFont="1" applyFill="1" applyBorder="1" applyAlignment="1">
      <alignment horizontal="center" vertical="center"/>
    </xf>
    <xf numFmtId="173" fontId="43" fillId="0" borderId="0" xfId="0" applyNumberFormat="1" applyFont="1" applyFill="1" applyBorder="1" applyAlignment="1">
      <alignment vertical="center"/>
    </xf>
    <xf numFmtId="173" fontId="44" fillId="0" borderId="0" xfId="35" applyNumberFormat="1" applyFont="1" applyFill="1" applyBorder="1" applyAlignment="1" applyProtection="1">
      <alignment vertical="center"/>
    </xf>
    <xf numFmtId="173" fontId="44" fillId="0" borderId="0" xfId="35" applyNumberFormat="1" applyFont="1" applyFill="1" applyBorder="1" applyAlignment="1">
      <alignment vertical="center"/>
    </xf>
    <xf numFmtId="173" fontId="43" fillId="0" borderId="0" xfId="35" applyNumberFormat="1" applyFont="1" applyFill="1" applyBorder="1" applyAlignment="1" applyProtection="1">
      <alignment vertical="center"/>
    </xf>
    <xf numFmtId="173" fontId="43" fillId="0" borderId="0" xfId="0" applyNumberFormat="1" applyFont="1" applyFill="1" applyBorder="1" applyAlignment="1" applyProtection="1">
      <alignment vertical="center"/>
    </xf>
    <xf numFmtId="173" fontId="44" fillId="0" borderId="0" xfId="0" applyNumberFormat="1" applyFont="1" applyFill="1" applyBorder="1" applyAlignment="1">
      <alignment vertical="center"/>
    </xf>
    <xf numFmtId="173" fontId="43" fillId="0" borderId="0" xfId="46" applyNumberFormat="1" applyFont="1" applyFill="1" applyBorder="1" applyAlignment="1" applyProtection="1">
      <alignment horizontal="center" vertical="center" wrapText="1"/>
    </xf>
    <xf numFmtId="173" fontId="44" fillId="0" borderId="0" xfId="46" applyNumberFormat="1" applyFont="1" applyFill="1" applyBorder="1" applyAlignment="1">
      <alignment horizontal="center" vertical="center" wrapText="1"/>
    </xf>
    <xf numFmtId="0" fontId="44" fillId="0" borderId="66" xfId="47" applyFont="1" applyFill="1" applyBorder="1" applyAlignment="1" applyProtection="1">
      <alignment vertical="center"/>
      <protection locked="0"/>
    </xf>
    <xf numFmtId="0" fontId="44" fillId="0" borderId="11" xfId="47" applyFont="1" applyFill="1" applyBorder="1" applyAlignment="1" applyProtection="1">
      <alignment vertical="center"/>
      <protection locked="0"/>
    </xf>
    <xf numFmtId="4" fontId="44" fillId="0" borderId="11" xfId="47" applyNumberFormat="1" applyFont="1" applyFill="1" applyBorder="1" applyAlignment="1" applyProtection="1">
      <alignment horizontal="center" vertical="center"/>
      <protection locked="0"/>
    </xf>
    <xf numFmtId="173" fontId="44" fillId="0" borderId="17" xfId="36" applyNumberFormat="1" applyFont="1" applyFill="1" applyBorder="1" applyAlignment="1" applyProtection="1">
      <alignment horizontal="right" vertical="center"/>
      <protection locked="0"/>
    </xf>
    <xf numFmtId="2" fontId="44" fillId="0" borderId="0" xfId="47" applyNumberFormat="1" applyFont="1" applyAlignment="1">
      <alignment vertical="center"/>
    </xf>
    <xf numFmtId="0" fontId="44" fillId="0" borderId="91" xfId="38" applyFont="1" applyFill="1" applyBorder="1" applyAlignment="1">
      <alignment horizontal="left" vertical="center" wrapText="1"/>
    </xf>
    <xf numFmtId="173" fontId="44" fillId="0" borderId="92" xfId="0" applyNumberFormat="1" applyFont="1" applyFill="1" applyBorder="1" applyAlignment="1">
      <alignment vertical="center"/>
    </xf>
    <xf numFmtId="0" fontId="44" fillId="0" borderId="93" xfId="38" applyFont="1" applyFill="1" applyBorder="1" applyAlignment="1">
      <alignment horizontal="left" vertical="center" wrapText="1"/>
    </xf>
    <xf numFmtId="173" fontId="44" fillId="0" borderId="63" xfId="0" applyNumberFormat="1" applyFont="1" applyFill="1" applyBorder="1" applyAlignment="1">
      <alignment vertical="center"/>
    </xf>
    <xf numFmtId="0" fontId="44" fillId="0" borderId="94" xfId="38" applyFont="1" applyFill="1" applyBorder="1" applyAlignment="1">
      <alignment horizontal="left" vertical="center" wrapText="1"/>
    </xf>
    <xf numFmtId="173" fontId="44" fillId="0" borderId="95" xfId="0" applyNumberFormat="1" applyFont="1" applyFill="1" applyBorder="1" applyAlignment="1">
      <alignment vertical="center"/>
    </xf>
    <xf numFmtId="0" fontId="44" fillId="0" borderId="68" xfId="0" applyFont="1" applyFill="1" applyBorder="1" applyAlignment="1">
      <alignment vertical="center"/>
    </xf>
    <xf numFmtId="173" fontId="44" fillId="0" borderId="68" xfId="0" applyNumberFormat="1" applyFont="1" applyFill="1" applyBorder="1" applyAlignment="1">
      <alignment vertical="center"/>
    </xf>
    <xf numFmtId="0" fontId="44" fillId="0" borderId="50" xfId="0" applyFont="1" applyFill="1" applyBorder="1" applyAlignment="1">
      <alignment vertical="center" wrapText="1"/>
    </xf>
    <xf numFmtId="173" fontId="44" fillId="0" borderId="50" xfId="0" applyNumberFormat="1" applyFont="1" applyFill="1" applyBorder="1" applyAlignment="1">
      <alignment vertical="center"/>
    </xf>
    <xf numFmtId="4" fontId="65" fillId="0" borderId="17" xfId="0" applyNumberFormat="1" applyFont="1" applyFill="1" applyBorder="1" applyAlignment="1" applyProtection="1">
      <alignment horizontal="right"/>
      <protection locked="0"/>
    </xf>
    <xf numFmtId="4" fontId="66" fillId="0" borderId="17" xfId="0" applyNumberFormat="1" applyFont="1" applyFill="1" applyBorder="1" applyAlignment="1" applyProtection="1">
      <alignment horizontal="right"/>
      <protection locked="0"/>
    </xf>
    <xf numFmtId="173" fontId="44" fillId="0" borderId="17" xfId="31" applyNumberFormat="1" applyFont="1" applyFill="1" applyBorder="1" applyAlignment="1" applyProtection="1">
      <alignment vertical="center" wrapText="1"/>
      <protection locked="0"/>
    </xf>
    <xf numFmtId="173" fontId="44" fillId="0" borderId="19" xfId="31" applyNumberFormat="1" applyFont="1" applyFill="1" applyBorder="1" applyAlignment="1" applyProtection="1">
      <alignment vertical="center" wrapText="1"/>
      <protection locked="0"/>
    </xf>
    <xf numFmtId="4" fontId="0" fillId="0" borderId="17" xfId="0" applyNumberFormat="1" applyBorder="1" applyAlignment="1">
      <alignment vertical="center"/>
    </xf>
    <xf numFmtId="3" fontId="43" fillId="0" borderId="0" xfId="0" applyNumberFormat="1" applyFont="1" applyAlignment="1">
      <alignment vertical="center"/>
    </xf>
    <xf numFmtId="4" fontId="4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44" fillId="0" borderId="61" xfId="47" applyNumberFormat="1" applyFont="1" applyFill="1" applyBorder="1" applyAlignment="1" applyProtection="1">
      <alignment horizontal="center" vertical="center"/>
      <protection locked="0"/>
    </xf>
    <xf numFmtId="0" fontId="44" fillId="0" borderId="25" xfId="47" applyNumberFormat="1" applyFont="1" applyFill="1" applyBorder="1" applyAlignment="1" applyProtection="1">
      <alignment horizontal="center" vertical="center"/>
      <protection locked="0"/>
    </xf>
    <xf numFmtId="173" fontId="43" fillId="0" borderId="96" xfId="47" applyNumberFormat="1" applyFont="1" applyFill="1" applyBorder="1" applyAlignment="1" applyProtection="1">
      <alignment horizontal="right" vertical="center"/>
    </xf>
    <xf numFmtId="173" fontId="43" fillId="0" borderId="53" xfId="47" applyNumberFormat="1" applyFont="1" applyFill="1" applyBorder="1" applyAlignment="1" applyProtection="1">
      <alignment horizontal="right" vertical="center"/>
    </xf>
    <xf numFmtId="173" fontId="43" fillId="0" borderId="85" xfId="47" applyNumberFormat="1" applyFont="1" applyFill="1" applyBorder="1" applyAlignment="1" applyProtection="1">
      <alignment vertical="center"/>
    </xf>
    <xf numFmtId="173" fontId="43" fillId="0" borderId="59" xfId="47" applyNumberFormat="1" applyFont="1" applyFill="1" applyBorder="1" applyAlignment="1" applyProtection="1">
      <alignment horizontal="right" vertical="center"/>
    </xf>
    <xf numFmtId="173" fontId="43" fillId="0" borderId="38" xfId="47" applyNumberFormat="1" applyFont="1" applyFill="1" applyBorder="1" applyAlignment="1" applyProtection="1">
      <alignment horizontal="right" vertical="center"/>
    </xf>
    <xf numFmtId="173" fontId="43" fillId="0" borderId="52" xfId="47" applyNumberFormat="1" applyFont="1" applyFill="1" applyBorder="1" applyAlignment="1" applyProtection="1">
      <alignment horizontal="right" vertical="center"/>
    </xf>
    <xf numFmtId="0" fontId="44" fillId="0" borderId="65" xfId="0" applyFont="1" applyFill="1" applyBorder="1" applyAlignment="1" applyProtection="1">
      <alignment horizontal="left" vertical="center"/>
      <protection locked="0"/>
    </xf>
    <xf numFmtId="4" fontId="44" fillId="0" borderId="17" xfId="0" applyNumberFormat="1" applyFont="1" applyFill="1" applyBorder="1" applyAlignment="1" applyProtection="1">
      <alignment horizontal="left" vertical="center"/>
      <protection locked="0"/>
    </xf>
    <xf numFmtId="4" fontId="0" fillId="0" borderId="17" xfId="0" applyNumberFormat="1" applyFill="1" applyBorder="1" applyAlignment="1">
      <alignment vertical="center"/>
    </xf>
    <xf numFmtId="4" fontId="44" fillId="0" borderId="12" xfId="0" applyNumberFormat="1" applyFont="1" applyFill="1" applyBorder="1" applyAlignment="1" applyProtection="1">
      <alignment horizontal="right" vertical="center"/>
      <protection locked="0"/>
    </xf>
    <xf numFmtId="0" fontId="43" fillId="0" borderId="65" xfId="0" applyFont="1" applyBorder="1" applyAlignment="1" applyProtection="1">
      <alignment horizontal="center" vertical="center"/>
      <protection locked="0"/>
    </xf>
    <xf numFmtId="0" fontId="43" fillId="0" borderId="12" xfId="0" applyFont="1" applyBorder="1" applyAlignment="1" applyProtection="1">
      <alignment horizontal="center" vertical="center"/>
      <protection locked="0"/>
    </xf>
    <xf numFmtId="0" fontId="44" fillId="0" borderId="65" xfId="0" applyFont="1" applyBorder="1" applyAlignment="1" applyProtection="1">
      <alignment horizontal="left" vertical="center" wrapText="1"/>
      <protection locked="0"/>
    </xf>
    <xf numFmtId="0" fontId="43" fillId="0" borderId="19" xfId="0" applyFont="1" applyBorder="1" applyAlignment="1">
      <alignment horizontal="center" vertical="center"/>
    </xf>
    <xf numFmtId="0" fontId="43" fillId="0" borderId="11" xfId="48" applyFont="1" applyFill="1" applyBorder="1" applyAlignment="1">
      <alignment vertical="center" wrapText="1"/>
    </xf>
    <xf numFmtId="4" fontId="44" fillId="0" borderId="64" xfId="0" applyNumberFormat="1" applyFont="1" applyBorder="1" applyAlignment="1" applyProtection="1">
      <alignment horizontal="right" vertical="center"/>
      <protection locked="0"/>
    </xf>
    <xf numFmtId="0" fontId="43" fillId="0" borderId="17" xfId="0" applyFont="1" applyFill="1" applyBorder="1" applyAlignment="1" applyProtection="1">
      <alignment horizontal="center" vertical="center" wrapText="1"/>
      <protection locked="0"/>
    </xf>
    <xf numFmtId="4" fontId="46" fillId="28" borderId="0" xfId="43" applyNumberFormat="1" applyFont="1" applyFill="1" applyBorder="1" applyAlignment="1">
      <alignment horizontal="left" vertical="center"/>
    </xf>
    <xf numFmtId="0" fontId="44" fillId="28" borderId="0" xfId="43" applyFont="1" applyFill="1" applyAlignment="1">
      <alignment vertical="center"/>
    </xf>
    <xf numFmtId="0" fontId="67" fillId="0" borderId="11" xfId="0" applyFont="1" applyFill="1" applyBorder="1" applyAlignment="1" applyProtection="1">
      <alignment horizontal="center" vertical="center"/>
      <protection locked="0"/>
    </xf>
    <xf numFmtId="0" fontId="67" fillId="0" borderId="14" xfId="0" applyFont="1" applyFill="1" applyBorder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67" fillId="0" borderId="90" xfId="0" applyFont="1" applyFill="1" applyBorder="1" applyAlignment="1" applyProtection="1">
      <alignment horizontal="center" vertical="center"/>
      <protection locked="0"/>
    </xf>
    <xf numFmtId="0" fontId="67" fillId="0" borderId="13" xfId="0" applyFont="1" applyFill="1" applyBorder="1" applyAlignment="1" applyProtection="1">
      <alignment horizontal="center" vertical="center"/>
      <protection locked="0"/>
    </xf>
    <xf numFmtId="0" fontId="67" fillId="0" borderId="17" xfId="0" applyFont="1" applyFill="1" applyBorder="1" applyAlignment="1" applyProtection="1">
      <alignment horizontal="center" vertical="center"/>
      <protection locked="0"/>
    </xf>
    <xf numFmtId="0" fontId="67" fillId="0" borderId="12" xfId="0" applyFont="1" applyFill="1" applyBorder="1" applyAlignment="1" applyProtection="1">
      <alignment horizontal="center" vertical="center"/>
      <protection locked="0"/>
    </xf>
    <xf numFmtId="0" fontId="44" fillId="0" borderId="0" xfId="0" applyFont="1" applyBorder="1" applyAlignment="1">
      <alignment horizontal="left" vertical="center"/>
    </xf>
    <xf numFmtId="0" fontId="43" fillId="0" borderId="15" xfId="0" applyFont="1" applyBorder="1" applyAlignment="1">
      <alignment horizontal="left" vertical="center"/>
    </xf>
    <xf numFmtId="0" fontId="44" fillId="0" borderId="0" xfId="0" applyFont="1" applyBorder="1" applyAlignment="1">
      <alignment vertical="center" wrapText="1"/>
    </xf>
    <xf numFmtId="0" fontId="7" fillId="24" borderId="13" xfId="44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5" xfId="0" applyBorder="1"/>
    <xf numFmtId="0" fontId="0" fillId="0" borderId="0" xfId="0" applyBorder="1"/>
    <xf numFmtId="0" fontId="0" fillId="0" borderId="22" xfId="0" applyBorder="1"/>
    <xf numFmtId="0" fontId="70" fillId="0" borderId="15" xfId="0" applyFont="1" applyBorder="1"/>
    <xf numFmtId="0" fontId="4" fillId="0" borderId="0" xfId="0" applyFont="1" applyBorder="1"/>
    <xf numFmtId="0" fontId="4" fillId="0" borderId="15" xfId="0" applyFont="1" applyBorder="1"/>
    <xf numFmtId="0" fontId="0" fillId="0" borderId="0" xfId="0" applyBorder="1" applyAlignment="1">
      <alignment horizontal="right"/>
    </xf>
    <xf numFmtId="0" fontId="0" fillId="0" borderId="41" xfId="0" applyBorder="1"/>
    <xf numFmtId="0" fontId="0" fillId="0" borderId="42" xfId="0" applyBorder="1"/>
    <xf numFmtId="0" fontId="0" fillId="0" borderId="69" xfId="0" applyBorder="1"/>
    <xf numFmtId="4" fontId="0" fillId="0" borderId="0" xfId="0" applyNumberFormat="1"/>
    <xf numFmtId="0" fontId="72" fillId="0" borderId="0" xfId="0" applyFont="1"/>
    <xf numFmtId="4" fontId="0" fillId="0" borderId="22" xfId="0" applyNumberFormat="1" applyBorder="1"/>
    <xf numFmtId="4" fontId="0" fillId="0" borderId="69" xfId="0" applyNumberFormat="1" applyBorder="1"/>
    <xf numFmtId="4" fontId="43" fillId="0" borderId="50" xfId="48" applyNumberFormat="1" applyFont="1" applyBorder="1" applyAlignment="1" applyProtection="1">
      <alignment horizontal="right" vertical="center"/>
      <protection locked="0"/>
    </xf>
    <xf numFmtId="0" fontId="33" fillId="0" borderId="0" xfId="0" applyFont="1" applyBorder="1" applyAlignment="1">
      <alignment horizontal="center" vertical="center" wrapText="1"/>
    </xf>
    <xf numFmtId="0" fontId="73" fillId="0" borderId="0" xfId="0" applyFont="1" applyAlignment="1">
      <alignment vertical="center"/>
    </xf>
    <xf numFmtId="2" fontId="59" fillId="0" borderId="15" xfId="45" applyNumberFormat="1" applyFont="1" applyFill="1" applyBorder="1" applyAlignment="1">
      <alignment horizontal="left" vertical="center"/>
    </xf>
    <xf numFmtId="2" fontId="59" fillId="0" borderId="0" xfId="45" applyNumberFormat="1" applyFont="1" applyFill="1" applyBorder="1" applyAlignment="1">
      <alignment horizontal="left" vertical="center"/>
    </xf>
    <xf numFmtId="167" fontId="74" fillId="0" borderId="15" xfId="45" applyNumberFormat="1" applyFont="1" applyFill="1" applyBorder="1" applyAlignment="1">
      <alignment horizontal="left" vertical="center"/>
    </xf>
    <xf numFmtId="0" fontId="75" fillId="0" borderId="15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33" fillId="0" borderId="41" xfId="0" applyFont="1" applyBorder="1" applyAlignment="1">
      <alignment vertical="center"/>
    </xf>
    <xf numFmtId="0" fontId="33" fillId="0" borderId="42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/>
    </xf>
    <xf numFmtId="0" fontId="33" fillId="0" borderId="69" xfId="0" applyFont="1" applyBorder="1" applyAlignment="1">
      <alignment horizontal="center" vertical="center" wrapText="1"/>
    </xf>
    <xf numFmtId="2" fontId="75" fillId="0" borderId="0" xfId="0" applyNumberFormat="1" applyFont="1" applyBorder="1" applyAlignment="1">
      <alignment horizontal="center" vertical="center" wrapText="1"/>
    </xf>
    <xf numFmtId="4" fontId="75" fillId="0" borderId="0" xfId="0" applyNumberFormat="1" applyFont="1" applyBorder="1" applyAlignment="1">
      <alignment horizontal="center" vertical="center"/>
    </xf>
    <xf numFmtId="1" fontId="44" fillId="0" borderId="0" xfId="0" applyNumberFormat="1" applyFont="1" applyBorder="1" applyAlignment="1">
      <alignment vertical="center"/>
    </xf>
    <xf numFmtId="4" fontId="44" fillId="0" borderId="0" xfId="0" applyNumberFormat="1" applyFont="1" applyBorder="1" applyAlignment="1">
      <alignment vertical="center"/>
    </xf>
    <xf numFmtId="0" fontId="75" fillId="0" borderId="0" xfId="0" applyFont="1" applyBorder="1" applyAlignment="1">
      <alignment vertical="center" wrapText="1"/>
    </xf>
    <xf numFmtId="2" fontId="75" fillId="0" borderId="0" xfId="0" applyNumberFormat="1" applyFont="1" applyBorder="1" applyAlignment="1">
      <alignment horizontal="center" vertical="center"/>
    </xf>
    <xf numFmtId="0" fontId="33" fillId="0" borderId="42" xfId="0" applyFont="1" applyBorder="1" applyAlignment="1">
      <alignment horizontal="left" vertical="center"/>
    </xf>
    <xf numFmtId="0" fontId="33" fillId="0" borderId="15" xfId="0" applyFont="1" applyBorder="1" applyAlignment="1">
      <alignment vertical="center"/>
    </xf>
    <xf numFmtId="0" fontId="33" fillId="0" borderId="0" xfId="0" applyFont="1" applyBorder="1" applyAlignment="1">
      <alignment horizontal="left" vertical="center"/>
    </xf>
    <xf numFmtId="14" fontId="75" fillId="0" borderId="0" xfId="0" applyNumberFormat="1" applyFont="1" applyBorder="1" applyAlignment="1">
      <alignment horizontal="center" vertical="center"/>
    </xf>
    <xf numFmtId="14" fontId="75" fillId="0" borderId="0" xfId="0" applyNumberFormat="1" applyFont="1" applyFill="1" applyBorder="1" applyAlignment="1">
      <alignment horizontal="center" vertical="center"/>
    </xf>
    <xf numFmtId="0" fontId="44" fillId="0" borderId="0" xfId="39" applyFont="1" applyAlignment="1">
      <alignment vertical="center"/>
    </xf>
    <xf numFmtId="1" fontId="76" fillId="24" borderId="13" xfId="42" applyNumberFormat="1" applyFont="1" applyFill="1" applyBorder="1" applyAlignment="1">
      <alignment horizontal="center" vertical="center"/>
    </xf>
    <xf numFmtId="0" fontId="43" fillId="0" borderId="58" xfId="39" applyFont="1" applyBorder="1" applyAlignment="1">
      <alignment horizontal="center" vertical="center" wrapText="1"/>
    </xf>
    <xf numFmtId="0" fontId="43" fillId="0" borderId="19" xfId="39" applyFont="1" applyBorder="1" applyAlignment="1">
      <alignment horizontal="center" vertical="center" wrapText="1"/>
    </xf>
    <xf numFmtId="0" fontId="43" fillId="0" borderId="20" xfId="39" applyFont="1" applyBorder="1" applyAlignment="1">
      <alignment horizontal="center" vertical="center" wrapText="1"/>
    </xf>
    <xf numFmtId="0" fontId="43" fillId="0" borderId="15" xfId="39" applyFont="1" applyBorder="1" applyAlignment="1">
      <alignment horizontal="left" vertical="center"/>
    </xf>
    <xf numFmtId="0" fontId="43" fillId="0" borderId="55" xfId="39" applyFont="1" applyBorder="1" applyAlignment="1">
      <alignment horizontal="left" vertical="center"/>
    </xf>
    <xf numFmtId="0" fontId="43" fillId="0" borderId="44" xfId="39" applyFont="1" applyBorder="1" applyAlignment="1">
      <alignment horizontal="center" vertical="center" wrapText="1"/>
    </xf>
    <xf numFmtId="0" fontId="43" fillId="0" borderId="27" xfId="39" applyFont="1" applyBorder="1" applyAlignment="1">
      <alignment horizontal="center" vertical="center" wrapText="1"/>
    </xf>
    <xf numFmtId="0" fontId="43" fillId="0" borderId="15" xfId="39" applyFont="1" applyBorder="1" applyAlignment="1">
      <alignment horizontal="center" vertical="center" wrapText="1"/>
    </xf>
    <xf numFmtId="0" fontId="43" fillId="0" borderId="0" xfId="39" applyFont="1" applyBorder="1" applyAlignment="1">
      <alignment horizontal="center" vertical="center" wrapText="1"/>
    </xf>
    <xf numFmtId="0" fontId="44" fillId="0" borderId="26" xfId="39" applyFont="1" applyBorder="1" applyAlignment="1">
      <alignment horizontal="left" vertical="center" wrapText="1"/>
    </xf>
    <xf numFmtId="0" fontId="43" fillId="0" borderId="26" xfId="39" applyFont="1" applyBorder="1" applyAlignment="1">
      <alignment horizontal="center" vertical="center" wrapText="1"/>
    </xf>
    <xf numFmtId="0" fontId="43" fillId="0" borderId="88" xfId="39" applyFont="1" applyBorder="1" applyAlignment="1">
      <alignment horizontal="center" vertical="center" wrapText="1"/>
    </xf>
    <xf numFmtId="0" fontId="44" fillId="0" borderId="0" xfId="39" applyFont="1" applyBorder="1" applyAlignment="1">
      <alignment horizontal="center" vertical="center" wrapText="1"/>
    </xf>
    <xf numFmtId="0" fontId="44" fillId="0" borderId="0" xfId="39" applyFont="1" applyBorder="1" applyAlignment="1">
      <alignment horizontal="left" vertical="center" wrapText="1"/>
    </xf>
    <xf numFmtId="0" fontId="43" fillId="0" borderId="20" xfId="39" applyFont="1" applyBorder="1" applyAlignment="1">
      <alignment vertical="center"/>
    </xf>
    <xf numFmtId="0" fontId="43" fillId="0" borderId="0" xfId="39" applyFont="1" applyAlignment="1">
      <alignment vertical="center"/>
    </xf>
    <xf numFmtId="173" fontId="43" fillId="28" borderId="0" xfId="39" applyNumberFormat="1" applyFont="1" applyFill="1" applyBorder="1" applyAlignment="1">
      <alignment vertical="center"/>
    </xf>
    <xf numFmtId="0" fontId="44" fillId="0" borderId="0" xfId="39" applyFont="1" applyBorder="1" applyAlignment="1" applyProtection="1">
      <alignment vertical="center"/>
      <protection locked="0"/>
    </xf>
    <xf numFmtId="0" fontId="61" fillId="0" borderId="0" xfId="39" applyFont="1" applyAlignment="1">
      <alignment horizontal="center" vertical="center"/>
    </xf>
    <xf numFmtId="0" fontId="79" fillId="0" borderId="0" xfId="39" applyFont="1" applyAlignment="1">
      <alignment vertical="center"/>
    </xf>
    <xf numFmtId="0" fontId="49" fillId="0" borderId="0" xfId="39" applyFont="1" applyAlignment="1">
      <alignment vertical="center"/>
    </xf>
    <xf numFmtId="0" fontId="44" fillId="0" borderId="56" xfId="39" applyFont="1" applyBorder="1" applyAlignment="1">
      <alignment vertical="center" wrapText="1"/>
    </xf>
    <xf numFmtId="3" fontId="44" fillId="30" borderId="0" xfId="50" applyNumberFormat="1" applyFont="1" applyFill="1" applyBorder="1" applyAlignment="1">
      <alignment vertical="center"/>
    </xf>
    <xf numFmtId="3" fontId="44" fillId="36" borderId="0" xfId="50" applyNumberFormat="1" applyFont="1" applyFill="1" applyBorder="1" applyAlignment="1">
      <alignment vertical="center"/>
    </xf>
    <xf numFmtId="3" fontId="44" fillId="37" borderId="0" xfId="50" applyNumberFormat="1" applyFont="1" applyFill="1" applyBorder="1" applyAlignment="1">
      <alignment vertical="center"/>
    </xf>
    <xf numFmtId="3" fontId="44" fillId="28" borderId="0" xfId="50" applyNumberFormat="1" applyFont="1" applyFill="1" applyBorder="1" applyAlignment="1">
      <alignment vertical="center"/>
    </xf>
    <xf numFmtId="3" fontId="55" fillId="36" borderId="0" xfId="50" applyNumberFormat="1" applyFont="1" applyFill="1" applyBorder="1" applyAlignment="1">
      <alignment vertical="center"/>
    </xf>
    <xf numFmtId="173" fontId="43" fillId="29" borderId="18" xfId="36" applyNumberFormat="1" applyFont="1" applyFill="1" applyBorder="1" applyAlignment="1">
      <alignment vertical="center"/>
    </xf>
    <xf numFmtId="173" fontId="44" fillId="0" borderId="61" xfId="36" applyNumberFormat="1" applyFont="1" applyBorder="1" applyAlignment="1" applyProtection="1">
      <alignment vertical="center"/>
      <protection locked="0"/>
    </xf>
    <xf numFmtId="173" fontId="44" fillId="0" borderId="60" xfId="36" applyNumberFormat="1" applyFont="1" applyBorder="1" applyAlignment="1" applyProtection="1">
      <alignment vertical="center"/>
      <protection locked="0"/>
    </xf>
    <xf numFmtId="173" fontId="44" fillId="0" borderId="97" xfId="36" applyNumberFormat="1" applyFont="1" applyBorder="1" applyAlignment="1" applyProtection="1">
      <alignment vertical="center"/>
      <protection locked="0"/>
    </xf>
    <xf numFmtId="173" fontId="44" fillId="0" borderId="98" xfId="36" applyNumberFormat="1" applyFont="1" applyBorder="1" applyAlignment="1" applyProtection="1">
      <alignment vertical="center"/>
      <protection locked="0"/>
    </xf>
    <xf numFmtId="0" fontId="44" fillId="0" borderId="61" xfId="39" applyFont="1" applyBorder="1" applyAlignment="1">
      <alignment vertical="center"/>
    </xf>
    <xf numFmtId="0" fontId="44" fillId="0" borderId="97" xfId="39" applyFont="1" applyBorder="1" applyAlignment="1">
      <alignment vertical="center"/>
    </xf>
    <xf numFmtId="4" fontId="43" fillId="29" borderId="18" xfId="36" applyNumberFormat="1" applyFont="1" applyFill="1" applyBorder="1" applyAlignment="1">
      <alignment vertical="center"/>
    </xf>
    <xf numFmtId="0" fontId="43" fillId="0" borderId="62" xfId="39" applyFont="1" applyBorder="1" applyAlignment="1">
      <alignment horizontal="center" vertical="center" wrapText="1"/>
    </xf>
    <xf numFmtId="173" fontId="44" fillId="0" borderId="99" xfId="36" applyNumberFormat="1" applyFont="1" applyBorder="1" applyAlignment="1" applyProtection="1">
      <alignment vertical="center"/>
      <protection locked="0"/>
    </xf>
    <xf numFmtId="173" fontId="44" fillId="0" borderId="0" xfId="36" applyNumberFormat="1" applyFont="1" applyBorder="1" applyAlignment="1" applyProtection="1">
      <alignment vertical="center"/>
      <protection locked="0"/>
    </xf>
    <xf numFmtId="173" fontId="44" fillId="0" borderId="56" xfId="36" applyNumberFormat="1" applyFont="1" applyBorder="1" applyAlignment="1" applyProtection="1">
      <alignment vertical="center"/>
      <protection locked="0"/>
    </xf>
    <xf numFmtId="3" fontId="44" fillId="31" borderId="0" xfId="50" applyNumberFormat="1" applyFont="1" applyFill="1" applyBorder="1" applyAlignment="1">
      <alignment vertical="center"/>
    </xf>
    <xf numFmtId="0" fontId="43" fillId="0" borderId="19" xfId="0" applyFont="1" applyFill="1" applyBorder="1" applyAlignment="1">
      <alignment horizontal="center" vertical="center" wrapText="1"/>
    </xf>
    <xf numFmtId="0" fontId="43" fillId="0" borderId="20" xfId="0" applyFont="1" applyFill="1" applyBorder="1" applyAlignment="1">
      <alignment horizontal="center" vertical="center" wrapText="1"/>
    </xf>
    <xf numFmtId="17" fontId="44" fillId="0" borderId="51" xfId="0" applyNumberFormat="1" applyFont="1" applyBorder="1" applyAlignment="1">
      <alignment horizontal="center" vertical="center"/>
    </xf>
    <xf numFmtId="17" fontId="44" fillId="0" borderId="52" xfId="0" applyNumberFormat="1" applyFont="1" applyBorder="1" applyAlignment="1">
      <alignment horizontal="center" vertical="center"/>
    </xf>
    <xf numFmtId="17" fontId="44" fillId="0" borderId="53" xfId="0" applyNumberFormat="1" applyFont="1" applyBorder="1" applyAlignment="1">
      <alignment horizontal="center" vertical="center"/>
    </xf>
    <xf numFmtId="0" fontId="44" fillId="38" borderId="43" xfId="0" applyFont="1" applyFill="1" applyBorder="1" applyAlignment="1">
      <alignment vertical="center"/>
    </xf>
    <xf numFmtId="0" fontId="44" fillId="38" borderId="15" xfId="0" applyFont="1" applyFill="1" applyBorder="1" applyAlignment="1">
      <alignment vertical="center"/>
    </xf>
    <xf numFmtId="0" fontId="44" fillId="38" borderId="0" xfId="0" applyFont="1" applyFill="1" applyBorder="1" applyAlignment="1">
      <alignment vertical="center"/>
    </xf>
    <xf numFmtId="0" fontId="44" fillId="38" borderId="22" xfId="0" applyFont="1" applyFill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3" fillId="0" borderId="20" xfId="0" applyFont="1" applyBorder="1" applyAlignment="1">
      <alignment horizontal="center" vertical="center"/>
    </xf>
    <xf numFmtId="0" fontId="44" fillId="0" borderId="100" xfId="0" applyFont="1" applyBorder="1" applyAlignment="1">
      <alignment vertical="center"/>
    </xf>
    <xf numFmtId="0" fontId="44" fillId="0" borderId="49" xfId="0" applyFont="1" applyBorder="1" applyAlignment="1">
      <alignment vertical="center"/>
    </xf>
    <xf numFmtId="0" fontId="44" fillId="0" borderId="57" xfId="0" applyFont="1" applyBorder="1" applyAlignment="1">
      <alignment vertical="center"/>
    </xf>
    <xf numFmtId="0" fontId="44" fillId="0" borderId="27" xfId="0" applyFont="1" applyBorder="1" applyAlignment="1">
      <alignment vertical="center"/>
    </xf>
    <xf numFmtId="0" fontId="44" fillId="0" borderId="59" xfId="0" applyFont="1" applyBorder="1" applyAlignment="1">
      <alignment vertical="center"/>
    </xf>
    <xf numFmtId="0" fontId="44" fillId="0" borderId="38" xfId="0" applyFont="1" applyBorder="1" applyAlignment="1">
      <alignment vertical="center"/>
    </xf>
    <xf numFmtId="0" fontId="43" fillId="0" borderId="45" xfId="0" applyFont="1" applyBorder="1" applyAlignment="1">
      <alignment vertical="center"/>
    </xf>
    <xf numFmtId="0" fontId="43" fillId="0" borderId="52" xfId="0" applyFont="1" applyBorder="1" applyAlignment="1">
      <alignment vertical="center"/>
    </xf>
    <xf numFmtId="0" fontId="43" fillId="0" borderId="53" xfId="0" applyFont="1" applyBorder="1" applyAlignment="1">
      <alignment vertical="center"/>
    </xf>
    <xf numFmtId="0" fontId="43" fillId="0" borderId="53" xfId="0" applyFont="1" applyBorder="1" applyAlignment="1">
      <alignment horizontal="center" vertical="center"/>
    </xf>
    <xf numFmtId="0" fontId="43" fillId="0" borderId="53" xfId="0" applyFont="1" applyBorder="1" applyAlignment="1">
      <alignment horizontal="center" vertical="center" wrapText="1"/>
    </xf>
    <xf numFmtId="0" fontId="43" fillId="0" borderId="43" xfId="0" applyFont="1" applyBorder="1" applyAlignment="1">
      <alignment vertical="center"/>
    </xf>
    <xf numFmtId="0" fontId="44" fillId="0" borderId="26" xfId="0" applyFont="1" applyBorder="1" applyAlignment="1">
      <alignment vertical="center"/>
    </xf>
    <xf numFmtId="0" fontId="44" fillId="0" borderId="28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81" fillId="0" borderId="0" xfId="0" applyFont="1" applyBorder="1" applyAlignment="1"/>
    <xf numFmtId="0" fontId="82" fillId="0" borderId="0" xfId="0" applyFont="1" applyBorder="1"/>
    <xf numFmtId="0" fontId="82" fillId="0" borderId="0" xfId="0" applyFont="1"/>
    <xf numFmtId="0" fontId="81" fillId="0" borderId="0" xfId="0" applyFont="1"/>
    <xf numFmtId="0" fontId="81" fillId="0" borderId="0" xfId="0" applyFont="1" applyAlignment="1"/>
    <xf numFmtId="0" fontId="81" fillId="0" borderId="0" xfId="0" applyFont="1" applyAlignment="1">
      <alignment horizontal="center"/>
    </xf>
    <xf numFmtId="0" fontId="81" fillId="0" borderId="0" xfId="0" applyFont="1" applyAlignment="1">
      <alignment horizontal="center" vertical="center"/>
    </xf>
    <xf numFmtId="0" fontId="81" fillId="0" borderId="89" xfId="0" applyFont="1" applyBorder="1" applyAlignment="1">
      <alignment horizontal="center" vertical="center" wrapText="1"/>
    </xf>
    <xf numFmtId="0" fontId="84" fillId="0" borderId="100" xfId="0" applyFont="1" applyBorder="1" applyAlignment="1">
      <alignment horizontal="center" vertical="center" wrapText="1"/>
    </xf>
    <xf numFmtId="0" fontId="81" fillId="0" borderId="100" xfId="0" applyFont="1" applyBorder="1" applyAlignment="1">
      <alignment horizontal="center" vertical="center" wrapText="1"/>
    </xf>
    <xf numFmtId="0" fontId="81" fillId="0" borderId="49" xfId="0" applyFont="1" applyBorder="1" applyAlignment="1">
      <alignment horizontal="center" vertical="center" wrapText="1"/>
    </xf>
    <xf numFmtId="0" fontId="81" fillId="0" borderId="0" xfId="0" applyFont="1" applyAlignment="1">
      <alignment horizontal="center" wrapText="1"/>
    </xf>
    <xf numFmtId="0" fontId="81" fillId="0" borderId="17" xfId="0" applyFont="1" applyBorder="1" applyAlignment="1">
      <alignment horizontal="center"/>
    </xf>
    <xf numFmtId="0" fontId="85" fillId="0" borderId="17" xfId="0" applyFont="1" applyBorder="1"/>
    <xf numFmtId="0" fontId="85" fillId="0" borderId="0" xfId="0" applyFont="1"/>
    <xf numFmtId="0" fontId="81" fillId="0" borderId="100" xfId="0" applyFont="1" applyBorder="1" applyAlignment="1">
      <alignment horizontal="center" vertical="center"/>
    </xf>
    <xf numFmtId="0" fontId="81" fillId="0" borderId="49" xfId="0" applyFont="1" applyBorder="1" applyAlignment="1">
      <alignment horizontal="center" vertical="center"/>
    </xf>
    <xf numFmtId="0" fontId="81" fillId="0" borderId="65" xfId="0" applyFont="1" applyBorder="1" applyAlignment="1">
      <alignment horizontal="center"/>
    </xf>
    <xf numFmtId="0" fontId="81" fillId="0" borderId="12" xfId="0" applyFont="1" applyBorder="1" applyAlignment="1">
      <alignment horizontal="center"/>
    </xf>
    <xf numFmtId="0" fontId="85" fillId="0" borderId="65" xfId="0" applyFont="1" applyBorder="1"/>
    <xf numFmtId="0" fontId="85" fillId="0" borderId="12" xfId="0" applyFont="1" applyBorder="1"/>
    <xf numFmtId="0" fontId="85" fillId="0" borderId="58" xfId="0" applyFont="1" applyBorder="1"/>
    <xf numFmtId="0" fontId="85" fillId="0" borderId="19" xfId="0" applyFont="1" applyBorder="1"/>
    <xf numFmtId="0" fontId="85" fillId="0" borderId="20" xfId="0" applyFont="1" applyBorder="1"/>
    <xf numFmtId="0" fontId="29" fillId="0" borderId="0" xfId="0" applyFont="1"/>
    <xf numFmtId="0" fontId="29" fillId="0" borderId="17" xfId="0" applyFont="1" applyBorder="1" applyAlignment="1">
      <alignment horizontal="center" wrapText="1"/>
    </xf>
    <xf numFmtId="0" fontId="29" fillId="0" borderId="0" xfId="0" applyFont="1" applyAlignment="1">
      <alignment horizontal="center" wrapText="1"/>
    </xf>
    <xf numFmtId="0" fontId="0" fillId="0" borderId="17" xfId="0" applyBorder="1" applyAlignment="1">
      <alignment wrapText="1"/>
    </xf>
    <xf numFmtId="4" fontId="0" fillId="0" borderId="17" xfId="0" applyNumberFormat="1" applyBorder="1"/>
    <xf numFmtId="0" fontId="86" fillId="0" borderId="17" xfId="0" applyFont="1" applyBorder="1" applyAlignment="1">
      <alignment wrapText="1"/>
    </xf>
    <xf numFmtId="0" fontId="29" fillId="0" borderId="17" xfId="0" applyFont="1" applyBorder="1" applyAlignment="1">
      <alignment horizontal="right"/>
    </xf>
    <xf numFmtId="4" fontId="29" fillId="0" borderId="17" xfId="0" applyNumberFormat="1" applyFont="1" applyBorder="1" applyAlignment="1">
      <alignment horizontal="center"/>
    </xf>
    <xf numFmtId="0" fontId="29" fillId="0" borderId="0" xfId="0" applyFont="1" applyBorder="1" applyAlignment="1">
      <alignment horizontal="right"/>
    </xf>
    <xf numFmtId="4" fontId="29" fillId="0" borderId="0" xfId="0" applyNumberFormat="1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0" fillId="0" borderId="17" xfId="0" applyBorder="1"/>
    <xf numFmtId="4" fontId="0" fillId="0" borderId="17" xfId="0" applyNumberFormat="1" applyBorder="1" applyAlignment="1">
      <alignment horizontal="center"/>
    </xf>
    <xf numFmtId="0" fontId="29" fillId="0" borderId="45" xfId="0" applyFont="1" applyBorder="1"/>
    <xf numFmtId="0" fontId="0" fillId="0" borderId="46" xfId="0" applyBorder="1"/>
    <xf numFmtId="0" fontId="0" fillId="0" borderId="47" xfId="0" applyBorder="1"/>
    <xf numFmtId="0" fontId="29" fillId="0" borderId="51" xfId="0" applyFont="1" applyBorder="1" applyAlignment="1">
      <alignment horizontal="center"/>
    </xf>
    <xf numFmtId="0" fontId="29" fillId="0" borderId="52" xfId="0" applyFont="1" applyBorder="1" applyAlignment="1">
      <alignment horizontal="center"/>
    </xf>
    <xf numFmtId="0" fontId="29" fillId="0" borderId="53" xfId="0" applyFont="1" applyBorder="1" applyAlignment="1">
      <alignment horizontal="center"/>
    </xf>
    <xf numFmtId="0" fontId="29" fillId="0" borderId="107" xfId="0" applyFont="1" applyBorder="1"/>
    <xf numFmtId="0" fontId="29" fillId="0" borderId="90" xfId="0" applyFont="1" applyBorder="1"/>
    <xf numFmtId="0" fontId="29" fillId="0" borderId="65" xfId="0" applyFont="1" applyBorder="1"/>
    <xf numFmtId="0" fontId="29" fillId="0" borderId="17" xfId="0" applyFont="1" applyBorder="1"/>
    <xf numFmtId="0" fontId="29" fillId="0" borderId="66" xfId="0" applyFont="1" applyBorder="1"/>
    <xf numFmtId="0" fontId="29" fillId="0" borderId="48" xfId="0" applyFont="1" applyBorder="1"/>
    <xf numFmtId="0" fontId="29" fillId="0" borderId="58" xfId="0" applyFont="1" applyBorder="1"/>
    <xf numFmtId="0" fontId="29" fillId="0" borderId="51" xfId="0" applyFont="1" applyBorder="1"/>
    <xf numFmtId="4" fontId="56" fillId="0" borderId="17" xfId="0" applyNumberFormat="1" applyFont="1" applyFill="1" applyBorder="1" applyAlignment="1" applyProtection="1">
      <alignment horizontal="right" vertical="center"/>
      <protection locked="0"/>
    </xf>
    <xf numFmtId="4" fontId="44" fillId="0" borderId="0" xfId="0" applyNumberFormat="1" applyFont="1" applyFill="1" applyAlignment="1">
      <alignment vertical="center"/>
    </xf>
    <xf numFmtId="0" fontId="44" fillId="0" borderId="66" xfId="0" applyFont="1" applyBorder="1" applyAlignment="1" applyProtection="1">
      <alignment horizontal="left" vertical="center" wrapText="1"/>
      <protection locked="0"/>
    </xf>
    <xf numFmtId="4" fontId="44" fillId="0" borderId="48" xfId="0" applyNumberFormat="1" applyFont="1" applyBorder="1" applyAlignment="1" applyProtection="1">
      <alignment horizontal="right" vertical="center"/>
      <protection locked="0"/>
    </xf>
    <xf numFmtId="4" fontId="44" fillId="0" borderId="25" xfId="0" applyNumberFormat="1" applyFont="1" applyBorder="1" applyAlignment="1" applyProtection="1">
      <alignment horizontal="right" vertical="center"/>
      <protection locked="0"/>
    </xf>
    <xf numFmtId="0" fontId="44" fillId="0" borderId="24" xfId="0" applyFont="1" applyBorder="1" applyAlignment="1" applyProtection="1">
      <alignment horizontal="left" vertical="center" wrapText="1"/>
      <protection locked="0"/>
    </xf>
    <xf numFmtId="4" fontId="56" fillId="0" borderId="12" xfId="0" applyNumberFormat="1" applyFont="1" applyFill="1" applyBorder="1" applyAlignment="1" applyProtection="1">
      <alignment horizontal="right" vertical="center"/>
      <protection locked="0"/>
    </xf>
    <xf numFmtId="0" fontId="44" fillId="0" borderId="65" xfId="0" applyFont="1" applyFill="1" applyBorder="1" applyAlignment="1" applyProtection="1">
      <alignment horizontal="left" vertical="center" wrapText="1"/>
      <protection locked="0"/>
    </xf>
    <xf numFmtId="0" fontId="44" fillId="0" borderId="64" xfId="0" applyFont="1" applyBorder="1" applyAlignment="1" applyProtection="1">
      <alignment horizontal="left" vertical="center"/>
      <protection locked="0"/>
    </xf>
    <xf numFmtId="0" fontId="44" fillId="0" borderId="64" xfId="0" applyFont="1" applyBorder="1" applyAlignment="1" applyProtection="1">
      <alignment horizontal="left" vertical="center" wrapText="1"/>
      <protection locked="0"/>
    </xf>
    <xf numFmtId="0" fontId="44" fillId="0" borderId="64" xfId="0" applyFont="1" applyFill="1" applyBorder="1" applyAlignment="1" applyProtection="1">
      <alignment horizontal="left" vertical="center"/>
      <protection locked="0"/>
    </xf>
    <xf numFmtId="0" fontId="44" fillId="0" borderId="64" xfId="0" applyFont="1" applyFill="1" applyBorder="1" applyAlignment="1" applyProtection="1">
      <alignment horizontal="left" vertical="center" wrapText="1"/>
      <protection locked="0"/>
    </xf>
    <xf numFmtId="0" fontId="43" fillId="0" borderId="51" xfId="0" applyFont="1" applyBorder="1" applyAlignment="1">
      <alignment horizontal="center" vertical="center"/>
    </xf>
    <xf numFmtId="4" fontId="43" fillId="0" borderId="52" xfId="0" applyNumberFormat="1" applyFont="1" applyBorder="1" applyAlignment="1" applyProtection="1">
      <alignment horizontal="right" vertical="center"/>
    </xf>
    <xf numFmtId="0" fontId="43" fillId="0" borderId="52" xfId="0" applyFont="1" applyBorder="1" applyAlignment="1">
      <alignment horizontal="center" vertical="center"/>
    </xf>
    <xf numFmtId="4" fontId="43" fillId="0" borderId="53" xfId="0" applyNumberFormat="1" applyFont="1" applyBorder="1" applyAlignment="1" applyProtection="1">
      <alignment horizontal="right" vertical="center"/>
    </xf>
    <xf numFmtId="0" fontId="44" fillId="0" borderId="0" xfId="39" applyFont="1" applyBorder="1" applyAlignment="1">
      <alignment horizontal="center" vertical="center" wrapText="1"/>
    </xf>
    <xf numFmtId="0" fontId="43" fillId="0" borderId="0" xfId="39" applyFont="1" applyBorder="1" applyAlignment="1">
      <alignment horizontal="center" vertical="center" wrapText="1"/>
    </xf>
    <xf numFmtId="0" fontId="43" fillId="0" borderId="26" xfId="39" applyFont="1" applyBorder="1" applyAlignment="1">
      <alignment horizontal="center" vertical="center" wrapText="1"/>
    </xf>
    <xf numFmtId="4" fontId="43" fillId="0" borderId="27" xfId="39" applyNumberFormat="1" applyFont="1" applyBorder="1" applyAlignment="1">
      <alignment horizontal="center" vertical="center" wrapText="1"/>
    </xf>
    <xf numFmtId="4" fontId="44" fillId="0" borderId="26" xfId="39" applyNumberFormat="1" applyFont="1" applyBorder="1" applyAlignment="1">
      <alignment horizontal="center" vertical="center" wrapText="1"/>
    </xf>
    <xf numFmtId="4" fontId="44" fillId="0" borderId="27" xfId="39" applyNumberFormat="1" applyFont="1" applyBorder="1" applyAlignment="1">
      <alignment horizontal="center" vertical="center" wrapText="1"/>
    </xf>
    <xf numFmtId="4" fontId="44" fillId="0" borderId="88" xfId="39" applyNumberFormat="1" applyFont="1" applyBorder="1" applyAlignment="1">
      <alignment horizontal="center" vertical="center" wrapText="1"/>
    </xf>
    <xf numFmtId="4" fontId="44" fillId="0" borderId="0" xfId="39" applyNumberFormat="1" applyFont="1" applyAlignment="1">
      <alignment vertical="center"/>
    </xf>
    <xf numFmtId="4" fontId="43" fillId="0" borderId="19" xfId="39" applyNumberFormat="1" applyFont="1" applyBorder="1" applyAlignment="1">
      <alignment horizontal="right" vertical="center" wrapText="1"/>
    </xf>
    <xf numFmtId="4" fontId="43" fillId="0" borderId="20" xfId="36" applyNumberFormat="1" applyFont="1" applyBorder="1" applyAlignment="1">
      <alignment vertical="center"/>
    </xf>
    <xf numFmtId="4" fontId="43" fillId="0" borderId="58" xfId="39" applyNumberFormat="1" applyFont="1" applyBorder="1" applyAlignment="1">
      <alignment horizontal="right" vertical="center" wrapText="1"/>
    </xf>
    <xf numFmtId="1" fontId="44" fillId="0" borderId="17" xfId="0" applyNumberFormat="1" applyFont="1" applyBorder="1" applyAlignment="1">
      <alignment horizontal="center" vertical="center" wrapText="1"/>
    </xf>
    <xf numFmtId="3" fontId="44" fillId="0" borderId="17" xfId="0" applyNumberFormat="1" applyFont="1" applyBorder="1" applyAlignment="1">
      <alignment horizontal="right" vertical="center" wrapText="1"/>
    </xf>
    <xf numFmtId="3" fontId="44" fillId="0" borderId="12" xfId="0" applyNumberFormat="1" applyFont="1" applyBorder="1" applyAlignment="1">
      <alignment horizontal="right" vertical="center" wrapText="1"/>
    </xf>
    <xf numFmtId="0" fontId="81" fillId="0" borderId="65" xfId="34" applyNumberFormat="1" applyFont="1" applyBorder="1" applyAlignment="1">
      <alignment horizontal="center"/>
    </xf>
    <xf numFmtId="43" fontId="81" fillId="0" borderId="17" xfId="34" applyNumberFormat="1" applyFont="1" applyBorder="1" applyAlignment="1">
      <alignment horizontal="center"/>
    </xf>
    <xf numFmtId="43" fontId="84" fillId="0" borderId="17" xfId="34" applyNumberFormat="1" applyFont="1" applyBorder="1" applyAlignment="1">
      <alignment horizontal="center"/>
    </xf>
    <xf numFmtId="43" fontId="84" fillId="0" borderId="12" xfId="34" applyNumberFormat="1" applyFont="1" applyBorder="1" applyAlignment="1">
      <alignment horizontal="center"/>
    </xf>
    <xf numFmtId="0" fontId="84" fillId="0" borderId="65" xfId="34" applyNumberFormat="1" applyFont="1" applyBorder="1" applyAlignment="1">
      <alignment horizontal="center"/>
    </xf>
    <xf numFmtId="0" fontId="87" fillId="0" borderId="14" xfId="0" applyFont="1" applyBorder="1" applyAlignment="1">
      <alignment horizontal="center"/>
    </xf>
    <xf numFmtId="0" fontId="1" fillId="0" borderId="12" xfId="0" applyFont="1" applyBorder="1"/>
    <xf numFmtId="0" fontId="1" fillId="0" borderId="25" xfId="0" applyFont="1" applyBorder="1"/>
    <xf numFmtId="0" fontId="1" fillId="0" borderId="20" xfId="0" applyFont="1" applyBorder="1"/>
    <xf numFmtId="4" fontId="29" fillId="0" borderId="52" xfId="0" applyNumberFormat="1" applyFont="1" applyBorder="1" applyAlignment="1">
      <alignment horizontal="center"/>
    </xf>
    <xf numFmtId="4" fontId="29" fillId="0" borderId="53" xfId="0" applyNumberFormat="1" applyFont="1" applyBorder="1" applyAlignment="1">
      <alignment horizontal="center"/>
    </xf>
    <xf numFmtId="4" fontId="43" fillId="0" borderId="100" xfId="0" applyNumberFormat="1" applyFont="1" applyBorder="1" applyAlignment="1">
      <alignment vertical="center"/>
    </xf>
    <xf numFmtId="4" fontId="44" fillId="0" borderId="57" xfId="0" applyNumberFormat="1" applyFont="1" applyBorder="1" applyAlignment="1">
      <alignment vertical="center"/>
    </xf>
    <xf numFmtId="4" fontId="43" fillId="0" borderId="57" xfId="0" applyNumberFormat="1" applyFont="1" applyBorder="1" applyAlignment="1">
      <alignment vertical="center"/>
    </xf>
    <xf numFmtId="4" fontId="44" fillId="0" borderId="11" xfId="0" applyNumberFormat="1" applyFont="1" applyBorder="1" applyAlignment="1">
      <alignment vertical="center"/>
    </xf>
    <xf numFmtId="4" fontId="44" fillId="0" borderId="19" xfId="0" applyNumberFormat="1" applyFont="1" applyBorder="1" applyAlignment="1">
      <alignment vertical="center"/>
    </xf>
    <xf numFmtId="174" fontId="1" fillId="0" borderId="11" xfId="34" applyNumberFormat="1" applyFont="1" applyBorder="1"/>
    <xf numFmtId="174" fontId="1" fillId="0" borderId="17" xfId="34" applyNumberFormat="1" applyFont="1" applyBorder="1"/>
    <xf numFmtId="174" fontId="1" fillId="0" borderId="48" xfId="34" applyNumberFormat="1" applyFont="1" applyBorder="1"/>
    <xf numFmtId="43" fontId="85" fillId="0" borderId="0" xfId="0" applyNumberFormat="1" applyFont="1"/>
    <xf numFmtId="43" fontId="85" fillId="0" borderId="17" xfId="0" applyNumberFormat="1" applyFont="1" applyBorder="1"/>
    <xf numFmtId="0" fontId="85" fillId="0" borderId="0" xfId="0" applyFont="1" applyAlignment="1"/>
    <xf numFmtId="0" fontId="82" fillId="0" borderId="0" xfId="0" applyFont="1" applyAlignment="1"/>
    <xf numFmtId="10" fontId="0" fillId="30" borderId="12" xfId="0" applyNumberFormat="1" applyFill="1" applyBorder="1"/>
    <xf numFmtId="10" fontId="0" fillId="0" borderId="22" xfId="0" applyNumberFormat="1" applyBorder="1"/>
    <xf numFmtId="10" fontId="0" fillId="0" borderId="12" xfId="0" applyNumberFormat="1" applyBorder="1"/>
    <xf numFmtId="0" fontId="88" fillId="0" borderId="15" xfId="0" applyFont="1" applyBorder="1" applyAlignment="1">
      <alignment vertical="center"/>
    </xf>
    <xf numFmtId="10" fontId="88" fillId="0" borderId="0" xfId="0" applyNumberFormat="1" applyFont="1" applyBorder="1" applyAlignment="1">
      <alignment horizontal="center" vertical="center"/>
    </xf>
    <xf numFmtId="1" fontId="88" fillId="0" borderId="99" xfId="0" applyNumberFormat="1" applyFont="1" applyBorder="1" applyAlignment="1">
      <alignment horizontal="center" vertical="center"/>
    </xf>
    <xf numFmtId="4" fontId="88" fillId="0" borderId="99" xfId="0" applyNumberFormat="1" applyFont="1" applyBorder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1" fillId="0" borderId="45" xfId="0" applyFont="1" applyBorder="1"/>
    <xf numFmtId="10" fontId="0" fillId="0" borderId="50" xfId="0" applyNumberFormat="1" applyBorder="1"/>
    <xf numFmtId="0" fontId="44" fillId="0" borderId="26" xfId="39" applyFont="1" applyBorder="1" applyAlignment="1">
      <alignment horizontal="center" vertical="center" wrapText="1"/>
    </xf>
    <xf numFmtId="0" fontId="43" fillId="0" borderId="26" xfId="39" applyFont="1" applyBorder="1" applyAlignment="1">
      <alignment horizontal="center" vertical="center" wrapText="1"/>
    </xf>
    <xf numFmtId="0" fontId="44" fillId="0" borderId="88" xfId="39" applyFont="1" applyBorder="1" applyAlignment="1">
      <alignment horizontal="center" vertical="center" wrapText="1"/>
    </xf>
    <xf numFmtId="4" fontId="43" fillId="0" borderId="26" xfId="39" applyNumberFormat="1" applyFont="1" applyBorder="1" applyAlignment="1">
      <alignment horizontal="center" vertical="center" wrapText="1"/>
    </xf>
    <xf numFmtId="4" fontId="43" fillId="0" borderId="88" xfId="39" applyNumberFormat="1" applyFont="1" applyBorder="1" applyAlignment="1">
      <alignment horizontal="center" vertical="center" wrapText="1"/>
    </xf>
    <xf numFmtId="0" fontId="84" fillId="0" borderId="64" xfId="34" applyNumberFormat="1" applyFont="1" applyBorder="1" applyAlignment="1">
      <alignment horizontal="center"/>
    </xf>
    <xf numFmtId="0" fontId="90" fillId="0" borderId="0" xfId="0" applyFont="1"/>
    <xf numFmtId="0" fontId="91" fillId="0" borderId="61" xfId="47" applyNumberFormat="1" applyFont="1" applyFill="1" applyBorder="1" applyAlignment="1" applyProtection="1">
      <alignment horizontal="center" vertical="center"/>
      <protection locked="0"/>
    </xf>
    <xf numFmtId="0" fontId="91" fillId="0" borderId="25" xfId="47" applyNumberFormat="1" applyFont="1" applyFill="1" applyBorder="1" applyAlignment="1" applyProtection="1">
      <alignment horizontal="center" vertical="center"/>
      <protection locked="0"/>
    </xf>
    <xf numFmtId="0" fontId="91" fillId="0" borderId="11" xfId="0" applyFont="1" applyFill="1" applyBorder="1" applyAlignment="1" applyProtection="1">
      <alignment horizontal="center" vertical="center"/>
      <protection locked="0"/>
    </xf>
    <xf numFmtId="0" fontId="91" fillId="0" borderId="14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justify" vertical="justify" wrapText="1"/>
    </xf>
    <xf numFmtId="2" fontId="30" fillId="0" borderId="0" xfId="42" applyNumberFormat="1" applyFont="1" applyFill="1" applyBorder="1" applyAlignment="1">
      <alignment horizontal="left" vertical="center" wrapText="1"/>
    </xf>
    <xf numFmtId="3" fontId="4" fillId="24" borderId="43" xfId="0" applyNumberFormat="1" applyFont="1" applyFill="1" applyBorder="1" applyAlignment="1" applyProtection="1">
      <alignment horizontal="center" vertical="center"/>
    </xf>
    <xf numFmtId="3" fontId="4" fillId="24" borderId="44" xfId="0" applyNumberFormat="1" applyFont="1" applyFill="1" applyBorder="1" applyAlignment="1" applyProtection="1">
      <alignment horizontal="center" vertical="center"/>
    </xf>
    <xf numFmtId="3" fontId="4" fillId="24" borderId="15" xfId="0" applyNumberFormat="1" applyFont="1" applyFill="1" applyBorder="1" applyAlignment="1" applyProtection="1">
      <alignment horizontal="center" vertical="center"/>
    </xf>
    <xf numFmtId="3" fontId="4" fillId="24" borderId="26" xfId="0" applyNumberFormat="1" applyFont="1" applyFill="1" applyBorder="1" applyAlignment="1" applyProtection="1">
      <alignment horizontal="center" vertical="center"/>
    </xf>
    <xf numFmtId="3" fontId="4" fillId="24" borderId="28" xfId="0" applyNumberFormat="1" applyFont="1" applyFill="1" applyBorder="1" applyAlignment="1" applyProtection="1">
      <alignment horizontal="center" vertical="center"/>
    </xf>
    <xf numFmtId="3" fontId="4" fillId="24" borderId="29" xfId="0" applyNumberFormat="1" applyFont="1" applyFill="1" applyBorder="1" applyAlignment="1" applyProtection="1">
      <alignment horizontal="center" vertical="center"/>
    </xf>
    <xf numFmtId="173" fontId="4" fillId="24" borderId="49" xfId="46" applyNumberFormat="1" applyFont="1" applyFill="1" applyBorder="1" applyAlignment="1" applyProtection="1">
      <alignment horizontal="center" vertical="center" wrapText="1"/>
    </xf>
    <xf numFmtId="173" fontId="3" fillId="24" borderId="27" xfId="46" applyNumberFormat="1" applyFont="1" applyFill="1" applyBorder="1" applyAlignment="1">
      <alignment horizontal="center" vertical="center" wrapText="1"/>
    </xf>
    <xf numFmtId="173" fontId="3" fillId="24" borderId="14" xfId="46" applyNumberFormat="1" applyFont="1" applyFill="1" applyBorder="1" applyAlignment="1">
      <alignment horizontal="center" vertical="center" wrapText="1"/>
    </xf>
    <xf numFmtId="173" fontId="4" fillId="24" borderId="101" xfId="0" applyNumberFormat="1" applyFont="1" applyFill="1" applyBorder="1" applyAlignment="1" applyProtection="1">
      <alignment horizontal="center" vertical="center"/>
    </xf>
    <xf numFmtId="173" fontId="3" fillId="24" borderId="102" xfId="0" applyNumberFormat="1" applyFont="1" applyFill="1" applyBorder="1" applyAlignment="1">
      <alignment horizontal="center" vertical="center"/>
    </xf>
    <xf numFmtId="173" fontId="3" fillId="24" borderId="103" xfId="0" applyNumberFormat="1" applyFont="1" applyFill="1" applyBorder="1" applyAlignment="1">
      <alignment horizontal="center" vertical="center"/>
    </xf>
    <xf numFmtId="3" fontId="4" fillId="0" borderId="104" xfId="0" applyNumberFormat="1" applyFont="1" applyFill="1" applyBorder="1" applyAlignment="1">
      <alignment vertical="center"/>
    </xf>
    <xf numFmtId="0" fontId="3" fillId="0" borderId="34" xfId="0" applyFont="1" applyBorder="1" applyAlignment="1">
      <alignment vertical="center"/>
    </xf>
    <xf numFmtId="173" fontId="4" fillId="0" borderId="37" xfId="0" applyNumberFormat="1" applyFont="1" applyBorder="1" applyAlignment="1">
      <alignment vertical="center"/>
    </xf>
    <xf numFmtId="173" fontId="4" fillId="0" borderId="35" xfId="0" applyNumberFormat="1" applyFont="1" applyBorder="1" applyAlignment="1">
      <alignment vertical="center"/>
    </xf>
    <xf numFmtId="3" fontId="4" fillId="0" borderId="36" xfId="0" applyNumberFormat="1" applyFont="1" applyFill="1" applyBorder="1" applyAlignment="1">
      <alignment vertical="center"/>
    </xf>
    <xf numFmtId="0" fontId="3" fillId="0" borderId="33" xfId="0" applyFont="1" applyBorder="1" applyAlignment="1">
      <alignment vertical="center"/>
    </xf>
    <xf numFmtId="173" fontId="4" fillId="0" borderId="105" xfId="0" applyNumberFormat="1" applyFont="1" applyFill="1" applyBorder="1" applyAlignment="1">
      <alignment vertical="center"/>
    </xf>
    <xf numFmtId="173" fontId="3" fillId="0" borderId="106" xfId="0" applyNumberFormat="1" applyFont="1" applyBorder="1" applyAlignment="1">
      <alignment vertical="center"/>
    </xf>
    <xf numFmtId="0" fontId="6" fillId="27" borderId="107" xfId="44" applyFont="1" applyFill="1" applyBorder="1" applyAlignment="1">
      <alignment horizontal="center" vertical="center" wrapText="1"/>
    </xf>
    <xf numFmtId="0" fontId="6" fillId="27" borderId="90" xfId="44" applyFont="1" applyFill="1" applyBorder="1" applyAlignment="1">
      <alignment horizontal="center" vertical="center" wrapText="1"/>
    </xf>
    <xf numFmtId="2" fontId="71" fillId="24" borderId="65" xfId="44" applyNumberFormat="1" applyFont="1" applyFill="1" applyBorder="1" applyAlignment="1">
      <alignment horizontal="left" vertical="center"/>
    </xf>
    <xf numFmtId="2" fontId="71" fillId="24" borderId="17" xfId="44" applyNumberFormat="1" applyFont="1" applyFill="1" applyBorder="1" applyAlignment="1">
      <alignment horizontal="left" vertical="center"/>
    </xf>
    <xf numFmtId="2" fontId="71" fillId="24" borderId="12" xfId="44" applyNumberFormat="1" applyFont="1" applyFill="1" applyBorder="1" applyAlignment="1">
      <alignment horizontal="left" vertical="center"/>
    </xf>
    <xf numFmtId="0" fontId="1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2" fontId="7" fillId="24" borderId="65" xfId="44" applyNumberFormat="1" applyFont="1" applyFill="1" applyBorder="1" applyAlignment="1">
      <alignment horizontal="left" vertical="center"/>
    </xf>
    <xf numFmtId="2" fontId="7" fillId="24" borderId="17" xfId="44" applyNumberFormat="1" applyFont="1" applyFill="1" applyBorder="1" applyAlignment="1">
      <alignment horizontal="left" vertical="center"/>
    </xf>
    <xf numFmtId="2" fontId="7" fillId="24" borderId="12" xfId="44" applyNumberFormat="1" applyFont="1" applyFill="1" applyBorder="1" applyAlignment="1">
      <alignment horizontal="left" vertical="center"/>
    </xf>
    <xf numFmtId="0" fontId="33" fillId="0" borderId="0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43" fillId="24" borderId="43" xfId="0" applyFont="1" applyFill="1" applyBorder="1" applyAlignment="1">
      <alignment horizontal="center" vertical="center"/>
    </xf>
    <xf numFmtId="0" fontId="43" fillId="24" borderId="55" xfId="0" applyFont="1" applyFill="1" applyBorder="1" applyAlignment="1">
      <alignment horizontal="center" vertical="center"/>
    </xf>
    <xf numFmtId="0" fontId="43" fillId="24" borderId="44" xfId="0" applyFont="1" applyFill="1" applyBorder="1" applyAlignment="1">
      <alignment horizontal="center" vertical="center"/>
    </xf>
    <xf numFmtId="0" fontId="43" fillId="24" borderId="49" xfId="0" applyFont="1" applyFill="1" applyBorder="1" applyAlignment="1">
      <alignment horizontal="center" vertical="center"/>
    </xf>
    <xf numFmtId="0" fontId="43" fillId="24" borderId="38" xfId="0" applyFont="1" applyFill="1" applyBorder="1" applyAlignment="1">
      <alignment horizontal="center" vertical="center"/>
    </xf>
    <xf numFmtId="0" fontId="43" fillId="24" borderId="41" xfId="0" applyFont="1" applyFill="1" applyBorder="1" applyAlignment="1">
      <alignment horizontal="center" vertical="center"/>
    </xf>
    <xf numFmtId="0" fontId="43" fillId="24" borderId="42" xfId="0" applyFont="1" applyFill="1" applyBorder="1" applyAlignment="1">
      <alignment horizontal="center" vertical="center"/>
    </xf>
    <xf numFmtId="0" fontId="43" fillId="24" borderId="54" xfId="0" applyFont="1" applyFill="1" applyBorder="1" applyAlignment="1">
      <alignment horizontal="center" vertical="center"/>
    </xf>
    <xf numFmtId="2" fontId="63" fillId="24" borderId="15" xfId="45" applyNumberFormat="1" applyFont="1" applyFill="1" applyBorder="1" applyAlignment="1">
      <alignment horizontal="left" vertical="center"/>
    </xf>
    <xf numFmtId="2" fontId="63" fillId="24" borderId="0" xfId="45" applyNumberFormat="1" applyFont="1" applyFill="1" applyBorder="1" applyAlignment="1">
      <alignment horizontal="left" vertical="center"/>
    </xf>
    <xf numFmtId="2" fontId="63" fillId="24" borderId="22" xfId="45" applyNumberFormat="1" applyFont="1" applyFill="1" applyBorder="1" applyAlignment="1">
      <alignment horizontal="left" vertical="center"/>
    </xf>
    <xf numFmtId="173" fontId="43" fillId="24" borderId="101" xfId="0" applyNumberFormat="1" applyFont="1" applyFill="1" applyBorder="1" applyAlignment="1" applyProtection="1">
      <alignment horizontal="center" vertical="center"/>
    </xf>
    <xf numFmtId="173" fontId="44" fillId="24" borderId="108" xfId="0" applyNumberFormat="1" applyFont="1" applyFill="1" applyBorder="1" applyAlignment="1">
      <alignment horizontal="center" vertical="center"/>
    </xf>
    <xf numFmtId="173" fontId="43" fillId="24" borderId="49" xfId="46" applyNumberFormat="1" applyFont="1" applyFill="1" applyBorder="1" applyAlignment="1" applyProtection="1">
      <alignment horizontal="center" vertical="center" wrapText="1"/>
    </xf>
    <xf numFmtId="173" fontId="44" fillId="24" borderId="38" xfId="46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2" fontId="45" fillId="0" borderId="45" xfId="0" applyNumberFormat="1" applyFont="1" applyBorder="1" applyAlignment="1">
      <alignment horizontal="center" vertical="center" wrapText="1"/>
    </xf>
    <xf numFmtId="0" fontId="45" fillId="0" borderId="46" xfId="0" applyFont="1" applyBorder="1" applyAlignment="1">
      <alignment horizontal="center" vertical="center" wrapText="1"/>
    </xf>
    <xf numFmtId="0" fontId="45" fillId="0" borderId="47" xfId="0" applyFont="1" applyBorder="1" applyAlignment="1">
      <alignment horizontal="center" vertical="center" wrapText="1"/>
    </xf>
    <xf numFmtId="0" fontId="45" fillId="0" borderId="45" xfId="0" applyFont="1" applyBorder="1" applyAlignment="1">
      <alignment horizontal="center" vertical="center" wrapText="1"/>
    </xf>
    <xf numFmtId="3" fontId="43" fillId="24" borderId="43" xfId="0" applyNumberFormat="1" applyFont="1" applyFill="1" applyBorder="1" applyAlignment="1" applyProtection="1">
      <alignment horizontal="center" vertical="center"/>
    </xf>
    <xf numFmtId="3" fontId="43" fillId="24" borderId="44" xfId="0" applyNumberFormat="1" applyFont="1" applyFill="1" applyBorder="1" applyAlignment="1" applyProtection="1">
      <alignment horizontal="center" vertical="center"/>
    </xf>
    <xf numFmtId="3" fontId="43" fillId="24" borderId="41" xfId="0" applyNumberFormat="1" applyFont="1" applyFill="1" applyBorder="1" applyAlignment="1" applyProtection="1">
      <alignment horizontal="center" vertical="center"/>
    </xf>
    <xf numFmtId="3" fontId="43" fillId="24" borderId="54" xfId="0" applyNumberFormat="1" applyFont="1" applyFill="1" applyBorder="1" applyAlignment="1" applyProtection="1">
      <alignment horizontal="center" vertical="center"/>
    </xf>
    <xf numFmtId="173" fontId="44" fillId="24" borderId="102" xfId="0" applyNumberFormat="1" applyFont="1" applyFill="1" applyBorder="1" applyAlignment="1">
      <alignment horizontal="center" vertical="center"/>
    </xf>
    <xf numFmtId="173" fontId="43" fillId="24" borderId="13" xfId="46" applyNumberFormat="1" applyFont="1" applyFill="1" applyBorder="1" applyAlignment="1" applyProtection="1">
      <alignment horizontal="center" vertical="center" wrapText="1"/>
    </xf>
    <xf numFmtId="173" fontId="44" fillId="24" borderId="20" xfId="46" applyNumberFormat="1" applyFont="1" applyFill="1" applyBorder="1" applyAlignment="1">
      <alignment horizontal="center" vertical="center" wrapText="1"/>
    </xf>
    <xf numFmtId="3" fontId="43" fillId="24" borderId="55" xfId="0" applyNumberFormat="1" applyFont="1" applyFill="1" applyBorder="1" applyAlignment="1" applyProtection="1">
      <alignment horizontal="center" vertical="center"/>
    </xf>
    <xf numFmtId="3" fontId="43" fillId="24" borderId="42" xfId="0" applyNumberFormat="1" applyFont="1" applyFill="1" applyBorder="1" applyAlignment="1" applyProtection="1">
      <alignment horizontal="center" vertical="center"/>
    </xf>
    <xf numFmtId="3" fontId="43" fillId="24" borderId="15" xfId="0" applyNumberFormat="1" applyFont="1" applyFill="1" applyBorder="1" applyAlignment="1" applyProtection="1">
      <alignment horizontal="center" vertical="center"/>
    </xf>
    <xf numFmtId="3" fontId="43" fillId="24" borderId="26" xfId="0" applyNumberFormat="1" applyFont="1" applyFill="1" applyBorder="1" applyAlignment="1" applyProtection="1">
      <alignment horizontal="center" vertical="center"/>
    </xf>
    <xf numFmtId="173" fontId="43" fillId="24" borderId="109" xfId="0" applyNumberFormat="1" applyFont="1" applyFill="1" applyBorder="1" applyAlignment="1" applyProtection="1">
      <alignment horizontal="center" vertical="center"/>
    </xf>
    <xf numFmtId="173" fontId="44" fillId="24" borderId="110" xfId="0" applyNumberFormat="1" applyFont="1" applyFill="1" applyBorder="1" applyAlignment="1">
      <alignment horizontal="center" vertical="center"/>
    </xf>
    <xf numFmtId="173" fontId="43" fillId="24" borderId="71" xfId="46" applyNumberFormat="1" applyFont="1" applyFill="1" applyBorder="1" applyAlignment="1" applyProtection="1">
      <alignment horizontal="center" vertical="center" wrapText="1"/>
    </xf>
    <xf numFmtId="173" fontId="44" fillId="24" borderId="69" xfId="46" applyNumberFormat="1" applyFont="1" applyFill="1" applyBorder="1" applyAlignment="1">
      <alignment horizontal="center" vertical="center" wrapText="1"/>
    </xf>
    <xf numFmtId="2" fontId="63" fillId="0" borderId="48" xfId="43" applyNumberFormat="1" applyFont="1" applyFill="1" applyBorder="1" applyAlignment="1">
      <alignment horizontal="center" vertical="center"/>
    </xf>
    <xf numFmtId="2" fontId="63" fillId="0" borderId="17" xfId="43" applyNumberFormat="1" applyFont="1" applyFill="1" applyBorder="1" applyAlignment="1">
      <alignment horizontal="center" vertical="center"/>
    </xf>
    <xf numFmtId="2" fontId="62" fillId="24" borderId="18" xfId="43" applyNumberFormat="1" applyFont="1" applyFill="1" applyBorder="1" applyAlignment="1" applyProtection="1">
      <alignment horizontal="center" vertical="center"/>
      <protection locked="0"/>
    </xf>
    <xf numFmtId="2" fontId="62" fillId="24" borderId="98" xfId="43" applyNumberFormat="1" applyFont="1" applyFill="1" applyBorder="1" applyAlignment="1" applyProtection="1">
      <alignment horizontal="center" vertical="center"/>
      <protection locked="0"/>
    </xf>
    <xf numFmtId="2" fontId="62" fillId="24" borderId="64" xfId="43" applyNumberFormat="1" applyFont="1" applyFill="1" applyBorder="1" applyAlignment="1" applyProtection="1">
      <alignment horizontal="center" vertical="center"/>
      <protection locked="0"/>
    </xf>
    <xf numFmtId="0" fontId="59" fillId="27" borderId="18" xfId="43" applyFont="1" applyFill="1" applyBorder="1" applyAlignment="1">
      <alignment horizontal="center" vertical="center" wrapText="1"/>
    </xf>
    <xf numFmtId="0" fontId="59" fillId="27" borderId="98" xfId="43" applyFont="1" applyFill="1" applyBorder="1" applyAlignment="1">
      <alignment horizontal="center" vertical="center" wrapText="1"/>
    </xf>
    <xf numFmtId="0" fontId="59" fillId="27" borderId="64" xfId="43" applyFont="1" applyFill="1" applyBorder="1" applyAlignment="1">
      <alignment horizontal="center" vertical="center" wrapText="1"/>
    </xf>
    <xf numFmtId="0" fontId="59" fillId="27" borderId="17" xfId="43" applyFont="1" applyFill="1" applyBorder="1" applyAlignment="1">
      <alignment horizontal="center" vertical="center" wrapText="1"/>
    </xf>
    <xf numFmtId="2" fontId="63" fillId="24" borderId="18" xfId="42" applyNumberFormat="1" applyFont="1" applyFill="1" applyBorder="1" applyAlignment="1">
      <alignment horizontal="center" vertical="center" wrapText="1"/>
    </xf>
    <xf numFmtId="2" fontId="63" fillId="24" borderId="98" xfId="42" applyNumberFormat="1" applyFont="1" applyFill="1" applyBorder="1" applyAlignment="1">
      <alignment horizontal="center" vertical="center" wrapText="1"/>
    </xf>
    <xf numFmtId="2" fontId="63" fillId="24" borderId="64" xfId="42" applyNumberFormat="1" applyFont="1" applyFill="1" applyBorder="1" applyAlignment="1">
      <alignment horizontal="center" vertical="center" wrapText="1"/>
    </xf>
    <xf numFmtId="167" fontId="63" fillId="0" borderId="17" xfId="43" applyNumberFormat="1" applyFont="1" applyFill="1" applyBorder="1" applyAlignment="1">
      <alignment horizontal="center" vertical="center" wrapText="1"/>
    </xf>
    <xf numFmtId="2" fontId="59" fillId="24" borderId="18" xfId="43" applyNumberFormat="1" applyFont="1" applyFill="1" applyBorder="1" applyAlignment="1">
      <alignment horizontal="center" vertical="center"/>
    </xf>
    <xf numFmtId="2" fontId="59" fillId="24" borderId="98" xfId="43" applyNumberFormat="1" applyFont="1" applyFill="1" applyBorder="1" applyAlignment="1">
      <alignment horizontal="center" vertical="center"/>
    </xf>
    <xf numFmtId="0" fontId="44" fillId="0" borderId="97" xfId="39" applyFont="1" applyBorder="1" applyAlignment="1" applyProtection="1">
      <alignment horizontal="center" vertical="center"/>
      <protection locked="0"/>
    </xf>
    <xf numFmtId="0" fontId="44" fillId="0" borderId="56" xfId="39" applyFont="1" applyBorder="1" applyAlignment="1" applyProtection="1">
      <alignment horizontal="center" vertical="center"/>
      <protection locked="0"/>
    </xf>
    <xf numFmtId="0" fontId="44" fillId="0" borderId="29" xfId="39" applyFont="1" applyBorder="1" applyAlignment="1" applyProtection="1">
      <alignment horizontal="center" vertical="center"/>
      <protection locked="0"/>
    </xf>
    <xf numFmtId="0" fontId="44" fillId="0" borderId="60" xfId="39" applyFont="1" applyBorder="1" applyAlignment="1">
      <alignment horizontal="center" vertical="center" wrapText="1"/>
    </xf>
    <xf numFmtId="0" fontId="44" fillId="0" borderId="0" xfId="39" applyFont="1" applyBorder="1" applyAlignment="1">
      <alignment horizontal="center" vertical="center" wrapText="1"/>
    </xf>
    <xf numFmtId="0" fontId="44" fillId="0" borderId="26" xfId="39" applyFont="1" applyBorder="1" applyAlignment="1">
      <alignment horizontal="center" vertical="center" wrapText="1"/>
    </xf>
    <xf numFmtId="0" fontId="44" fillId="0" borderId="97" xfId="39" applyFont="1" applyBorder="1" applyAlignment="1">
      <alignment horizontal="center" vertical="center" wrapText="1"/>
    </xf>
    <xf numFmtId="0" fontId="44" fillId="0" borderId="56" xfId="39" applyFont="1" applyBorder="1" applyAlignment="1">
      <alignment horizontal="center" vertical="center" wrapText="1"/>
    </xf>
    <xf numFmtId="0" fontId="44" fillId="0" borderId="29" xfId="39" applyFont="1" applyBorder="1" applyAlignment="1">
      <alignment horizontal="center" vertical="center" wrapText="1"/>
    </xf>
    <xf numFmtId="0" fontId="43" fillId="0" borderId="97" xfId="39" applyFont="1" applyBorder="1" applyAlignment="1">
      <alignment horizontal="center" vertical="center"/>
    </xf>
    <xf numFmtId="0" fontId="43" fillId="0" borderId="56" xfId="39" applyFont="1" applyBorder="1" applyAlignment="1">
      <alignment horizontal="center" vertical="center"/>
    </xf>
    <xf numFmtId="0" fontId="43" fillId="0" borderId="29" xfId="39" applyFont="1" applyBorder="1" applyAlignment="1">
      <alignment horizontal="center" vertical="center"/>
    </xf>
    <xf numFmtId="0" fontId="80" fillId="0" borderId="0" xfId="39" applyFont="1" applyAlignment="1">
      <alignment horizontal="left" vertical="center" wrapText="1"/>
    </xf>
    <xf numFmtId="0" fontId="43" fillId="0" borderId="18" xfId="39" applyFont="1" applyBorder="1" applyAlignment="1">
      <alignment horizontal="center" vertical="center" wrapText="1"/>
    </xf>
    <xf numFmtId="0" fontId="43" fillId="0" borderId="98" xfId="39" applyFont="1" applyBorder="1" applyAlignment="1">
      <alignment horizontal="center" vertical="center" wrapText="1"/>
    </xf>
    <xf numFmtId="0" fontId="43" fillId="0" borderId="64" xfId="39" applyFont="1" applyBorder="1" applyAlignment="1">
      <alignment horizontal="center" vertical="center" wrapText="1"/>
    </xf>
    <xf numFmtId="0" fontId="43" fillId="0" borderId="61" xfId="39" applyFont="1" applyBorder="1" applyAlignment="1">
      <alignment horizontal="center" vertical="center"/>
    </xf>
    <xf numFmtId="0" fontId="43" fillId="0" borderId="99" xfId="39" applyFont="1" applyBorder="1" applyAlignment="1">
      <alignment horizontal="center" vertical="center"/>
    </xf>
    <xf numFmtId="0" fontId="43" fillId="0" borderId="24" xfId="39" applyFont="1" applyBorder="1" applyAlignment="1">
      <alignment horizontal="center" vertical="center"/>
    </xf>
    <xf numFmtId="0" fontId="43" fillId="0" borderId="18" xfId="39" applyFont="1" applyBorder="1" applyAlignment="1">
      <alignment horizontal="center" vertical="center"/>
    </xf>
    <xf numFmtId="0" fontId="43" fillId="0" borderId="98" xfId="39" applyFont="1" applyBorder="1" applyAlignment="1">
      <alignment horizontal="center" vertical="center"/>
    </xf>
    <xf numFmtId="0" fontId="43" fillId="0" borderId="64" xfId="39" applyFont="1" applyBorder="1" applyAlignment="1">
      <alignment horizontal="center" vertical="center"/>
    </xf>
    <xf numFmtId="0" fontId="44" fillId="0" borderId="61" xfId="39" applyFont="1" applyBorder="1" applyAlignment="1">
      <alignment horizontal="center" vertical="center"/>
    </xf>
    <xf numFmtId="0" fontId="44" fillId="0" borderId="99" xfId="39" applyFont="1" applyBorder="1" applyAlignment="1">
      <alignment horizontal="center" vertical="center"/>
    </xf>
    <xf numFmtId="0" fontId="44" fillId="0" borderId="24" xfId="39" applyFont="1" applyBorder="1" applyAlignment="1">
      <alignment horizontal="center" vertical="center"/>
    </xf>
    <xf numFmtId="0" fontId="44" fillId="0" borderId="97" xfId="39" applyFont="1" applyBorder="1" applyAlignment="1">
      <alignment horizontal="center" vertical="center"/>
    </xf>
    <xf numFmtId="0" fontId="44" fillId="0" borderId="56" xfId="39" applyFont="1" applyBorder="1" applyAlignment="1">
      <alignment horizontal="center" vertical="center"/>
    </xf>
    <xf numFmtId="0" fontId="44" fillId="0" borderId="29" xfId="39" applyFont="1" applyBorder="1" applyAlignment="1">
      <alignment horizontal="center" vertical="center"/>
    </xf>
    <xf numFmtId="0" fontId="44" fillId="0" borderId="60" xfId="39" applyFont="1" applyBorder="1" applyAlignment="1" applyProtection="1">
      <alignment horizontal="center" vertical="center"/>
      <protection locked="0"/>
    </xf>
    <xf numFmtId="0" fontId="44" fillId="0" borderId="0" xfId="39" applyFont="1" applyBorder="1" applyAlignment="1" applyProtection="1">
      <alignment horizontal="center" vertical="center"/>
      <protection locked="0"/>
    </xf>
    <xf numFmtId="0" fontId="44" fillId="0" borderId="26" xfId="39" applyFont="1" applyBorder="1" applyAlignment="1" applyProtection="1">
      <alignment horizontal="center" vertical="center"/>
      <protection locked="0"/>
    </xf>
    <xf numFmtId="0" fontId="33" fillId="27" borderId="111" xfId="42" applyFont="1" applyFill="1" applyBorder="1" applyAlignment="1">
      <alignment horizontal="center" vertical="center" wrapText="1"/>
    </xf>
    <xf numFmtId="0" fontId="33" fillId="27" borderId="112" xfId="42" applyFont="1" applyFill="1" applyBorder="1" applyAlignment="1">
      <alignment horizontal="center" vertical="center" wrapText="1"/>
    </xf>
    <xf numFmtId="0" fontId="33" fillId="27" borderId="113" xfId="42" applyFont="1" applyFill="1" applyBorder="1" applyAlignment="1">
      <alignment horizontal="center" vertical="center" wrapText="1"/>
    </xf>
    <xf numFmtId="2" fontId="48" fillId="0" borderId="16" xfId="42" applyNumberFormat="1" applyFont="1" applyFill="1" applyBorder="1" applyAlignment="1">
      <alignment horizontal="center" vertical="center"/>
    </xf>
    <xf numFmtId="2" fontId="48" fillId="0" borderId="67" xfId="42" applyNumberFormat="1" applyFont="1" applyFill="1" applyBorder="1" applyAlignment="1">
      <alignment horizontal="center" vertical="center"/>
    </xf>
    <xf numFmtId="0" fontId="44" fillId="0" borderId="67" xfId="0" applyFont="1" applyBorder="1" applyAlignment="1">
      <alignment vertical="center"/>
    </xf>
    <xf numFmtId="0" fontId="44" fillId="0" borderId="95" xfId="0" applyFont="1" applyBorder="1" applyAlignment="1">
      <alignment vertical="center"/>
    </xf>
    <xf numFmtId="2" fontId="48" fillId="24" borderId="10" xfId="42" applyNumberFormat="1" applyFont="1" applyFill="1" applyBorder="1" applyAlignment="1">
      <alignment horizontal="left" vertical="center"/>
    </xf>
    <xf numFmtId="2" fontId="48" fillId="24" borderId="98" xfId="42" applyNumberFormat="1" applyFont="1" applyFill="1" applyBorder="1" applyAlignment="1">
      <alignment horizontal="left" vertical="center"/>
    </xf>
    <xf numFmtId="2" fontId="48" fillId="24" borderId="64" xfId="42" applyNumberFormat="1" applyFont="1" applyFill="1" applyBorder="1" applyAlignment="1">
      <alignment horizontal="left" vertical="center"/>
    </xf>
    <xf numFmtId="0" fontId="43" fillId="0" borderId="107" xfId="39" applyFont="1" applyBorder="1" applyAlignment="1">
      <alignment horizontal="center" vertical="center" wrapText="1"/>
    </xf>
    <xf numFmtId="0" fontId="43" fillId="0" borderId="90" xfId="39" applyFont="1" applyBorder="1" applyAlignment="1">
      <alignment horizontal="center" vertical="center" wrapText="1"/>
    </xf>
    <xf numFmtId="0" fontId="43" fillId="0" borderId="58" xfId="39" applyFont="1" applyBorder="1" applyAlignment="1">
      <alignment horizontal="center" vertical="center" wrapText="1"/>
    </xf>
    <xf numFmtId="0" fontId="43" fillId="0" borderId="19" xfId="39" applyFont="1" applyBorder="1" applyAlignment="1">
      <alignment horizontal="center" vertical="center" wrapText="1"/>
    </xf>
    <xf numFmtId="0" fontId="43" fillId="0" borderId="13" xfId="39" applyFont="1" applyBorder="1" applyAlignment="1">
      <alignment horizontal="center" vertical="center" wrapText="1"/>
    </xf>
    <xf numFmtId="173" fontId="43" fillId="0" borderId="61" xfId="36" applyNumberFormat="1" applyFont="1" applyBorder="1" applyAlignment="1" applyProtection="1">
      <alignment horizontal="center" vertical="center"/>
      <protection locked="0"/>
    </xf>
    <xf numFmtId="173" fontId="43" fillId="0" borderId="99" xfId="36" applyNumberFormat="1" applyFont="1" applyBorder="1" applyAlignment="1" applyProtection="1">
      <alignment horizontal="center" vertical="center"/>
      <protection locked="0"/>
    </xf>
    <xf numFmtId="173" fontId="43" fillId="0" borderId="24" xfId="36" applyNumberFormat="1" applyFont="1" applyBorder="1" applyAlignment="1" applyProtection="1">
      <alignment horizontal="center" vertical="center"/>
      <protection locked="0"/>
    </xf>
    <xf numFmtId="0" fontId="44" fillId="0" borderId="18" xfId="39" applyFont="1" applyFill="1" applyBorder="1" applyAlignment="1">
      <alignment horizontal="center" vertical="center"/>
    </xf>
    <xf numFmtId="0" fontId="44" fillId="0" borderId="98" xfId="39" applyFont="1" applyFill="1" applyBorder="1" applyAlignment="1">
      <alignment horizontal="center" vertical="center"/>
    </xf>
    <xf numFmtId="0" fontId="44" fillId="0" borderId="64" xfId="39" applyFont="1" applyFill="1" applyBorder="1" applyAlignment="1">
      <alignment horizontal="center" vertical="center"/>
    </xf>
    <xf numFmtId="0" fontId="44" fillId="0" borderId="0" xfId="39" applyFont="1" applyBorder="1" applyAlignment="1">
      <alignment vertical="center" wrapText="1"/>
    </xf>
    <xf numFmtId="0" fontId="43" fillId="0" borderId="16" xfId="39" applyFont="1" applyBorder="1" applyAlignment="1">
      <alignment horizontal="center" vertical="center" wrapText="1"/>
    </xf>
    <xf numFmtId="0" fontId="43" fillId="0" borderId="67" xfId="39" applyFont="1" applyBorder="1" applyAlignment="1">
      <alignment horizontal="center" vertical="center" wrapText="1"/>
    </xf>
    <xf numFmtId="0" fontId="43" fillId="0" borderId="61" xfId="39" applyFont="1" applyBorder="1" applyAlignment="1">
      <alignment horizontal="center" vertical="center" wrapText="1"/>
    </xf>
    <xf numFmtId="0" fontId="43" fillId="0" borderId="99" xfId="39" applyFont="1" applyBorder="1" applyAlignment="1">
      <alignment horizontal="center" vertical="center" wrapText="1"/>
    </xf>
    <xf numFmtId="0" fontId="43" fillId="0" borderId="24" xfId="39" applyFont="1" applyBorder="1" applyAlignment="1">
      <alignment horizontal="center" vertical="center" wrapText="1"/>
    </xf>
    <xf numFmtId="0" fontId="44" fillId="0" borderId="61" xfId="39" applyFont="1" applyBorder="1" applyAlignment="1">
      <alignment horizontal="center" vertical="center" wrapText="1"/>
    </xf>
    <xf numFmtId="0" fontId="44" fillId="0" borderId="99" xfId="39" applyFont="1" applyBorder="1" applyAlignment="1">
      <alignment horizontal="center" vertical="center" wrapText="1"/>
    </xf>
    <xf numFmtId="0" fontId="44" fillId="0" borderId="24" xfId="39" applyFont="1" applyBorder="1" applyAlignment="1">
      <alignment horizontal="center" vertical="center" wrapText="1"/>
    </xf>
    <xf numFmtId="0" fontId="43" fillId="0" borderId="60" xfId="39" applyFont="1" applyBorder="1" applyAlignment="1">
      <alignment horizontal="center" vertical="center" wrapText="1"/>
    </xf>
    <xf numFmtId="0" fontId="43" fillId="0" borderId="0" xfId="39" applyFont="1" applyBorder="1" applyAlignment="1">
      <alignment horizontal="center" vertical="center" wrapText="1"/>
    </xf>
    <xf numFmtId="0" fontId="43" fillId="0" borderId="26" xfId="39" applyFont="1" applyBorder="1" applyAlignment="1">
      <alignment horizontal="center" vertical="center" wrapText="1"/>
    </xf>
    <xf numFmtId="0" fontId="44" fillId="0" borderId="61" xfId="39" applyFont="1" applyBorder="1" applyAlignment="1" applyProtection="1">
      <alignment horizontal="center" vertical="center"/>
      <protection locked="0"/>
    </xf>
    <xf numFmtId="0" fontId="44" fillId="0" borderId="99" xfId="39" applyFont="1" applyBorder="1" applyAlignment="1" applyProtection="1">
      <alignment horizontal="center" vertical="center"/>
      <protection locked="0"/>
    </xf>
    <xf numFmtId="0" fontId="44" fillId="0" borderId="24" xfId="39" applyFont="1" applyBorder="1" applyAlignment="1" applyProtection="1">
      <alignment horizontal="center" vertical="center"/>
      <protection locked="0"/>
    </xf>
    <xf numFmtId="0" fontId="43" fillId="24" borderId="16" xfId="0" applyFont="1" applyFill="1" applyBorder="1" applyAlignment="1">
      <alignment horizontal="center" vertical="center"/>
    </xf>
    <xf numFmtId="0" fontId="43" fillId="24" borderId="67" xfId="0" applyFont="1" applyFill="1" applyBorder="1" applyAlignment="1">
      <alignment horizontal="center" vertical="center"/>
    </xf>
    <xf numFmtId="0" fontId="43" fillId="24" borderId="95" xfId="0" applyFont="1" applyFill="1" applyBorder="1" applyAlignment="1">
      <alignment horizontal="center" vertical="center"/>
    </xf>
    <xf numFmtId="0" fontId="43" fillId="24" borderId="71" xfId="0" applyFont="1" applyFill="1" applyBorder="1" applyAlignment="1">
      <alignment horizontal="center" vertical="center"/>
    </xf>
    <xf numFmtId="0" fontId="43" fillId="24" borderId="28" xfId="0" applyFont="1" applyFill="1" applyBorder="1" applyAlignment="1">
      <alignment horizontal="center" vertical="center"/>
    </xf>
    <xf numFmtId="0" fontId="43" fillId="24" borderId="56" xfId="0" applyFont="1" applyFill="1" applyBorder="1" applyAlignment="1">
      <alignment horizontal="center" vertical="center"/>
    </xf>
    <xf numFmtId="0" fontId="43" fillId="24" borderId="70" xfId="0" applyFont="1" applyFill="1" applyBorder="1" applyAlignment="1">
      <alignment horizontal="center" vertical="center"/>
    </xf>
    <xf numFmtId="0" fontId="43" fillId="0" borderId="78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78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14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/>
    </xf>
    <xf numFmtId="2" fontId="43" fillId="24" borderId="16" xfId="0" applyNumberFormat="1" applyFont="1" applyFill="1" applyBorder="1" applyAlignment="1">
      <alignment horizontal="left" vertical="center"/>
    </xf>
    <xf numFmtId="0" fontId="43" fillId="24" borderId="67" xfId="0" applyFont="1" applyFill="1" applyBorder="1" applyAlignment="1">
      <alignment horizontal="left" vertical="center"/>
    </xf>
    <xf numFmtId="0" fontId="49" fillId="0" borderId="0" xfId="38" applyFont="1" applyAlignment="1">
      <alignment horizontal="left" vertical="center" wrapText="1"/>
    </xf>
    <xf numFmtId="0" fontId="44" fillId="24" borderId="65" xfId="38" applyFont="1" applyFill="1" applyBorder="1" applyAlignment="1">
      <alignment vertical="center" wrapText="1"/>
    </xf>
    <xf numFmtId="0" fontId="44" fillId="24" borderId="17" xfId="38" applyFont="1" applyFill="1" applyBorder="1" applyAlignment="1">
      <alignment vertical="center" wrapText="1"/>
    </xf>
    <xf numFmtId="0" fontId="44" fillId="24" borderId="12" xfId="38" applyFont="1" applyFill="1" applyBorder="1" applyAlignment="1">
      <alignment vertical="center" wrapText="1"/>
    </xf>
    <xf numFmtId="0" fontId="43" fillId="0" borderId="65" xfId="38" applyFont="1" applyBorder="1" applyAlignment="1">
      <alignment horizontal="center" vertical="center" wrapText="1"/>
    </xf>
    <xf numFmtId="0" fontId="43" fillId="0" borderId="17" xfId="38" applyFont="1" applyBorder="1" applyAlignment="1">
      <alignment horizontal="center" vertical="center" wrapText="1"/>
    </xf>
    <xf numFmtId="0" fontId="43" fillId="0" borderId="12" xfId="38" applyFont="1" applyBorder="1" applyAlignment="1">
      <alignment horizontal="center" vertical="center" wrapText="1"/>
    </xf>
    <xf numFmtId="0" fontId="43" fillId="27" borderId="107" xfId="42" applyFont="1" applyFill="1" applyBorder="1" applyAlignment="1">
      <alignment horizontal="center" vertical="center" wrapText="1"/>
    </xf>
    <xf numFmtId="0" fontId="43" fillId="27" borderId="90" xfId="42" applyFont="1" applyFill="1" applyBorder="1" applyAlignment="1">
      <alignment horizontal="center" vertical="center" wrapText="1"/>
    </xf>
    <xf numFmtId="1" fontId="43" fillId="27" borderId="90" xfId="42" applyNumberFormat="1" applyFont="1" applyFill="1" applyBorder="1" applyAlignment="1">
      <alignment horizontal="center" vertical="center" wrapText="1"/>
    </xf>
    <xf numFmtId="1" fontId="43" fillId="27" borderId="13" xfId="42" applyNumberFormat="1" applyFont="1" applyFill="1" applyBorder="1" applyAlignment="1">
      <alignment horizontal="center" vertical="center" wrapText="1"/>
    </xf>
    <xf numFmtId="2" fontId="48" fillId="0" borderId="65" xfId="42" applyNumberFormat="1" applyFont="1" applyFill="1" applyBorder="1" applyAlignment="1">
      <alignment horizontal="center" vertical="center" wrapText="1"/>
    </xf>
    <xf numFmtId="2" fontId="48" fillId="0" borderId="17" xfId="42" applyNumberFormat="1" applyFont="1" applyFill="1" applyBorder="1" applyAlignment="1">
      <alignment horizontal="center" vertical="center" wrapText="1"/>
    </xf>
    <xf numFmtId="2" fontId="48" fillId="0" borderId="12" xfId="42" applyNumberFormat="1" applyFont="1" applyFill="1" applyBorder="1" applyAlignment="1">
      <alignment horizontal="center" vertical="center" wrapText="1"/>
    </xf>
    <xf numFmtId="2" fontId="48" fillId="24" borderId="65" xfId="42" applyNumberFormat="1" applyFont="1" applyFill="1" applyBorder="1" applyAlignment="1">
      <alignment horizontal="center" vertical="center" wrapText="1"/>
    </xf>
    <xf numFmtId="2" fontId="48" fillId="24" borderId="17" xfId="42" applyNumberFormat="1" applyFont="1" applyFill="1" applyBorder="1" applyAlignment="1">
      <alignment horizontal="center" vertical="center" wrapText="1"/>
    </xf>
    <xf numFmtId="2" fontId="33" fillId="24" borderId="17" xfId="43" applyNumberFormat="1" applyFont="1" applyFill="1" applyBorder="1" applyAlignment="1">
      <alignment horizontal="center" vertical="center" wrapText="1"/>
    </xf>
    <xf numFmtId="2" fontId="33" fillId="24" borderId="12" xfId="43" applyNumberFormat="1" applyFont="1" applyFill="1" applyBorder="1" applyAlignment="1">
      <alignment horizontal="center" vertical="center" wrapText="1"/>
    </xf>
    <xf numFmtId="173" fontId="44" fillId="0" borderId="114" xfId="0" applyNumberFormat="1" applyFont="1" applyBorder="1" applyAlignment="1" applyProtection="1">
      <alignment horizontal="left" vertical="center" wrapText="1"/>
      <protection locked="0"/>
    </xf>
    <xf numFmtId="173" fontId="44" fillId="0" borderId="115" xfId="0" applyNumberFormat="1" applyFont="1" applyBorder="1" applyAlignment="1" applyProtection="1">
      <alignment horizontal="left" vertical="center" wrapText="1"/>
      <protection locked="0"/>
    </xf>
    <xf numFmtId="173" fontId="43" fillId="0" borderId="114" xfId="0" applyNumberFormat="1" applyFont="1" applyBorder="1" applyAlignment="1" applyProtection="1">
      <alignment horizontal="center" vertical="center" wrapText="1"/>
      <protection locked="0"/>
    </xf>
    <xf numFmtId="173" fontId="43" fillId="0" borderId="115" xfId="0" applyNumberFormat="1" applyFont="1" applyBorder="1" applyAlignment="1" applyProtection="1">
      <alignment horizontal="center" vertical="center" wrapText="1"/>
      <protection locked="0"/>
    </xf>
    <xf numFmtId="2" fontId="48" fillId="0" borderId="10" xfId="42" applyNumberFormat="1" applyFont="1" applyFill="1" applyBorder="1" applyAlignment="1">
      <alignment horizontal="center" vertical="center" wrapText="1"/>
    </xf>
    <xf numFmtId="2" fontId="48" fillId="0" borderId="98" xfId="42" applyNumberFormat="1" applyFont="1" applyFill="1" applyBorder="1" applyAlignment="1">
      <alignment horizontal="center" vertical="center" wrapText="1"/>
    </xf>
    <xf numFmtId="2" fontId="48" fillId="0" borderId="63" xfId="42" applyNumberFormat="1" applyFont="1" applyFill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0" fontId="43" fillId="0" borderId="116" xfId="0" applyFont="1" applyBorder="1" applyAlignment="1">
      <alignment horizontal="center" vertical="center" wrapText="1"/>
    </xf>
    <xf numFmtId="0" fontId="43" fillId="0" borderId="117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173" fontId="44" fillId="0" borderId="114" xfId="0" applyNumberFormat="1" applyFont="1" applyBorder="1" applyAlignment="1" applyProtection="1">
      <alignment horizontal="center" vertical="center" wrapText="1"/>
      <protection locked="0"/>
    </xf>
    <xf numFmtId="173" fontId="44" fillId="0" borderId="115" xfId="0" applyNumberFormat="1" applyFont="1" applyBorder="1" applyAlignment="1" applyProtection="1">
      <alignment horizontal="center" vertical="center" wrapText="1"/>
      <protection locked="0"/>
    </xf>
    <xf numFmtId="173" fontId="50" fillId="0" borderId="118" xfId="0" applyNumberFormat="1" applyFont="1" applyBorder="1" applyAlignment="1" applyProtection="1">
      <alignment horizontal="center" vertical="center" wrapText="1"/>
      <protection locked="0"/>
    </xf>
    <xf numFmtId="173" fontId="50" fillId="0" borderId="72" xfId="0" applyNumberFormat="1" applyFont="1" applyBorder="1" applyAlignment="1" applyProtection="1">
      <alignment horizontal="center" vertical="center" wrapText="1"/>
      <protection locked="0"/>
    </xf>
    <xf numFmtId="173" fontId="50" fillId="0" borderId="73" xfId="0" applyNumberFormat="1" applyFont="1" applyBorder="1" applyAlignment="1" applyProtection="1">
      <alignment horizontal="center" vertical="center" wrapText="1"/>
      <protection locked="0"/>
    </xf>
    <xf numFmtId="0" fontId="49" fillId="0" borderId="0" xfId="0" applyFont="1" applyBorder="1" applyAlignment="1">
      <alignment horizontal="left" vertical="center" wrapText="1"/>
    </xf>
    <xf numFmtId="173" fontId="43" fillId="0" borderId="119" xfId="0" applyNumberFormat="1" applyFont="1" applyBorder="1" applyAlignment="1" applyProtection="1">
      <alignment horizontal="center" vertical="center" wrapText="1"/>
      <protection locked="0"/>
    </xf>
    <xf numFmtId="173" fontId="43" fillId="0" borderId="120" xfId="0" applyNumberFormat="1" applyFont="1" applyBorder="1" applyAlignment="1" applyProtection="1">
      <alignment horizontal="center" vertical="center" wrapText="1"/>
      <protection locked="0"/>
    </xf>
    <xf numFmtId="0" fontId="50" fillId="0" borderId="0" xfId="0" applyFont="1" applyBorder="1" applyAlignment="1">
      <alignment horizontal="left" vertical="center" wrapText="1"/>
    </xf>
    <xf numFmtId="0" fontId="51" fillId="0" borderId="114" xfId="0" applyFont="1" applyBorder="1" applyAlignment="1" applyProtection="1">
      <alignment horizontal="center" vertical="center" wrapText="1"/>
      <protection locked="0"/>
    </xf>
    <xf numFmtId="0" fontId="51" fillId="0" borderId="115" xfId="0" applyFont="1" applyBorder="1" applyAlignment="1" applyProtection="1">
      <alignment horizontal="center" vertical="center" wrapText="1"/>
      <protection locked="0"/>
    </xf>
    <xf numFmtId="0" fontId="50" fillId="0" borderId="118" xfId="0" applyFont="1" applyBorder="1" applyAlignment="1">
      <alignment horizontal="center" vertical="center" wrapText="1"/>
    </xf>
    <xf numFmtId="0" fontId="50" fillId="0" borderId="72" xfId="0" applyFont="1" applyBorder="1" applyAlignment="1">
      <alignment horizontal="center" vertical="center" wrapText="1"/>
    </xf>
    <xf numFmtId="0" fontId="50" fillId="0" borderId="73" xfId="0" applyFont="1" applyBorder="1" applyAlignment="1">
      <alignment horizontal="center" vertical="center" wrapText="1"/>
    </xf>
    <xf numFmtId="0" fontId="43" fillId="27" borderId="45" xfId="42" applyFont="1" applyFill="1" applyBorder="1" applyAlignment="1">
      <alignment horizontal="center" vertical="center" wrapText="1"/>
    </xf>
    <xf numFmtId="0" fontId="43" fillId="27" borderId="46" xfId="42" applyFont="1" applyFill="1" applyBorder="1" applyAlignment="1">
      <alignment horizontal="center" vertical="center" wrapText="1"/>
    </xf>
    <xf numFmtId="0" fontId="43" fillId="27" borderId="47" xfId="42" applyFont="1" applyFill="1" applyBorder="1" applyAlignment="1">
      <alignment horizontal="center" vertical="center" wrapText="1"/>
    </xf>
    <xf numFmtId="2" fontId="48" fillId="24" borderId="45" xfId="42" applyNumberFormat="1" applyFont="1" applyFill="1" applyBorder="1" applyAlignment="1">
      <alignment horizontal="center" vertical="center" wrapText="1"/>
    </xf>
    <xf numFmtId="2" fontId="48" fillId="24" borderId="46" xfId="42" applyNumberFormat="1" applyFont="1" applyFill="1" applyBorder="1" applyAlignment="1">
      <alignment horizontal="center" vertical="center" wrapText="1"/>
    </xf>
    <xf numFmtId="2" fontId="48" fillId="24" borderId="47" xfId="42" applyNumberFormat="1" applyFont="1" applyFill="1" applyBorder="1" applyAlignment="1">
      <alignment horizontal="center" vertical="center" wrapText="1"/>
    </xf>
    <xf numFmtId="2" fontId="33" fillId="24" borderId="45" xfId="43" applyNumberFormat="1" applyFont="1" applyFill="1" applyBorder="1" applyAlignment="1">
      <alignment horizontal="center" vertical="center" wrapText="1"/>
    </xf>
    <xf numFmtId="2" fontId="33" fillId="24" borderId="47" xfId="43" applyNumberFormat="1" applyFont="1" applyFill="1" applyBorder="1" applyAlignment="1">
      <alignment horizontal="center" vertical="center" wrapText="1"/>
    </xf>
    <xf numFmtId="1" fontId="43" fillId="27" borderId="45" xfId="42" applyNumberFormat="1" applyFont="1" applyFill="1" applyBorder="1" applyAlignment="1">
      <alignment horizontal="center" vertical="center" wrapText="1"/>
    </xf>
    <xf numFmtId="1" fontId="43" fillId="27" borderId="47" xfId="42" applyNumberFormat="1" applyFont="1" applyFill="1" applyBorder="1" applyAlignment="1">
      <alignment horizontal="center" vertical="center" wrapText="1"/>
    </xf>
    <xf numFmtId="2" fontId="48" fillId="0" borderId="28" xfId="42" applyNumberFormat="1" applyFont="1" applyFill="1" applyBorder="1" applyAlignment="1">
      <alignment horizontal="center" vertical="center" wrapText="1"/>
    </xf>
    <xf numFmtId="2" fontId="48" fillId="0" borderId="56" xfId="42" applyNumberFormat="1" applyFont="1" applyFill="1" applyBorder="1" applyAlignment="1">
      <alignment horizontal="center" vertical="center" wrapText="1"/>
    </xf>
    <xf numFmtId="2" fontId="48" fillId="0" borderId="70" xfId="42" applyNumberFormat="1" applyFont="1" applyFill="1" applyBorder="1" applyAlignment="1">
      <alignment horizontal="center" vertical="center" wrapText="1"/>
    </xf>
    <xf numFmtId="0" fontId="4" fillId="27" borderId="111" xfId="42" applyFont="1" applyFill="1" applyBorder="1" applyAlignment="1">
      <alignment horizontal="center" vertical="center" wrapText="1"/>
    </xf>
    <xf numFmtId="0" fontId="4" fillId="27" borderId="112" xfId="42" applyFont="1" applyFill="1" applyBorder="1" applyAlignment="1">
      <alignment horizontal="center" vertical="center" wrapText="1"/>
    </xf>
    <xf numFmtId="0" fontId="4" fillId="27" borderId="113" xfId="42" applyFont="1" applyFill="1" applyBorder="1" applyAlignment="1">
      <alignment horizontal="center" vertical="center" wrapText="1"/>
    </xf>
    <xf numFmtId="2" fontId="30" fillId="24" borderId="10" xfId="42" applyNumberFormat="1" applyFont="1" applyFill="1" applyBorder="1" applyAlignment="1">
      <alignment horizontal="left" vertical="center" wrapText="1"/>
    </xf>
    <xf numFmtId="2" fontId="30" fillId="24" borderId="98" xfId="42" applyNumberFormat="1" applyFont="1" applyFill="1" applyBorder="1" applyAlignment="1">
      <alignment horizontal="left" vertical="center" wrapText="1"/>
    </xf>
    <xf numFmtId="2" fontId="30" fillId="24" borderId="64" xfId="42" applyNumberFormat="1" applyFont="1" applyFill="1" applyBorder="1" applyAlignment="1">
      <alignment horizontal="left" vertical="center" wrapText="1"/>
    </xf>
    <xf numFmtId="2" fontId="30" fillId="0" borderId="10" xfId="42" applyNumberFormat="1" applyFont="1" applyFill="1" applyBorder="1" applyAlignment="1">
      <alignment horizontal="center" vertical="center"/>
    </xf>
    <xf numFmtId="2" fontId="30" fillId="0" borderId="98" xfId="42" applyNumberFormat="1" applyFont="1" applyFill="1" applyBorder="1" applyAlignment="1">
      <alignment horizontal="center" vertical="center"/>
    </xf>
    <xf numFmtId="2" fontId="30" fillId="0" borderId="63" xfId="42" applyNumberFormat="1" applyFont="1" applyFill="1" applyBorder="1" applyAlignment="1">
      <alignment horizontal="center" vertical="center"/>
    </xf>
    <xf numFmtId="0" fontId="44" fillId="0" borderId="0" xfId="0" quotePrefix="1" applyFont="1" applyAlignment="1">
      <alignment horizontal="left" vertical="center"/>
    </xf>
    <xf numFmtId="0" fontId="43" fillId="0" borderId="15" xfId="47" applyFont="1" applyFill="1" applyBorder="1" applyAlignment="1" applyProtection="1">
      <alignment horizontal="center" vertical="center"/>
    </xf>
    <xf numFmtId="0" fontId="43" fillId="0" borderId="0" xfId="47" applyFont="1" applyFill="1" applyBorder="1" applyAlignment="1" applyProtection="1">
      <alignment horizontal="center" vertical="center"/>
    </xf>
    <xf numFmtId="0" fontId="43" fillId="0" borderId="22" xfId="47" applyFont="1" applyFill="1" applyBorder="1" applyAlignment="1" applyProtection="1">
      <alignment horizontal="center" vertical="center"/>
    </xf>
    <xf numFmtId="0" fontId="44" fillId="0" borderId="0" xfId="0" quotePrefix="1" applyFont="1" applyAlignment="1">
      <alignment horizontal="left" vertical="center" wrapText="1"/>
    </xf>
    <xf numFmtId="1" fontId="48" fillId="24" borderId="90" xfId="43" applyNumberFormat="1" applyFont="1" applyFill="1" applyBorder="1" applyAlignment="1" applyProtection="1">
      <alignment horizontal="center" vertical="center"/>
    </xf>
    <xf numFmtId="1" fontId="48" fillId="24" borderId="13" xfId="43" applyNumberFormat="1" applyFont="1" applyFill="1" applyBorder="1" applyAlignment="1" applyProtection="1">
      <alignment horizontal="center" vertical="center"/>
    </xf>
    <xf numFmtId="2" fontId="48" fillId="24" borderId="62" xfId="43" applyNumberFormat="1" applyFont="1" applyFill="1" applyBorder="1" applyAlignment="1" applyProtection="1">
      <alignment horizontal="center" vertical="center" wrapText="1"/>
    </xf>
    <xf numFmtId="2" fontId="48" fillId="24" borderId="67" xfId="43" applyNumberFormat="1" applyFont="1" applyFill="1" applyBorder="1" applyAlignment="1" applyProtection="1">
      <alignment horizontal="center" vertical="center" wrapText="1"/>
    </xf>
    <xf numFmtId="2" fontId="48" fillId="24" borderId="95" xfId="43" applyNumberFormat="1" applyFont="1" applyFill="1" applyBorder="1" applyAlignment="1" applyProtection="1">
      <alignment horizontal="center" vertical="center" wrapText="1"/>
    </xf>
    <xf numFmtId="2" fontId="48" fillId="24" borderId="16" xfId="43" applyNumberFormat="1" applyFont="1" applyFill="1" applyBorder="1" applyAlignment="1" applyProtection="1">
      <alignment horizontal="center" vertical="center"/>
    </xf>
    <xf numFmtId="2" fontId="48" fillId="24" borderId="67" xfId="43" applyNumberFormat="1" applyFont="1" applyFill="1" applyBorder="1" applyAlignment="1" applyProtection="1">
      <alignment horizontal="center" vertical="center"/>
    </xf>
    <xf numFmtId="0" fontId="43" fillId="27" borderId="111" xfId="43" applyFont="1" applyFill="1" applyBorder="1" applyAlignment="1" applyProtection="1">
      <alignment horizontal="center" vertical="center" wrapText="1"/>
    </xf>
    <xf numFmtId="0" fontId="43" fillId="27" borderId="112" xfId="43" applyFont="1" applyFill="1" applyBorder="1" applyAlignment="1" applyProtection="1">
      <alignment horizontal="center" vertical="center" wrapText="1"/>
    </xf>
    <xf numFmtId="0" fontId="44" fillId="0" borderId="42" xfId="0" applyFont="1" applyBorder="1" applyAlignment="1">
      <alignment horizontal="left" vertical="center"/>
    </xf>
    <xf numFmtId="0" fontId="44" fillId="0" borderId="69" xfId="0" applyFont="1" applyBorder="1" applyAlignment="1">
      <alignment horizontal="left" vertical="center"/>
    </xf>
    <xf numFmtId="0" fontId="43" fillId="0" borderId="43" xfId="0" applyFont="1" applyBorder="1" applyAlignment="1">
      <alignment horizontal="center" vertical="center"/>
    </xf>
    <xf numFmtId="0" fontId="43" fillId="0" borderId="55" xfId="0" applyFont="1" applyBorder="1" applyAlignment="1">
      <alignment horizontal="center" vertical="center"/>
    </xf>
    <xf numFmtId="0" fontId="43" fillId="0" borderId="71" xfId="0" applyFont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  <xf numFmtId="0" fontId="43" fillId="0" borderId="42" xfId="0" applyFont="1" applyBorder="1" applyAlignment="1">
      <alignment horizontal="center" vertical="center"/>
    </xf>
    <xf numFmtId="0" fontId="43" fillId="0" borderId="69" xfId="0" applyFont="1" applyBorder="1" applyAlignment="1">
      <alignment horizontal="center" vertical="center"/>
    </xf>
    <xf numFmtId="0" fontId="43" fillId="38" borderId="15" xfId="0" applyFont="1" applyFill="1" applyBorder="1" applyAlignment="1">
      <alignment horizontal="left" vertical="center"/>
    </xf>
    <xf numFmtId="0" fontId="43" fillId="38" borderId="0" xfId="0" applyFont="1" applyFill="1" applyBorder="1" applyAlignment="1">
      <alignment horizontal="left" vertical="center"/>
    </xf>
    <xf numFmtId="0" fontId="43" fillId="38" borderId="22" xfId="0" applyFont="1" applyFill="1" applyBorder="1" applyAlignment="1">
      <alignment horizontal="left" vertical="center"/>
    </xf>
    <xf numFmtId="0" fontId="44" fillId="0" borderId="0" xfId="0" applyFont="1" applyBorder="1" applyAlignment="1">
      <alignment horizontal="left" vertical="center"/>
    </xf>
    <xf numFmtId="0" fontId="44" fillId="0" borderId="22" xfId="0" applyFont="1" applyBorder="1" applyAlignment="1">
      <alignment horizontal="left" vertical="center"/>
    </xf>
    <xf numFmtId="0" fontId="43" fillId="24" borderId="121" xfId="0" applyFont="1" applyFill="1" applyBorder="1" applyAlignment="1">
      <alignment horizontal="center" vertical="center"/>
    </xf>
    <xf numFmtId="0" fontId="43" fillId="24" borderId="68" xfId="0" applyFont="1" applyFill="1" applyBorder="1" applyAlignment="1">
      <alignment horizontal="center" vertical="center"/>
    </xf>
    <xf numFmtId="2" fontId="43" fillId="24" borderId="45" xfId="0" applyNumberFormat="1" applyFont="1" applyFill="1" applyBorder="1" applyAlignment="1">
      <alignment horizontal="left" vertical="center"/>
    </xf>
    <xf numFmtId="0" fontId="43" fillId="24" borderId="46" xfId="0" applyFont="1" applyFill="1" applyBorder="1" applyAlignment="1">
      <alignment horizontal="left" vertical="center"/>
    </xf>
    <xf numFmtId="0" fontId="43" fillId="24" borderId="47" xfId="0" applyFont="1" applyFill="1" applyBorder="1" applyAlignment="1">
      <alignment horizontal="left" vertical="center"/>
    </xf>
    <xf numFmtId="0" fontId="43" fillId="24" borderId="69" xfId="0" applyFont="1" applyFill="1" applyBorder="1" applyAlignment="1">
      <alignment horizontal="center" vertical="center"/>
    </xf>
    <xf numFmtId="0" fontId="43" fillId="0" borderId="121" xfId="0" applyFont="1" applyBorder="1" applyAlignment="1">
      <alignment horizontal="center" vertical="center" wrapText="1"/>
    </xf>
    <xf numFmtId="0" fontId="43" fillId="0" borderId="41" xfId="0" applyFont="1" applyBorder="1" applyAlignment="1">
      <alignment horizontal="center" vertical="center" wrapText="1"/>
    </xf>
    <xf numFmtId="0" fontId="43" fillId="24" borderId="42" xfId="0" applyFont="1" applyFill="1" applyBorder="1" applyAlignment="1">
      <alignment horizontal="center" vertical="center" wrapText="1"/>
    </xf>
    <xf numFmtId="0" fontId="43" fillId="24" borderId="69" xfId="0" applyFont="1" applyFill="1" applyBorder="1" applyAlignment="1">
      <alignment horizontal="center" vertical="center" wrapText="1"/>
    </xf>
    <xf numFmtId="0" fontId="43" fillId="0" borderId="43" xfId="0" applyFont="1" applyBorder="1" applyAlignment="1">
      <alignment horizontal="center" vertical="center" wrapText="1"/>
    </xf>
    <xf numFmtId="0" fontId="43" fillId="0" borderId="122" xfId="0" applyFont="1" applyBorder="1" applyAlignment="1">
      <alignment horizontal="center" vertical="center"/>
    </xf>
    <xf numFmtId="0" fontId="43" fillId="0" borderId="112" xfId="0" applyFont="1" applyBorder="1" applyAlignment="1">
      <alignment horizontal="center" vertical="center"/>
    </xf>
    <xf numFmtId="0" fontId="43" fillId="0" borderId="92" xfId="0" applyFont="1" applyBorder="1" applyAlignment="1">
      <alignment horizontal="center" vertical="center"/>
    </xf>
    <xf numFmtId="0" fontId="44" fillId="0" borderId="18" xfId="48" applyNumberFormat="1" applyFont="1" applyFill="1" applyBorder="1" applyAlignment="1">
      <alignment horizontal="center" vertical="center" wrapText="1"/>
    </xf>
    <xf numFmtId="0" fontId="44" fillId="0" borderId="64" xfId="48" applyNumberFormat="1" applyFont="1" applyFill="1" applyBorder="1" applyAlignment="1">
      <alignment horizontal="center" vertical="center" wrapText="1"/>
    </xf>
    <xf numFmtId="0" fontId="44" fillId="0" borderId="45" xfId="48" applyNumberFormat="1" applyFont="1" applyBorder="1" applyAlignment="1" applyProtection="1">
      <alignment horizontal="center" vertical="center"/>
      <protection locked="0"/>
    </xf>
    <xf numFmtId="0" fontId="44" fillId="0" borderId="47" xfId="48" applyNumberFormat="1" applyFont="1" applyBorder="1" applyAlignment="1" applyProtection="1">
      <alignment horizontal="center" vertical="center"/>
      <protection locked="0"/>
    </xf>
    <xf numFmtId="0" fontId="44" fillId="0" borderId="61" xfId="48" applyNumberFormat="1" applyFont="1" applyFill="1" applyBorder="1" applyAlignment="1">
      <alignment horizontal="center" vertical="center" wrapText="1"/>
    </xf>
    <xf numFmtId="0" fontId="44" fillId="0" borderId="24" xfId="48" applyNumberFormat="1" applyFont="1" applyFill="1" applyBorder="1" applyAlignment="1">
      <alignment horizontal="center" vertical="center" wrapText="1"/>
    </xf>
    <xf numFmtId="0" fontId="44" fillId="0" borderId="18" xfId="48" applyNumberFormat="1" applyFont="1" applyBorder="1" applyAlignment="1" applyProtection="1">
      <alignment horizontal="center" vertical="center"/>
      <protection locked="0"/>
    </xf>
    <xf numFmtId="0" fontId="44" fillId="0" borderId="63" xfId="48" applyNumberFormat="1" applyFont="1" applyBorder="1" applyAlignment="1" applyProtection="1">
      <alignment horizontal="center" vertical="center"/>
      <protection locked="0"/>
    </xf>
    <xf numFmtId="0" fontId="44" fillId="0" borderId="64" xfId="48" applyNumberFormat="1" applyFont="1" applyBorder="1" applyAlignment="1" applyProtection="1">
      <alignment horizontal="center" vertical="center"/>
      <protection locked="0"/>
    </xf>
    <xf numFmtId="4" fontId="44" fillId="0" borderId="17" xfId="48" applyNumberFormat="1" applyFont="1" applyFill="1" applyBorder="1" applyAlignment="1">
      <alignment horizontal="center" vertical="center" wrapText="1"/>
    </xf>
    <xf numFmtId="0" fontId="44" fillId="0" borderId="98" xfId="48" applyNumberFormat="1" applyFont="1" applyBorder="1" applyAlignment="1" applyProtection="1">
      <alignment horizontal="center" vertical="center"/>
      <protection locked="0"/>
    </xf>
    <xf numFmtId="0" fontId="43" fillId="0" borderId="18" xfId="48" applyFont="1" applyFill="1" applyBorder="1" applyAlignment="1">
      <alignment horizontal="center" vertical="center" wrapText="1"/>
    </xf>
    <xf numFmtId="0" fontId="43" fillId="0" borderId="64" xfId="48" applyFont="1" applyFill="1" applyBorder="1" applyAlignment="1">
      <alignment horizontal="center" vertical="center" wrapText="1"/>
    </xf>
    <xf numFmtId="0" fontId="43" fillId="0" borderId="61" xfId="48" applyFont="1" applyFill="1" applyBorder="1" applyAlignment="1">
      <alignment horizontal="center" vertical="center" wrapText="1"/>
    </xf>
    <xf numFmtId="0" fontId="43" fillId="0" borderId="24" xfId="48" applyFont="1" applyFill="1" applyBorder="1" applyAlignment="1">
      <alignment horizontal="center" vertical="center" wrapText="1"/>
    </xf>
    <xf numFmtId="0" fontId="43" fillId="0" borderId="97" xfId="48" applyFont="1" applyFill="1" applyBorder="1" applyAlignment="1">
      <alignment horizontal="center" vertical="center" wrapText="1"/>
    </xf>
    <xf numFmtId="0" fontId="43" fillId="0" borderId="29" xfId="48" applyFont="1" applyFill="1" applyBorder="1" applyAlignment="1">
      <alignment horizontal="center" vertical="center" wrapText="1"/>
    </xf>
    <xf numFmtId="0" fontId="43" fillId="0" borderId="17" xfId="48" applyFont="1" applyFill="1" applyBorder="1" applyAlignment="1">
      <alignment horizontal="center" vertical="center" wrapText="1"/>
    </xf>
    <xf numFmtId="0" fontId="43" fillId="0" borderId="12" xfId="48" applyFont="1" applyFill="1" applyBorder="1" applyAlignment="1">
      <alignment horizontal="center" vertical="center" wrapText="1"/>
    </xf>
    <xf numFmtId="0" fontId="43" fillId="0" borderId="48" xfId="48" applyFont="1" applyFill="1" applyBorder="1" applyAlignment="1">
      <alignment horizontal="center" vertical="center" wrapText="1"/>
    </xf>
    <xf numFmtId="0" fontId="43" fillId="0" borderId="11" xfId="48" applyFont="1" applyFill="1" applyBorder="1" applyAlignment="1">
      <alignment horizontal="center" vertical="center" wrapText="1"/>
    </xf>
    <xf numFmtId="0" fontId="43" fillId="0" borderId="98" xfId="48" applyFont="1" applyFill="1" applyBorder="1" applyAlignment="1">
      <alignment horizontal="center" vertical="center" wrapText="1"/>
    </xf>
    <xf numFmtId="4" fontId="44" fillId="0" borderId="18" xfId="48" applyNumberFormat="1" applyFont="1" applyFill="1" applyBorder="1" applyAlignment="1">
      <alignment horizontal="center" vertical="center" wrapText="1"/>
    </xf>
    <xf numFmtId="4" fontId="44" fillId="0" borderId="98" xfId="48" applyNumberFormat="1" applyFont="1" applyFill="1" applyBorder="1" applyAlignment="1">
      <alignment horizontal="center" vertical="center" wrapText="1"/>
    </xf>
    <xf numFmtId="4" fontId="44" fillId="0" borderId="64" xfId="48" applyNumberFormat="1" applyFont="1" applyFill="1" applyBorder="1" applyAlignment="1">
      <alignment horizontal="center" vertical="center" wrapText="1"/>
    </xf>
    <xf numFmtId="0" fontId="45" fillId="0" borderId="65" xfId="48" applyFont="1" applyFill="1" applyBorder="1" applyAlignment="1">
      <alignment horizontal="center" vertical="center" wrapText="1"/>
    </xf>
    <xf numFmtId="0" fontId="45" fillId="0" borderId="17" xfId="48" applyFont="1" applyFill="1" applyBorder="1" applyAlignment="1">
      <alignment horizontal="center" vertical="center" wrapText="1"/>
    </xf>
    <xf numFmtId="0" fontId="45" fillId="0" borderId="12" xfId="48" applyFont="1" applyFill="1" applyBorder="1" applyAlignment="1">
      <alignment horizontal="center" vertical="center" wrapText="1"/>
    </xf>
    <xf numFmtId="0" fontId="43" fillId="0" borderId="65" xfId="48" applyFont="1" applyFill="1" applyBorder="1" applyAlignment="1">
      <alignment horizontal="center" vertical="center" wrapText="1"/>
    </xf>
    <xf numFmtId="4" fontId="44" fillId="0" borderId="10" xfId="48" applyNumberFormat="1" applyFont="1" applyBorder="1" applyAlignment="1">
      <alignment horizontal="center" vertical="center"/>
    </xf>
    <xf numFmtId="4" fontId="44" fillId="0" borderId="98" xfId="48" applyNumberFormat="1" applyFont="1" applyBorder="1" applyAlignment="1">
      <alignment horizontal="center" vertical="center"/>
    </xf>
    <xf numFmtId="4" fontId="44" fillId="0" borderId="64" xfId="48" applyNumberFormat="1" applyFont="1" applyBorder="1" applyAlignment="1">
      <alignment horizontal="center" vertical="center"/>
    </xf>
    <xf numFmtId="1" fontId="48" fillId="24" borderId="45" xfId="43" applyNumberFormat="1" applyFont="1" applyFill="1" applyBorder="1" applyAlignment="1">
      <alignment horizontal="center" vertical="center"/>
    </xf>
    <xf numFmtId="1" fontId="48" fillId="24" borderId="47" xfId="43" applyNumberFormat="1" applyFont="1" applyFill="1" applyBorder="1" applyAlignment="1">
      <alignment horizontal="center" vertical="center"/>
    </xf>
    <xf numFmtId="0" fontId="45" fillId="0" borderId="28" xfId="48" applyFont="1" applyFill="1" applyBorder="1" applyAlignment="1">
      <alignment horizontal="center" vertical="center" wrapText="1"/>
    </xf>
    <xf numFmtId="0" fontId="45" fillId="0" borderId="56" xfId="48" applyFont="1" applyFill="1" applyBorder="1" applyAlignment="1">
      <alignment horizontal="center" vertical="center" wrapText="1"/>
    </xf>
    <xf numFmtId="0" fontId="45" fillId="0" borderId="70" xfId="48" applyFont="1" applyFill="1" applyBorder="1" applyAlignment="1">
      <alignment horizontal="center" vertical="center" wrapText="1"/>
    </xf>
    <xf numFmtId="0" fontId="43" fillId="0" borderId="63" xfId="48" applyFont="1" applyFill="1" applyBorder="1" applyAlignment="1">
      <alignment horizontal="center" vertical="center" wrapText="1"/>
    </xf>
    <xf numFmtId="2" fontId="48" fillId="24" borderId="45" xfId="43" applyNumberFormat="1" applyFont="1" applyFill="1" applyBorder="1" applyAlignment="1">
      <alignment horizontal="center" vertical="center"/>
    </xf>
    <xf numFmtId="2" fontId="48" fillId="24" borderId="46" xfId="43" applyNumberFormat="1" applyFont="1" applyFill="1" applyBorder="1" applyAlignment="1">
      <alignment horizontal="center" vertical="center"/>
    </xf>
    <xf numFmtId="2" fontId="48" fillId="24" borderId="47" xfId="43" applyNumberFormat="1" applyFont="1" applyFill="1" applyBorder="1" applyAlignment="1">
      <alignment horizontal="center" vertical="center"/>
    </xf>
    <xf numFmtId="0" fontId="43" fillId="0" borderId="10" xfId="48" applyFont="1" applyFill="1" applyBorder="1" applyAlignment="1">
      <alignment horizontal="center" vertical="center" wrapText="1"/>
    </xf>
    <xf numFmtId="0" fontId="43" fillId="27" borderId="45" xfId="43" applyFont="1" applyFill="1" applyBorder="1" applyAlignment="1">
      <alignment horizontal="center" vertical="center" wrapText="1"/>
    </xf>
    <xf numFmtId="0" fontId="43" fillId="27" borderId="46" xfId="43" applyFont="1" applyFill="1" applyBorder="1" applyAlignment="1">
      <alignment horizontal="center" vertical="center" wrapText="1"/>
    </xf>
    <xf numFmtId="0" fontId="43" fillId="27" borderId="47" xfId="43" applyFont="1" applyFill="1" applyBorder="1" applyAlignment="1">
      <alignment horizontal="center" vertical="center" wrapText="1"/>
    </xf>
    <xf numFmtId="0" fontId="6" fillId="27" borderId="111" xfId="43" applyFont="1" applyFill="1" applyBorder="1" applyAlignment="1">
      <alignment horizontal="center" vertical="center" wrapText="1"/>
    </xf>
    <xf numFmtId="0" fontId="6" fillId="27" borderId="112" xfId="43" applyFont="1" applyFill="1" applyBorder="1" applyAlignment="1">
      <alignment horizontal="center" vertical="center" wrapText="1"/>
    </xf>
    <xf numFmtId="0" fontId="6" fillId="27" borderId="113" xfId="43" applyFont="1" applyFill="1" applyBorder="1" applyAlignment="1">
      <alignment horizontal="center" vertical="center" wrapText="1"/>
    </xf>
    <xf numFmtId="2" fontId="7" fillId="24" borderId="23" xfId="43" applyNumberFormat="1" applyFont="1" applyFill="1" applyBorder="1" applyAlignment="1">
      <alignment horizontal="left" vertical="center" wrapText="1"/>
    </xf>
    <xf numFmtId="2" fontId="7" fillId="24" borderId="99" xfId="43" applyNumberFormat="1" applyFont="1" applyFill="1" applyBorder="1" applyAlignment="1">
      <alignment horizontal="left" vertical="center" wrapText="1"/>
    </xf>
    <xf numFmtId="2" fontId="7" fillId="24" borderId="24" xfId="43" applyNumberFormat="1" applyFont="1" applyFill="1" applyBorder="1" applyAlignment="1">
      <alignment horizontal="left" vertical="center" wrapText="1"/>
    </xf>
    <xf numFmtId="0" fontId="4" fillId="0" borderId="45" xfId="40" applyFont="1" applyBorder="1" applyAlignment="1">
      <alignment horizontal="center"/>
    </xf>
    <xf numFmtId="0" fontId="4" fillId="0" borderId="46" xfId="40" applyFont="1" applyBorder="1" applyAlignment="1">
      <alignment horizontal="center"/>
    </xf>
    <xf numFmtId="0" fontId="4" fillId="0" borderId="47" xfId="40" applyFont="1" applyBorder="1" applyAlignment="1">
      <alignment horizontal="center"/>
    </xf>
    <xf numFmtId="0" fontId="4" fillId="0" borderId="11" xfId="40" applyFont="1" applyBorder="1" applyAlignment="1">
      <alignment horizontal="center"/>
    </xf>
    <xf numFmtId="0" fontId="4" fillId="0" borderId="17" xfId="40" applyFont="1" applyBorder="1" applyAlignment="1">
      <alignment horizontal="center"/>
    </xf>
    <xf numFmtId="0" fontId="13" fillId="0" borderId="62" xfId="40" applyFont="1" applyBorder="1" applyAlignment="1">
      <alignment horizontal="center"/>
    </xf>
    <xf numFmtId="0" fontId="13" fillId="0" borderId="123" xfId="40" applyFont="1" applyBorder="1" applyAlignment="1">
      <alignment horizontal="center"/>
    </xf>
    <xf numFmtId="0" fontId="43" fillId="0" borderId="78" xfId="48" applyFont="1" applyFill="1" applyBorder="1" applyAlignment="1">
      <alignment horizontal="center" vertical="center" wrapText="1"/>
    </xf>
    <xf numFmtId="0" fontId="43" fillId="0" borderId="14" xfId="48" applyFont="1" applyFill="1" applyBorder="1" applyAlignment="1">
      <alignment horizontal="center" vertical="center" wrapText="1"/>
    </xf>
    <xf numFmtId="0" fontId="43" fillId="0" borderId="66" xfId="48" applyFont="1" applyFill="1" applyBorder="1" applyAlignment="1">
      <alignment horizontal="center" vertical="center" wrapText="1"/>
    </xf>
    <xf numFmtId="0" fontId="33" fillId="24" borderId="121" xfId="0" applyFont="1" applyFill="1" applyBorder="1" applyAlignment="1">
      <alignment horizontal="center" vertical="center"/>
    </xf>
    <xf numFmtId="0" fontId="33" fillId="24" borderId="68" xfId="0" applyFont="1" applyFill="1" applyBorder="1" applyAlignment="1">
      <alignment horizontal="center" vertical="center"/>
    </xf>
    <xf numFmtId="0" fontId="33" fillId="24" borderId="43" xfId="0" applyFont="1" applyFill="1" applyBorder="1" applyAlignment="1">
      <alignment horizontal="center" vertical="center"/>
    </xf>
    <xf numFmtId="0" fontId="33" fillId="24" borderId="55" xfId="0" applyFont="1" applyFill="1" applyBorder="1" applyAlignment="1">
      <alignment horizontal="center" vertical="center"/>
    </xf>
    <xf numFmtId="0" fontId="33" fillId="24" borderId="15" xfId="0" applyFont="1" applyFill="1" applyBorder="1" applyAlignment="1">
      <alignment horizontal="center" vertical="center"/>
    </xf>
    <xf numFmtId="0" fontId="33" fillId="24" borderId="0" xfId="0" applyFont="1" applyFill="1" applyBorder="1" applyAlignment="1">
      <alignment horizontal="center" vertical="center"/>
    </xf>
    <xf numFmtId="2" fontId="33" fillId="24" borderId="45" xfId="0" applyNumberFormat="1" applyFont="1" applyFill="1" applyBorder="1" applyAlignment="1">
      <alignment horizontal="left" vertical="center"/>
    </xf>
    <xf numFmtId="0" fontId="33" fillId="24" borderId="46" xfId="0" applyFont="1" applyFill="1" applyBorder="1" applyAlignment="1">
      <alignment horizontal="left" vertical="center"/>
    </xf>
    <xf numFmtId="0" fontId="33" fillId="24" borderId="47" xfId="0" applyFont="1" applyFill="1" applyBorder="1" applyAlignment="1">
      <alignment horizontal="left" vertical="center"/>
    </xf>
    <xf numFmtId="0" fontId="44" fillId="0" borderId="0" xfId="0" applyFont="1" applyBorder="1" applyAlignment="1">
      <alignment horizontal="right" vertical="center" wrapText="1"/>
    </xf>
    <xf numFmtId="0" fontId="44" fillId="0" borderId="0" xfId="0" applyFont="1" applyBorder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54" fillId="0" borderId="15" xfId="0" applyFont="1" applyBorder="1" applyAlignment="1">
      <alignment horizontal="left" vertical="center"/>
    </xf>
    <xf numFmtId="0" fontId="54" fillId="0" borderId="0" xfId="0" applyFont="1" applyBorder="1" applyAlignment="1">
      <alignment horizontal="left" vertical="center"/>
    </xf>
    <xf numFmtId="0" fontId="44" fillId="0" borderId="10" xfId="0" applyFont="1" applyBorder="1" applyAlignment="1">
      <alignment horizontal="left" vertical="center"/>
    </xf>
    <xf numFmtId="0" fontId="44" fillId="0" borderId="98" xfId="0" applyFont="1" applyBorder="1" applyAlignment="1">
      <alignment horizontal="left" vertical="center"/>
    </xf>
    <xf numFmtId="0" fontId="44" fillId="0" borderId="64" xfId="0" applyFont="1" applyBorder="1" applyAlignment="1">
      <alignment horizontal="left" vertical="center"/>
    </xf>
    <xf numFmtId="0" fontId="43" fillId="0" borderId="50" xfId="0" applyFont="1" applyBorder="1" applyAlignment="1">
      <alignment horizontal="center" vertical="center" wrapText="1"/>
    </xf>
    <xf numFmtId="0" fontId="43" fillId="0" borderId="71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44" fillId="0" borderId="23" xfId="0" applyFont="1" applyBorder="1" applyAlignment="1">
      <alignment vertical="center" wrapText="1"/>
    </xf>
    <xf numFmtId="0" fontId="44" fillId="0" borderId="99" xfId="0" applyFont="1" applyBorder="1" applyAlignment="1">
      <alignment vertical="center" wrapText="1"/>
    </xf>
    <xf numFmtId="0" fontId="44" fillId="0" borderId="124" xfId="0" applyFont="1" applyBorder="1" applyAlignment="1">
      <alignment vertical="center" wrapText="1"/>
    </xf>
    <xf numFmtId="0" fontId="44" fillId="0" borderId="15" xfId="0" applyFont="1" applyBorder="1" applyAlignment="1">
      <alignment vertical="center" wrapText="1"/>
    </xf>
    <xf numFmtId="0" fontId="44" fillId="0" borderId="0" xfId="0" applyFont="1" applyBorder="1" applyAlignment="1">
      <alignment vertical="center" wrapText="1"/>
    </xf>
    <xf numFmtId="0" fontId="44" fillId="0" borderId="22" xfId="0" applyFont="1" applyBorder="1" applyAlignment="1">
      <alignment vertical="center" wrapText="1"/>
    </xf>
    <xf numFmtId="0" fontId="44" fillId="0" borderId="28" xfId="0" applyFont="1" applyBorder="1" applyAlignment="1">
      <alignment vertical="center" wrapText="1"/>
    </xf>
    <xf numFmtId="0" fontId="44" fillId="0" borderId="56" xfId="0" applyFont="1" applyBorder="1" applyAlignment="1">
      <alignment vertical="center" wrapText="1"/>
    </xf>
    <xf numFmtId="0" fontId="44" fillId="0" borderId="70" xfId="0" applyFont="1" applyBorder="1" applyAlignment="1">
      <alignment vertical="center" wrapText="1"/>
    </xf>
    <xf numFmtId="0" fontId="44" fillId="0" borderId="15" xfId="0" applyFont="1" applyBorder="1" applyAlignment="1">
      <alignment horizontal="left" vertical="center" wrapText="1"/>
    </xf>
    <xf numFmtId="0" fontId="44" fillId="0" borderId="26" xfId="0" applyFont="1" applyBorder="1" applyAlignment="1">
      <alignment horizontal="left" vertical="center" wrapText="1"/>
    </xf>
    <xf numFmtId="0" fontId="44" fillId="0" borderId="0" xfId="0" applyFont="1" applyBorder="1" applyAlignment="1">
      <alignment horizontal="left" vertical="center" wrapText="1"/>
    </xf>
    <xf numFmtId="0" fontId="43" fillId="0" borderId="41" xfId="0" applyFont="1" applyBorder="1" applyAlignment="1">
      <alignment horizontal="left" vertical="center" wrapText="1"/>
    </xf>
    <xf numFmtId="0" fontId="43" fillId="0" borderId="54" xfId="0" applyFont="1" applyBorder="1" applyAlignment="1">
      <alignment horizontal="left" vertical="center" wrapText="1"/>
    </xf>
    <xf numFmtId="0" fontId="43" fillId="0" borderId="45" xfId="0" applyFont="1" applyBorder="1" applyAlignment="1">
      <alignment horizontal="left" vertical="center" wrapText="1"/>
    </xf>
    <xf numFmtId="0" fontId="43" fillId="0" borderId="46" xfId="0" applyFont="1" applyBorder="1" applyAlignment="1">
      <alignment horizontal="left" vertical="center" wrapText="1"/>
    </xf>
    <xf numFmtId="0" fontId="43" fillId="0" borderId="47" xfId="0" applyFont="1" applyBorder="1" applyAlignment="1">
      <alignment horizontal="left" vertical="center" wrapText="1"/>
    </xf>
    <xf numFmtId="0" fontId="43" fillId="0" borderId="42" xfId="0" applyFont="1" applyBorder="1" applyAlignment="1">
      <alignment horizontal="left" vertical="center" wrapText="1"/>
    </xf>
    <xf numFmtId="0" fontId="43" fillId="0" borderId="45" xfId="0" applyFont="1" applyBorder="1" applyAlignment="1">
      <alignment horizontal="center" vertical="center"/>
    </xf>
    <xf numFmtId="0" fontId="43" fillId="0" borderId="46" xfId="0" applyFont="1" applyBorder="1" applyAlignment="1">
      <alignment horizontal="center" vertical="center"/>
    </xf>
    <xf numFmtId="0" fontId="43" fillId="0" borderId="47" xfId="0" applyFont="1" applyBorder="1" applyAlignment="1">
      <alignment horizontal="center" vertical="center"/>
    </xf>
    <xf numFmtId="0" fontId="81" fillId="0" borderId="0" xfId="0" applyFont="1" applyBorder="1" applyAlignment="1">
      <alignment horizontal="left"/>
    </xf>
    <xf numFmtId="0" fontId="81" fillId="0" borderId="51" xfId="0" applyFont="1" applyBorder="1" applyAlignment="1">
      <alignment horizontal="center" vertical="center" wrapText="1"/>
    </xf>
    <xf numFmtId="0" fontId="81" fillId="0" borderId="53" xfId="0" applyFont="1" applyBorder="1" applyAlignment="1">
      <alignment horizontal="center" vertical="center" wrapText="1"/>
    </xf>
    <xf numFmtId="0" fontId="81" fillId="0" borderId="45" xfId="0" applyFont="1" applyBorder="1" applyAlignment="1">
      <alignment horizontal="center" vertical="center" wrapText="1"/>
    </xf>
    <xf numFmtId="0" fontId="81" fillId="0" borderId="46" xfId="0" applyFont="1" applyBorder="1" applyAlignment="1">
      <alignment horizontal="center" vertical="center" wrapText="1"/>
    </xf>
    <xf numFmtId="0" fontId="81" fillId="0" borderId="47" xfId="0" applyFont="1" applyBorder="1" applyAlignment="1">
      <alignment horizontal="center" vertical="center" wrapText="1"/>
    </xf>
    <xf numFmtId="2" fontId="48" fillId="0" borderId="45" xfId="42" applyNumberFormat="1" applyFont="1" applyFill="1" applyBorder="1" applyAlignment="1">
      <alignment horizontal="center" vertical="center"/>
    </xf>
    <xf numFmtId="2" fontId="48" fillId="0" borderId="46" xfId="42" applyNumberFormat="1" applyFont="1" applyFill="1" applyBorder="1" applyAlignment="1">
      <alignment horizontal="center" vertical="center"/>
    </xf>
    <xf numFmtId="2" fontId="48" fillId="0" borderId="47" xfId="42" applyNumberFormat="1" applyFont="1" applyFill="1" applyBorder="1" applyAlignment="1">
      <alignment horizontal="center" vertical="center"/>
    </xf>
    <xf numFmtId="0" fontId="43" fillId="27" borderId="111" xfId="42" applyFont="1" applyFill="1" applyBorder="1" applyAlignment="1">
      <alignment horizontal="center" vertical="center" wrapText="1"/>
    </xf>
    <xf numFmtId="0" fontId="43" fillId="27" borderId="112" xfId="42" applyFont="1" applyFill="1" applyBorder="1" applyAlignment="1">
      <alignment horizontal="center" vertical="center" wrapText="1"/>
    </xf>
    <xf numFmtId="0" fontId="43" fillId="27" borderId="113" xfId="42" applyFont="1" applyFill="1" applyBorder="1" applyAlignment="1">
      <alignment horizontal="center" vertical="center" wrapText="1"/>
    </xf>
    <xf numFmtId="2" fontId="48" fillId="24" borderId="10" xfId="42" applyNumberFormat="1" applyFont="1" applyFill="1" applyBorder="1" applyAlignment="1">
      <alignment horizontal="center" vertical="center" wrapText="1"/>
    </xf>
    <xf numFmtId="0" fontId="44" fillId="0" borderId="98" xfId="0" applyFont="1" applyBorder="1"/>
    <xf numFmtId="0" fontId="44" fillId="0" borderId="64" xfId="0" applyFont="1" applyBorder="1"/>
    <xf numFmtId="2" fontId="48" fillId="0" borderId="10" xfId="42" applyNumberFormat="1" applyFont="1" applyFill="1" applyBorder="1" applyAlignment="1">
      <alignment horizontal="center" vertical="center"/>
    </xf>
    <xf numFmtId="2" fontId="48" fillId="0" borderId="98" xfId="42" applyNumberFormat="1" applyFont="1" applyFill="1" applyBorder="1" applyAlignment="1">
      <alignment horizontal="center" vertical="center"/>
    </xf>
    <xf numFmtId="2" fontId="48" fillId="0" borderId="63" xfId="42" applyNumberFormat="1" applyFont="1" applyFill="1" applyBorder="1" applyAlignment="1">
      <alignment horizontal="center" vertical="center"/>
    </xf>
    <xf numFmtId="0" fontId="43" fillId="0" borderId="10" xfId="0" applyFont="1" applyFill="1" applyBorder="1" applyAlignment="1" applyProtection="1">
      <alignment horizontal="center" vertical="center"/>
      <protection locked="0"/>
    </xf>
    <xf numFmtId="0" fontId="43" fillId="0" borderId="64" xfId="0" applyFont="1" applyFill="1" applyBorder="1" applyAlignment="1" applyProtection="1">
      <alignment horizontal="center" vertical="center"/>
      <protection locked="0"/>
    </xf>
    <xf numFmtId="0" fontId="43" fillId="0" borderId="18" xfId="0" applyFont="1" applyFill="1" applyBorder="1" applyAlignment="1" applyProtection="1">
      <alignment horizontal="center" vertical="center"/>
      <protection locked="0"/>
    </xf>
    <xf numFmtId="0" fontId="43" fillId="0" borderId="63" xfId="0" applyFont="1" applyFill="1" applyBorder="1" applyAlignment="1" applyProtection="1">
      <alignment horizontal="center" vertical="center"/>
      <protection locked="0"/>
    </xf>
    <xf numFmtId="0" fontId="44" fillId="0" borderId="0" xfId="0" applyFont="1" applyAlignment="1">
      <alignment horizontal="left"/>
    </xf>
    <xf numFmtId="0" fontId="43" fillId="0" borderId="28" xfId="0" applyFont="1" applyFill="1" applyBorder="1" applyAlignment="1" applyProtection="1">
      <alignment horizontal="center" vertical="center"/>
      <protection locked="0"/>
    </xf>
    <xf numFmtId="0" fontId="43" fillId="0" borderId="29" xfId="0" applyFont="1" applyFill="1" applyBorder="1" applyAlignment="1" applyProtection="1">
      <alignment horizontal="center" vertical="center"/>
      <protection locked="0"/>
    </xf>
    <xf numFmtId="0" fontId="43" fillId="0" borderId="97" xfId="0" applyFont="1" applyFill="1" applyBorder="1" applyAlignment="1" applyProtection="1">
      <alignment horizontal="center" vertical="center"/>
      <protection locked="0"/>
    </xf>
    <xf numFmtId="0" fontId="43" fillId="0" borderId="70" xfId="0" applyFont="1" applyFill="1" applyBorder="1" applyAlignment="1" applyProtection="1">
      <alignment horizontal="center" vertical="center"/>
      <protection locked="0"/>
    </xf>
    <xf numFmtId="2" fontId="48" fillId="24" borderId="98" xfId="42" applyNumberFormat="1" applyFont="1" applyFill="1" applyBorder="1" applyAlignment="1">
      <alignment horizontal="center" vertical="center" wrapText="1"/>
    </xf>
    <xf numFmtId="2" fontId="48" fillId="24" borderId="64" xfId="42" applyNumberFormat="1" applyFont="1" applyFill="1" applyBorder="1" applyAlignment="1">
      <alignment horizontal="center" vertical="center" wrapText="1"/>
    </xf>
    <xf numFmtId="0" fontId="44" fillId="0" borderId="98" xfId="0" applyFont="1" applyBorder="1" applyAlignment="1">
      <alignment vertical="center"/>
    </xf>
    <xf numFmtId="0" fontId="44" fillId="0" borderId="63" xfId="0" applyFont="1" applyBorder="1" applyAlignment="1">
      <alignment vertical="center"/>
    </xf>
    <xf numFmtId="0" fontId="43" fillId="0" borderId="58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  <xf numFmtId="0" fontId="44" fillId="0" borderId="20" xfId="0" applyFont="1" applyBorder="1" applyAlignment="1">
      <alignment horizontal="center" vertical="center"/>
    </xf>
    <xf numFmtId="0" fontId="44" fillId="0" borderId="60" xfId="0" applyFont="1" applyBorder="1" applyAlignment="1">
      <alignment horizontal="center" vertical="center"/>
    </xf>
    <xf numFmtId="0" fontId="44" fillId="0" borderId="97" xfId="0" applyFont="1" applyBorder="1" applyAlignment="1">
      <alignment horizontal="center" vertical="center"/>
    </xf>
    <xf numFmtId="0" fontId="44" fillId="0" borderId="70" xfId="0" applyFont="1" applyBorder="1" applyAlignment="1">
      <alignment horizontal="center" vertical="center"/>
    </xf>
    <xf numFmtId="0" fontId="33" fillId="0" borderId="79" xfId="0" applyFont="1" applyBorder="1" applyAlignment="1">
      <alignment horizontal="center" vertical="center"/>
    </xf>
    <xf numFmtId="0" fontId="33" fillId="0" borderId="59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 wrapText="1"/>
    </xf>
    <xf numFmtId="0" fontId="43" fillId="0" borderId="52" xfId="0" applyFont="1" applyBorder="1" applyAlignment="1">
      <alignment horizontal="center" vertical="center" wrapText="1"/>
    </xf>
    <xf numFmtId="0" fontId="43" fillId="0" borderId="51" xfId="0" applyFont="1" applyBorder="1" applyAlignment="1">
      <alignment horizontal="left" vertical="center"/>
    </xf>
    <xf numFmtId="0" fontId="43" fillId="0" borderId="52" xfId="0" applyFont="1" applyBorder="1" applyAlignment="1">
      <alignment horizontal="left" vertical="center"/>
    </xf>
    <xf numFmtId="0" fontId="43" fillId="0" borderId="59" xfId="0" applyFont="1" applyBorder="1" applyAlignment="1">
      <alignment horizontal="center" vertical="center"/>
    </xf>
    <xf numFmtId="0" fontId="43" fillId="0" borderId="38" xfId="0" applyFont="1" applyBorder="1" applyAlignment="1">
      <alignment horizontal="center" vertical="center"/>
    </xf>
    <xf numFmtId="0" fontId="44" fillId="0" borderId="125" xfId="0" applyFont="1" applyBorder="1" applyAlignment="1">
      <alignment horizontal="center" vertical="center"/>
    </xf>
    <xf numFmtId="0" fontId="44" fillId="0" borderId="71" xfId="0" applyFont="1" applyBorder="1" applyAlignment="1">
      <alignment horizontal="center" vertical="center"/>
    </xf>
    <xf numFmtId="0" fontId="0" fillId="39" borderId="12" xfId="0" applyFill="1" applyBorder="1"/>
    <xf numFmtId="0" fontId="0" fillId="39" borderId="22" xfId="0" applyFill="1" applyBorder="1"/>
    <xf numFmtId="4" fontId="43" fillId="39" borderId="12" xfId="0" applyNumberFormat="1" applyFont="1" applyFill="1" applyBorder="1" applyAlignment="1">
      <alignment vertical="center"/>
    </xf>
  </cellXfs>
  <cellStyles count="6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Euro 2" xfId="32"/>
    <cellStyle name="Incorrecto" xfId="33" builtinId="27" customBuiltin="1"/>
    <cellStyle name="Millares" xfId="34" builtinId="3"/>
    <cellStyle name="Millares [0]" xfId="35" builtinId="6"/>
    <cellStyle name="Moneda" xfId="36" builtinId="4"/>
    <cellStyle name="Neutral" xfId="37" builtinId="28" customBuiltin="1"/>
    <cellStyle name="Normal" xfId="0" builtinId="0"/>
    <cellStyle name="Normal 2" xfId="38"/>
    <cellStyle name="Normal 2_PAIF 2017. Modelo Ordinario (Normal)" xfId="39"/>
    <cellStyle name="Normal 3" xfId="40"/>
    <cellStyle name="Normal_1CF-94 (2)" xfId="41"/>
    <cellStyle name="Normal_AGBOD-94" xfId="42"/>
    <cellStyle name="Normal_AGBOD-94 2" xfId="43"/>
    <cellStyle name="Normal_AGBOD-94_PLANTILLAS EPEL+INTEGRA+MAYORITARIA" xfId="44"/>
    <cellStyle name="Normal_AGBOD-94_PLANTILLAS EPEL+INTEGRA+MAYORITARIA_PAIF 2017. Modelo Ordinario (Normal)" xfId="45"/>
    <cellStyle name="Normal_CONSOLIDADO-2002" xfId="46"/>
    <cellStyle name="Normal_CS-96" xfId="47"/>
    <cellStyle name="Normal_CS-96_PAIF EMPRESAS PARA ENVIAR" xfId="48"/>
    <cellStyle name="Normal_PF1-INV_1. CASINO TAORO PAIF 2009" xfId="49"/>
    <cellStyle name="Normal_PYG96" xfId="50"/>
    <cellStyle name="Notas" xfId="51" builtinId="10" customBuiltin="1"/>
    <cellStyle name="Porcentual" xfId="52" builtinId="5"/>
    <cellStyle name="Salida" xfId="53" builtinId="21" customBuiltin="1"/>
    <cellStyle name="Texto de advertencia" xfId="54" builtinId="11" customBuiltin="1"/>
    <cellStyle name="Texto explicativo" xfId="55" builtinId="53" customBuiltin="1"/>
    <cellStyle name="Título" xfId="56" builtinId="15" customBuiltin="1"/>
    <cellStyle name="Título 1" xfId="57" builtinId="16" customBuiltin="1"/>
    <cellStyle name="Título 2" xfId="58" builtinId="17" customBuiltin="1"/>
    <cellStyle name="Título 3" xfId="59" builtinId="18" customBuiltin="1"/>
    <cellStyle name="Total" xfId="60" builtinId="25" customBuiltin="1"/>
    <cellStyle name="Währung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1114425</xdr:colOff>
      <xdr:row>89</xdr:row>
      <xdr:rowOff>85725</xdr:rowOff>
    </xdr:from>
    <xdr:to>
      <xdr:col>4</xdr:col>
      <xdr:colOff>1123950</xdr:colOff>
      <xdr:row>90</xdr:row>
      <xdr:rowOff>9525</xdr:rowOff>
    </xdr:to>
    <xdr:sp macro="" textlink="">
      <xdr:nvSpPr>
        <xdr:cNvPr id="8281" name="Text Box 1"/>
        <xdr:cNvSpPr txBox="1">
          <a:spLocks noChangeArrowheads="1"/>
        </xdr:cNvSpPr>
      </xdr:nvSpPr>
      <xdr:spPr bwMode="auto">
        <a:xfrm>
          <a:off x="8963025" y="23736300"/>
          <a:ext cx="9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onde\Documents\2016\INVOLCAN-2016\Involcan-PAIF%202016-2017\IVC-PAIF%202017%20Modelo%20oficial-Borrador%20(john)%20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rsonal"/>
      <sheetName val="PD 2017 (Personal)"/>
      <sheetName val="LF 2017 (Personal)"/>
      <sheetName val="LT 2017 (Personal)"/>
      <sheetName val="PRESTACIONES Y GASTOS SOCIALES"/>
      <sheetName val="COMPARATIVA 2016-2017"/>
      <sheetName val="RR.HH. 2016 ESTIMACION"/>
    </sheetNames>
    <sheetDataSet>
      <sheetData sheetId="0" refreshError="1"/>
      <sheetData sheetId="1" refreshError="1"/>
      <sheetData sheetId="2">
        <row r="10">
          <cell r="M10">
            <v>22493.397399999998</v>
          </cell>
        </row>
      </sheetData>
      <sheetData sheetId="3">
        <row r="10">
          <cell r="M10">
            <v>8426.7397999999994</v>
          </cell>
        </row>
        <row r="11">
          <cell r="M11">
            <v>16853.479599999999</v>
          </cell>
        </row>
        <row r="14">
          <cell r="B14">
            <v>10</v>
          </cell>
          <cell r="E14">
            <v>120536.4</v>
          </cell>
        </row>
        <row r="15">
          <cell r="B15">
            <v>1</v>
          </cell>
          <cell r="E15">
            <v>12885</v>
          </cell>
        </row>
        <row r="16">
          <cell r="B16">
            <v>3</v>
          </cell>
          <cell r="E16">
            <v>76731.360000000001</v>
          </cell>
        </row>
      </sheetData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ntrol" Target="../activeX/activeX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  <pageSetUpPr fitToPage="1"/>
  </sheetPr>
  <dimension ref="A1:J100"/>
  <sheetViews>
    <sheetView topLeftCell="A69" workbookViewId="0">
      <selection activeCell="F88" sqref="F88"/>
    </sheetView>
  </sheetViews>
  <sheetFormatPr baseColWidth="10" defaultColWidth="11.42578125" defaultRowHeight="12.75"/>
  <cols>
    <col min="1" max="1" width="4.28515625" style="2" customWidth="1"/>
    <col min="2" max="2" width="37.28515625" style="2" bestFit="1" customWidth="1"/>
    <col min="3" max="3" width="20.140625" style="14" customWidth="1"/>
    <col min="4" max="4" width="15.5703125" style="2" customWidth="1"/>
    <col min="5" max="5" width="17.85546875" style="2" customWidth="1"/>
    <col min="6" max="8" width="11.42578125" style="2"/>
    <col min="9" max="9" width="13.7109375" style="2" customWidth="1"/>
    <col min="10" max="16384" width="11.42578125" style="2"/>
  </cols>
  <sheetData>
    <row r="1" spans="1:10" s="4" customFormat="1">
      <c r="A1" s="4" t="s">
        <v>659</v>
      </c>
      <c r="C1" s="15"/>
    </row>
    <row r="2" spans="1:10" s="4" customFormat="1">
      <c r="A2" s="4" t="s">
        <v>658</v>
      </c>
      <c r="C2" s="15"/>
    </row>
    <row r="5" spans="1:10">
      <c r="A5" s="917">
        <f>CPYG!A2</f>
        <v>0</v>
      </c>
      <c r="B5" s="917"/>
      <c r="C5" s="917"/>
      <c r="D5" s="917"/>
    </row>
    <row r="7" spans="1:10" ht="13.5" thickBot="1"/>
    <row r="8" spans="1:10">
      <c r="A8" s="918" t="s">
        <v>621</v>
      </c>
      <c r="B8" s="919"/>
      <c r="C8" s="927" t="s">
        <v>622</v>
      </c>
    </row>
    <row r="9" spans="1:10">
      <c r="A9" s="920"/>
      <c r="B9" s="921"/>
      <c r="C9" s="928"/>
    </row>
    <row r="10" spans="1:10">
      <c r="A10" s="920"/>
      <c r="B10" s="921"/>
      <c r="C10" s="928"/>
    </row>
    <row r="11" spans="1:10">
      <c r="A11" s="922"/>
      <c r="B11" s="923"/>
      <c r="C11" s="929"/>
    </row>
    <row r="12" spans="1:10">
      <c r="A12" s="50"/>
      <c r="B12" s="51"/>
      <c r="C12" s="52"/>
    </row>
    <row r="13" spans="1:10">
      <c r="A13" s="53" t="s">
        <v>623</v>
      </c>
      <c r="B13" s="54" t="s">
        <v>709</v>
      </c>
      <c r="C13" s="55">
        <v>0</v>
      </c>
    </row>
    <row r="14" spans="1:10" ht="12.75" customHeight="1">
      <c r="A14" s="53" t="s">
        <v>624</v>
      </c>
      <c r="B14" s="54" t="s">
        <v>710</v>
      </c>
      <c r="C14" s="55">
        <v>0</v>
      </c>
      <c r="F14" s="916" t="s">
        <v>661</v>
      </c>
      <c r="G14" s="916"/>
      <c r="H14" s="916"/>
      <c r="I14" s="916"/>
      <c r="J14" s="107"/>
    </row>
    <row r="15" spans="1:10">
      <c r="A15" s="53" t="s">
        <v>625</v>
      </c>
      <c r="B15" s="54" t="s">
        <v>711</v>
      </c>
      <c r="C15" s="55">
        <f>CPYG!E7</f>
        <v>7000</v>
      </c>
      <c r="F15" s="916"/>
      <c r="G15" s="916"/>
      <c r="H15" s="916"/>
      <c r="I15" s="916"/>
      <c r="J15" s="107"/>
    </row>
    <row r="16" spans="1:10">
      <c r="A16" s="53" t="s">
        <v>626</v>
      </c>
      <c r="B16" s="54" t="s">
        <v>712</v>
      </c>
      <c r="C16" s="55" t="e">
        <f>'No rellenar EP-5 '!E29+#REF!</f>
        <v>#REF!</v>
      </c>
      <c r="F16" s="916"/>
      <c r="G16" s="916"/>
      <c r="H16" s="916"/>
      <c r="I16" s="916"/>
      <c r="J16" s="107"/>
    </row>
    <row r="17" spans="1:9">
      <c r="A17" s="53" t="s">
        <v>627</v>
      </c>
      <c r="B17" s="54" t="s">
        <v>713</v>
      </c>
      <c r="C17" s="55">
        <f>CPYG!E17+CPYG!E66+CPYG!E62</f>
        <v>921000</v>
      </c>
      <c r="F17" s="916"/>
      <c r="G17" s="916"/>
      <c r="H17" s="916"/>
      <c r="I17" s="916"/>
    </row>
    <row r="18" spans="1:9">
      <c r="A18" s="56"/>
      <c r="B18" s="57"/>
      <c r="C18" s="58"/>
      <c r="F18" s="916"/>
      <c r="G18" s="916"/>
      <c r="H18" s="916"/>
      <c r="I18" s="916"/>
    </row>
    <row r="19" spans="1:9">
      <c r="A19" s="92" t="s">
        <v>628</v>
      </c>
      <c r="B19" s="93"/>
      <c r="C19" s="94" t="e">
        <f>SUM(C13:C17)</f>
        <v>#REF!</v>
      </c>
      <c r="F19" s="916"/>
      <c r="G19" s="916"/>
      <c r="H19" s="916"/>
      <c r="I19" s="916"/>
    </row>
    <row r="20" spans="1:9">
      <c r="A20" s="59"/>
      <c r="B20" s="60"/>
      <c r="C20" s="61"/>
      <c r="F20" s="916"/>
      <c r="G20" s="916"/>
      <c r="H20" s="916"/>
      <c r="I20" s="916"/>
    </row>
    <row r="21" spans="1:9">
      <c r="A21" s="56"/>
      <c r="B21" s="57"/>
      <c r="C21" s="58"/>
      <c r="F21" s="916"/>
      <c r="G21" s="916"/>
      <c r="H21" s="916"/>
      <c r="I21" s="916"/>
    </row>
    <row r="22" spans="1:9">
      <c r="A22" s="53" t="s">
        <v>629</v>
      </c>
      <c r="B22" s="54" t="s">
        <v>714</v>
      </c>
      <c r="C22" s="58">
        <f>'Inv. NO FIN'!I17+'Inv. NO FIN'!I18+'Inv. NO FIN'!I19+'Inv. NO FIN'!I20</f>
        <v>0</v>
      </c>
      <c r="F22" s="916"/>
      <c r="G22" s="916"/>
      <c r="H22" s="916"/>
      <c r="I22" s="916"/>
    </row>
    <row r="23" spans="1:9">
      <c r="A23" s="53" t="s">
        <v>630</v>
      </c>
      <c r="B23" s="54" t="s">
        <v>715</v>
      </c>
      <c r="C23" s="58" t="e">
        <f>'Transf. y subv.'!F15+'Transf. y subv.'!#REF!</f>
        <v>#REF!</v>
      </c>
      <c r="F23" s="916"/>
      <c r="G23" s="916"/>
      <c r="H23" s="916"/>
      <c r="I23" s="916"/>
    </row>
    <row r="24" spans="1:9">
      <c r="A24" s="56"/>
      <c r="B24" s="57"/>
      <c r="C24" s="58"/>
    </row>
    <row r="25" spans="1:9">
      <c r="A25" s="92" t="s">
        <v>631</v>
      </c>
      <c r="B25" s="93"/>
      <c r="C25" s="94" t="e">
        <f>SUM(C22:C23)</f>
        <v>#REF!</v>
      </c>
    </row>
    <row r="26" spans="1:9">
      <c r="A26" s="59"/>
      <c r="B26" s="60"/>
      <c r="C26" s="61"/>
    </row>
    <row r="27" spans="1:9">
      <c r="A27" s="56"/>
      <c r="B27" s="57"/>
      <c r="C27" s="58"/>
    </row>
    <row r="28" spans="1:9">
      <c r="A28" s="53" t="s">
        <v>632</v>
      </c>
      <c r="B28" s="54" t="s">
        <v>716</v>
      </c>
      <c r="C28" s="55">
        <f>'Inv. FIN'!F40</f>
        <v>0</v>
      </c>
    </row>
    <row r="29" spans="1:9">
      <c r="A29" s="53" t="s">
        <v>633</v>
      </c>
      <c r="B29" s="54" t="s">
        <v>717</v>
      </c>
      <c r="C29" s="55">
        <f>'Deuda L.P.'!J24</f>
        <v>0</v>
      </c>
    </row>
    <row r="30" spans="1:9">
      <c r="A30" s="56"/>
      <c r="B30" s="57"/>
      <c r="C30" s="58"/>
    </row>
    <row r="31" spans="1:9">
      <c r="A31" s="92" t="s">
        <v>634</v>
      </c>
      <c r="B31" s="93"/>
      <c r="C31" s="95">
        <f>SUM(C28:C29)</f>
        <v>0</v>
      </c>
    </row>
    <row r="32" spans="1:9" ht="13.5" thickBot="1">
      <c r="A32" s="62"/>
      <c r="B32" s="63"/>
      <c r="C32" s="64"/>
    </row>
    <row r="33" spans="1:3" ht="14.25" thickTop="1" thickBot="1">
      <c r="A33" s="65"/>
      <c r="B33" s="66"/>
      <c r="C33" s="67"/>
    </row>
    <row r="34" spans="1:3" ht="13.5" thickTop="1">
      <c r="A34" s="68"/>
      <c r="B34" s="69"/>
      <c r="C34" s="70"/>
    </row>
    <row r="35" spans="1:3">
      <c r="A35" s="68"/>
      <c r="B35" s="71" t="s">
        <v>635</v>
      </c>
      <c r="C35" s="72" t="e">
        <f>C19+C25+C31</f>
        <v>#REF!</v>
      </c>
    </row>
    <row r="36" spans="1:3" ht="13.5" thickBot="1">
      <c r="A36" s="73"/>
      <c r="B36" s="74"/>
      <c r="C36" s="75"/>
    </row>
    <row r="37" spans="1:3" ht="14.25" thickTop="1" thickBot="1">
      <c r="A37" s="45"/>
      <c r="B37" s="46"/>
      <c r="C37" s="47"/>
    </row>
    <row r="38" spans="1:3" ht="13.5" thickTop="1">
      <c r="A38" s="76"/>
      <c r="B38" s="930" t="s">
        <v>636</v>
      </c>
      <c r="C38" s="932">
        <f>CPYG!E81</f>
        <v>0</v>
      </c>
    </row>
    <row r="39" spans="1:3" ht="13.5" thickBot="1">
      <c r="A39" s="77"/>
      <c r="B39" s="931"/>
      <c r="C39" s="933"/>
    </row>
    <row r="40" spans="1:3" ht="14.25" thickTop="1" thickBot="1">
      <c r="A40" s="62"/>
      <c r="B40" s="78"/>
      <c r="C40" s="79"/>
    </row>
    <row r="41" spans="1:3" ht="13.5" thickTop="1">
      <c r="A41" s="104"/>
      <c r="B41" s="105"/>
      <c r="C41" s="80"/>
    </row>
    <row r="42" spans="1:3">
      <c r="A42" s="68"/>
      <c r="B42" s="71" t="s">
        <v>635</v>
      </c>
      <c r="C42" s="72" t="e">
        <f>C35+C38</f>
        <v>#REF!</v>
      </c>
    </row>
    <row r="43" spans="1:3" ht="13.5" thickBot="1">
      <c r="A43" s="73"/>
      <c r="B43" s="98"/>
      <c r="C43" s="81"/>
    </row>
    <row r="44" spans="1:3" ht="13.5" thickTop="1"/>
    <row r="45" spans="1:3" hidden="1"/>
    <row r="46" spans="1:3" hidden="1"/>
    <row r="47" spans="1:3" hidden="1"/>
    <row r="48" spans="1:3" ht="13.5" thickBot="1"/>
    <row r="49" spans="1:7">
      <c r="A49" s="918" t="s">
        <v>621</v>
      </c>
      <c r="B49" s="919"/>
      <c r="C49" s="924" t="s">
        <v>622</v>
      </c>
    </row>
    <row r="50" spans="1:7">
      <c r="A50" s="920"/>
      <c r="B50" s="921"/>
      <c r="C50" s="925"/>
    </row>
    <row r="51" spans="1:7">
      <c r="A51" s="920"/>
      <c r="B51" s="921"/>
      <c r="C51" s="925"/>
    </row>
    <row r="52" spans="1:7">
      <c r="A52" s="922"/>
      <c r="B52" s="923"/>
      <c r="C52" s="926"/>
    </row>
    <row r="53" spans="1:7">
      <c r="A53" s="62"/>
      <c r="B53" s="51"/>
      <c r="C53" s="64"/>
    </row>
    <row r="54" spans="1:7">
      <c r="A54" s="53" t="s">
        <v>623</v>
      </c>
      <c r="B54" s="82" t="s">
        <v>637</v>
      </c>
      <c r="C54" s="83">
        <f>-CPYG!E29</f>
        <v>278912.11</v>
      </c>
    </row>
    <row r="55" spans="1:7">
      <c r="A55" s="53" t="s">
        <v>624</v>
      </c>
      <c r="B55" s="82" t="s">
        <v>638</v>
      </c>
      <c r="C55" s="83">
        <f>-CPYG!E12-CPYG!E37+CPYG!E40-CPYG!E90</f>
        <v>642601.7300000001</v>
      </c>
    </row>
    <row r="56" spans="1:7">
      <c r="A56" s="53" t="s">
        <v>625</v>
      </c>
      <c r="B56" s="82" t="s">
        <v>137</v>
      </c>
      <c r="C56" s="83">
        <f>-CPYG!E74</f>
        <v>0</v>
      </c>
    </row>
    <row r="57" spans="1:7">
      <c r="A57" s="53" t="s">
        <v>626</v>
      </c>
      <c r="B57" s="82" t="s">
        <v>639</v>
      </c>
      <c r="C57" s="83"/>
    </row>
    <row r="58" spans="1:7">
      <c r="A58" s="62"/>
      <c r="B58" s="63"/>
      <c r="C58" s="83"/>
    </row>
    <row r="59" spans="1:7">
      <c r="A59" s="92" t="s">
        <v>640</v>
      </c>
      <c r="B59" s="93"/>
      <c r="C59" s="95">
        <f>SUM(C54:C58)</f>
        <v>921513.84000000008</v>
      </c>
      <c r="E59" s="37" t="e">
        <f>C19-C59</f>
        <v>#REF!</v>
      </c>
      <c r="F59" s="2" t="s">
        <v>641</v>
      </c>
    </row>
    <row r="60" spans="1:7">
      <c r="A60" s="59"/>
      <c r="B60" s="60"/>
      <c r="C60" s="84"/>
      <c r="E60" s="2" t="e">
        <f>-#REF!</f>
        <v>#REF!</v>
      </c>
    </row>
    <row r="61" spans="1:7">
      <c r="A61" s="62"/>
      <c r="B61" s="63"/>
      <c r="C61" s="64"/>
      <c r="E61" s="2" t="e">
        <f>-#REF!</f>
        <v>#REF!</v>
      </c>
    </row>
    <row r="62" spans="1:7">
      <c r="A62" s="53" t="s">
        <v>629</v>
      </c>
      <c r="B62" s="82" t="s">
        <v>642</v>
      </c>
      <c r="C62" s="83">
        <f>'Inv. NO FIN'!D17+'Inv. NO FIN'!D18+'Inv. NO FIN'!D19+'Inv. NO FIN'!D20</f>
        <v>295000</v>
      </c>
      <c r="E62" s="2" t="e">
        <f>-#REF!</f>
        <v>#REF!</v>
      </c>
    </row>
    <row r="63" spans="1:7">
      <c r="A63" s="53" t="s">
        <v>630</v>
      </c>
      <c r="B63" s="82" t="s">
        <v>643</v>
      </c>
      <c r="C63" s="83"/>
      <c r="E63" s="37" t="e">
        <f>SUM(E59:E62)</f>
        <v>#REF!</v>
      </c>
      <c r="F63" s="2">
        <f>CPYG!E94</f>
        <v>6486.1599999999726</v>
      </c>
      <c r="G63" s="37" t="e">
        <f>E63-F63</f>
        <v>#REF!</v>
      </c>
    </row>
    <row r="64" spans="1:7">
      <c r="A64" s="62"/>
      <c r="B64" s="63"/>
      <c r="C64" s="64"/>
    </row>
    <row r="65" spans="1:6">
      <c r="A65" s="92" t="s">
        <v>644</v>
      </c>
      <c r="B65" s="93"/>
      <c r="C65" s="95">
        <f>SUM(C62:C63)</f>
        <v>295000</v>
      </c>
      <c r="E65" s="37" t="e">
        <f>C25+C31-C65-C71</f>
        <v>#REF!</v>
      </c>
      <c r="F65" s="2" t="s">
        <v>645</v>
      </c>
    </row>
    <row r="66" spans="1:6">
      <c r="A66" s="59"/>
      <c r="B66" s="60"/>
      <c r="C66" s="84"/>
    </row>
    <row r="67" spans="1:6">
      <c r="A67" s="62"/>
      <c r="B67" s="63"/>
      <c r="C67" s="64"/>
    </row>
    <row r="68" spans="1:6">
      <c r="A68" s="53" t="s">
        <v>632</v>
      </c>
      <c r="B68" s="82" t="s">
        <v>646</v>
      </c>
      <c r="C68" s="83">
        <f>'Inv. FIN'!H40</f>
        <v>0</v>
      </c>
    </row>
    <row r="69" spans="1:6">
      <c r="A69" s="53" t="s">
        <v>633</v>
      </c>
      <c r="B69" s="82" t="s">
        <v>647</v>
      </c>
      <c r="C69" s="83"/>
    </row>
    <row r="70" spans="1:6">
      <c r="A70" s="62"/>
      <c r="B70" s="63"/>
      <c r="C70" s="64"/>
    </row>
    <row r="71" spans="1:6">
      <c r="A71" s="92" t="s">
        <v>648</v>
      </c>
      <c r="B71" s="93"/>
      <c r="C71" s="95">
        <f>SUM(C68:C69)</f>
        <v>0</v>
      </c>
      <c r="E71" s="37" t="e">
        <f>SUM(E59:E66)</f>
        <v>#REF!</v>
      </c>
      <c r="F71" s="2" t="s">
        <v>649</v>
      </c>
    </row>
    <row r="72" spans="1:6" ht="13.5" thickBot="1">
      <c r="A72" s="85"/>
      <c r="B72" s="86"/>
      <c r="C72" s="87"/>
    </row>
    <row r="73" spans="1:6" ht="13.5" thickTop="1">
      <c r="A73" s="934"/>
      <c r="B73" s="930" t="s">
        <v>650</v>
      </c>
      <c r="C73" s="936" t="e">
        <f>#REF!+#REF!</f>
        <v>#REF!</v>
      </c>
    </row>
    <row r="74" spans="1:6" ht="13.5" thickBot="1">
      <c r="A74" s="935"/>
      <c r="B74" s="931"/>
      <c r="C74" s="937"/>
      <c r="E74" s="37"/>
      <c r="F74" s="2" t="s">
        <v>138</v>
      </c>
    </row>
    <row r="75" spans="1:6" ht="14.25" thickTop="1" thickBot="1">
      <c r="A75" s="45"/>
      <c r="B75" s="46"/>
      <c r="C75" s="47"/>
    </row>
    <row r="76" spans="1:6" ht="13.5" thickTop="1">
      <c r="A76" s="104"/>
      <c r="B76" s="105"/>
      <c r="C76" s="80"/>
    </row>
    <row r="77" spans="1:6">
      <c r="A77" s="68"/>
      <c r="B77" s="71" t="s">
        <v>651</v>
      </c>
      <c r="C77" s="72" t="e">
        <f>+C59+C65+C71+C73</f>
        <v>#REF!</v>
      </c>
    </row>
    <row r="78" spans="1:6" ht="13.5" thickBot="1">
      <c r="A78" s="73"/>
      <c r="B78" s="98"/>
      <c r="C78" s="75"/>
    </row>
    <row r="79" spans="1:6" ht="14.25" thickTop="1" thickBot="1">
      <c r="A79" s="88"/>
      <c r="B79" s="89"/>
      <c r="C79" s="90"/>
    </row>
    <row r="80" spans="1:6" ht="13.5" thickTop="1">
      <c r="A80" s="934"/>
      <c r="B80" s="930" t="s">
        <v>652</v>
      </c>
      <c r="C80" s="936" t="e">
        <f>-D97</f>
        <v>#REF!</v>
      </c>
      <c r="E80" s="37" t="e">
        <f>E71-E74</f>
        <v>#REF!</v>
      </c>
      <c r="F80" s="2" t="s">
        <v>554</v>
      </c>
    </row>
    <row r="81" spans="1:5" ht="13.5" thickBot="1">
      <c r="A81" s="935"/>
      <c r="B81" s="931"/>
      <c r="C81" s="937"/>
    </row>
    <row r="82" spans="1:5" ht="14.25" thickTop="1" thickBot="1">
      <c r="A82" s="62"/>
      <c r="B82" s="78"/>
      <c r="C82" s="79"/>
    </row>
    <row r="83" spans="1:5" ht="13.5" thickTop="1">
      <c r="A83" s="99"/>
      <c r="B83" s="100"/>
      <c r="C83" s="80"/>
    </row>
    <row r="84" spans="1:5">
      <c r="A84" s="68"/>
      <c r="B84" s="101" t="s">
        <v>653</v>
      </c>
      <c r="C84" s="72" t="e">
        <f>SUM(C77:C81)</f>
        <v>#REF!</v>
      </c>
    </row>
    <row r="85" spans="1:5" ht="13.5" thickBot="1">
      <c r="A85" s="102"/>
      <c r="B85" s="103"/>
      <c r="C85" s="81"/>
      <c r="E85" s="91" t="e">
        <f>C42-C84</f>
        <v>#REF!</v>
      </c>
    </row>
    <row r="86" spans="1:5">
      <c r="A86" s="46"/>
      <c r="B86" s="46"/>
    </row>
    <row r="89" spans="1:5">
      <c r="C89" s="37"/>
    </row>
    <row r="90" spans="1:5">
      <c r="C90" s="37"/>
    </row>
    <row r="91" spans="1:5">
      <c r="A91" s="106"/>
      <c r="B91" s="96" t="s">
        <v>708</v>
      </c>
      <c r="C91" s="97"/>
      <c r="D91" s="96"/>
    </row>
    <row r="92" spans="1:5">
      <c r="B92" s="48"/>
      <c r="C92" s="42"/>
    </row>
    <row r="93" spans="1:5">
      <c r="B93" s="43"/>
      <c r="C93" s="42"/>
    </row>
    <row r="94" spans="1:5">
      <c r="B94" s="49" t="s">
        <v>660</v>
      </c>
      <c r="C94" s="2"/>
      <c r="D94" s="38" t="e">
        <f>-#REF!</f>
        <v>#REF!</v>
      </c>
      <c r="E94" s="2" t="s">
        <v>654</v>
      </c>
    </row>
    <row r="95" spans="1:5">
      <c r="B95" s="49" t="s">
        <v>655</v>
      </c>
      <c r="C95" s="2"/>
      <c r="D95" s="38"/>
    </row>
    <row r="96" spans="1:5">
      <c r="B96" s="4" t="s">
        <v>656</v>
      </c>
      <c r="C96" s="2"/>
      <c r="D96" s="38" t="e">
        <f>#REF!+#REF!</f>
        <v>#REF!</v>
      </c>
      <c r="E96" s="2" t="s">
        <v>657</v>
      </c>
    </row>
    <row r="97" spans="3:4" ht="13.5" thickBot="1">
      <c r="C97" s="2"/>
      <c r="D97" s="44" t="e">
        <f>SUM(D94:D96)</f>
        <v>#REF!</v>
      </c>
    </row>
    <row r="98" spans="3:4" ht="13.5" thickTop="1">
      <c r="C98" s="2"/>
    </row>
    <row r="99" spans="3:4">
      <c r="C99" s="2"/>
      <c r="D99" s="37" t="e">
        <f>C88+D97</f>
        <v>#REF!</v>
      </c>
    </row>
    <row r="100" spans="3:4">
      <c r="C100" s="2"/>
    </row>
  </sheetData>
  <mergeCells count="14">
    <mergeCell ref="A80:A81"/>
    <mergeCell ref="B80:B81"/>
    <mergeCell ref="C80:C81"/>
    <mergeCell ref="A73:A74"/>
    <mergeCell ref="B73:B74"/>
    <mergeCell ref="C73:C74"/>
    <mergeCell ref="F14:I23"/>
    <mergeCell ref="A5:D5"/>
    <mergeCell ref="A49:B52"/>
    <mergeCell ref="C49:C52"/>
    <mergeCell ref="A8:B11"/>
    <mergeCell ref="C8:C11"/>
    <mergeCell ref="B38:B39"/>
    <mergeCell ref="C38:C39"/>
  </mergeCells>
  <phoneticPr fontId="5" type="noConversion"/>
  <pageMargins left="0.75" right="0.75" top="0.36" bottom="0.22" header="0" footer="0"/>
  <pageSetup paperSize="9" scale="66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B1:P34"/>
  <sheetViews>
    <sheetView zoomScale="75" zoomScaleNormal="90" workbookViewId="0">
      <selection activeCell="G45" sqref="G45"/>
    </sheetView>
  </sheetViews>
  <sheetFormatPr baseColWidth="10" defaultColWidth="11.42578125" defaultRowHeight="12.75"/>
  <cols>
    <col min="1" max="1" width="1.42578125" style="223" customWidth="1"/>
    <col min="2" max="2" width="26" style="223" customWidth="1"/>
    <col min="3" max="3" width="15.42578125" style="223" customWidth="1"/>
    <col min="4" max="4" width="21.140625" style="223" customWidth="1"/>
    <col min="5" max="5" width="18.28515625" style="223" customWidth="1"/>
    <col min="6" max="8" width="17.7109375" style="223" customWidth="1"/>
    <col min="9" max="9" width="16.28515625" style="223" bestFit="1" customWidth="1"/>
    <col min="10" max="10" width="17.85546875" style="223" customWidth="1"/>
    <col min="11" max="11" width="15.28515625" style="223" customWidth="1"/>
    <col min="12" max="12" width="21.5703125" style="223" customWidth="1"/>
    <col min="13" max="13" width="2.85546875" style="223" customWidth="1"/>
    <col min="14" max="14" width="13.28515625" style="223" bestFit="1" customWidth="1"/>
    <col min="15" max="16384" width="11.42578125" style="223"/>
  </cols>
  <sheetData>
    <row r="1" spans="2:16" ht="42" customHeight="1">
      <c r="B1" s="1090" t="s">
        <v>214</v>
      </c>
      <c r="C1" s="1091"/>
      <c r="D1" s="1091"/>
      <c r="E1" s="1091"/>
      <c r="F1" s="1091"/>
      <c r="G1" s="1091"/>
      <c r="H1" s="1091"/>
      <c r="I1" s="1091"/>
      <c r="J1" s="1091"/>
      <c r="K1" s="1092">
        <f>CPYG!E2</f>
        <v>2017</v>
      </c>
      <c r="L1" s="1093"/>
    </row>
    <row r="2" spans="2:16" ht="51" customHeight="1">
      <c r="B2" s="1097" t="str">
        <f>CPYG!B3</f>
        <v>ENTIDAD: INSTITUTO VOLCANOLOGICO DE CANARIAS</v>
      </c>
      <c r="C2" s="1098"/>
      <c r="D2" s="1098"/>
      <c r="E2" s="1098"/>
      <c r="F2" s="1098"/>
      <c r="G2" s="1098"/>
      <c r="H2" s="1098"/>
      <c r="I2" s="1098"/>
      <c r="J2" s="1098"/>
      <c r="K2" s="1099" t="s">
        <v>201</v>
      </c>
      <c r="L2" s="1100"/>
    </row>
    <row r="3" spans="2:16" s="224" customFormat="1" ht="27" customHeight="1">
      <c r="B3" s="1094" t="s">
        <v>719</v>
      </c>
      <c r="C3" s="1095"/>
      <c r="D3" s="1095"/>
      <c r="E3" s="1095"/>
      <c r="F3" s="1095"/>
      <c r="G3" s="1095"/>
      <c r="H3" s="1095"/>
      <c r="I3" s="1095"/>
      <c r="J3" s="1095"/>
      <c r="K3" s="1095"/>
      <c r="L3" s="1096"/>
    </row>
    <row r="4" spans="2:16" ht="19.5" customHeight="1">
      <c r="B4" s="1087" t="s">
        <v>392</v>
      </c>
      <c r="C4" s="1088" t="s">
        <v>434</v>
      </c>
      <c r="D4" s="474"/>
      <c r="E4" s="1088"/>
      <c r="F4" s="1088"/>
      <c r="G4" s="1088"/>
      <c r="H4" s="1088"/>
      <c r="I4" s="1088"/>
      <c r="J4" s="1088"/>
      <c r="K4" s="1088" t="s">
        <v>601</v>
      </c>
      <c r="L4" s="1089" t="s">
        <v>345</v>
      </c>
    </row>
    <row r="5" spans="2:16" ht="64.5" customHeight="1">
      <c r="B5" s="1087"/>
      <c r="C5" s="1088"/>
      <c r="D5" s="474" t="s">
        <v>346</v>
      </c>
      <c r="E5" s="474" t="s">
        <v>543</v>
      </c>
      <c r="F5" s="474" t="s">
        <v>347</v>
      </c>
      <c r="G5" s="474" t="s">
        <v>610</v>
      </c>
      <c r="H5" s="474" t="s">
        <v>348</v>
      </c>
      <c r="I5" s="474" t="s">
        <v>349</v>
      </c>
      <c r="J5" s="474" t="s">
        <v>350</v>
      </c>
      <c r="K5" s="1088"/>
      <c r="L5" s="1089"/>
    </row>
    <row r="6" spans="2:16">
      <c r="B6" s="1084"/>
      <c r="C6" s="1085"/>
      <c r="D6" s="1085"/>
      <c r="E6" s="1085"/>
      <c r="F6" s="1085"/>
      <c r="G6" s="1085"/>
      <c r="H6" s="1085"/>
      <c r="I6" s="1085"/>
      <c r="J6" s="1085"/>
      <c r="K6" s="1085"/>
      <c r="L6" s="1086"/>
    </row>
    <row r="7" spans="2:16" ht="33.6" customHeight="1">
      <c r="B7" s="475" t="s">
        <v>351</v>
      </c>
      <c r="C7" s="515"/>
      <c r="D7" s="506"/>
      <c r="E7" s="506"/>
      <c r="F7" s="506"/>
      <c r="G7" s="506"/>
      <c r="H7" s="506"/>
      <c r="I7" s="506"/>
      <c r="J7" s="506"/>
      <c r="K7" s="515">
        <f>SUM(C7:J7)</f>
        <v>0</v>
      </c>
      <c r="L7" s="507"/>
    </row>
    <row r="8" spans="2:16" ht="39" customHeight="1">
      <c r="B8" s="475" t="s">
        <v>55</v>
      </c>
      <c r="C8" s="515">
        <v>62695.76</v>
      </c>
      <c r="D8" s="506">
        <f>65000+100000+8000+23.01</f>
        <v>173023.01</v>
      </c>
      <c r="E8" s="506"/>
      <c r="F8" s="506"/>
      <c r="G8" s="506">
        <f>-10977.4-2514.58-817.78</f>
        <v>-14309.76</v>
      </c>
      <c r="H8" s="506"/>
      <c r="I8" s="506"/>
      <c r="J8" s="506"/>
      <c r="K8" s="515">
        <f>SUM(C8:J8)</f>
        <v>221409.01</v>
      </c>
      <c r="L8" s="507"/>
    </row>
    <row r="9" spans="2:16" ht="45" customHeight="1">
      <c r="B9" s="476" t="s">
        <v>352</v>
      </c>
      <c r="C9" s="515"/>
      <c r="D9" s="506"/>
      <c r="E9" s="506"/>
      <c r="F9" s="506"/>
      <c r="G9" s="506"/>
      <c r="H9" s="506"/>
      <c r="I9" s="506"/>
      <c r="J9" s="506"/>
      <c r="K9" s="515">
        <f>SUM(C9:J9)</f>
        <v>0</v>
      </c>
      <c r="L9" s="508"/>
      <c r="P9" s="228"/>
    </row>
    <row r="10" spans="2:16" ht="20.25" customHeight="1">
      <c r="B10" s="476" t="s">
        <v>353</v>
      </c>
      <c r="C10" s="515"/>
      <c r="D10" s="506"/>
      <c r="E10" s="506"/>
      <c r="F10" s="506"/>
      <c r="G10" s="506"/>
      <c r="H10" s="506"/>
      <c r="I10" s="506"/>
      <c r="J10" s="506"/>
      <c r="K10" s="515">
        <f>SUM(C10:J10)</f>
        <v>0</v>
      </c>
      <c r="L10" s="508"/>
      <c r="N10" s="225"/>
    </row>
    <row r="11" spans="2:16" s="226" customFormat="1" ht="23.25" customHeight="1">
      <c r="B11" s="476" t="s">
        <v>145</v>
      </c>
      <c r="C11" s="516">
        <f>SUM(C7:C10)</f>
        <v>62695.76</v>
      </c>
      <c r="D11" s="516">
        <f t="shared" ref="D11:K11" si="0">SUM(D7:D10)</f>
        <v>173023.01</v>
      </c>
      <c r="E11" s="516">
        <f t="shared" si="0"/>
        <v>0</v>
      </c>
      <c r="F11" s="516">
        <f t="shared" si="0"/>
        <v>0</v>
      </c>
      <c r="G11" s="516">
        <f t="shared" si="0"/>
        <v>-14309.76</v>
      </c>
      <c r="H11" s="516">
        <f t="shared" si="0"/>
        <v>0</v>
      </c>
      <c r="I11" s="516">
        <f t="shared" si="0"/>
        <v>0</v>
      </c>
      <c r="J11" s="516">
        <f t="shared" si="0"/>
        <v>0</v>
      </c>
      <c r="K11" s="516">
        <f t="shared" si="0"/>
        <v>221409.01</v>
      </c>
      <c r="L11" s="509"/>
    </row>
    <row r="12" spans="2:16" ht="20.25" customHeight="1">
      <c r="B12" s="476" t="s">
        <v>354</v>
      </c>
      <c r="C12" s="515">
        <f>ACTIVO!C30</f>
        <v>0</v>
      </c>
      <c r="D12" s="506"/>
      <c r="E12" s="506"/>
      <c r="F12" s="506"/>
      <c r="G12" s="506"/>
      <c r="H12" s="506"/>
      <c r="I12" s="506"/>
      <c r="J12" s="506"/>
      <c r="K12" s="515">
        <f>SUM(C12:J12)</f>
        <v>0</v>
      </c>
      <c r="L12" s="508"/>
      <c r="N12" s="225"/>
    </row>
    <row r="13" spans="2:16" ht="26.45" customHeight="1">
      <c r="B13" s="477"/>
      <c r="C13" s="510"/>
      <c r="D13" s="510"/>
      <c r="E13" s="510"/>
      <c r="F13" s="510"/>
      <c r="G13" s="510"/>
      <c r="H13" s="510"/>
      <c r="I13" s="510"/>
      <c r="J13" s="510"/>
      <c r="K13" s="511"/>
      <c r="L13" s="512"/>
    </row>
    <row r="14" spans="2:16" ht="19.5" customHeight="1">
      <c r="B14" s="1087" t="s">
        <v>431</v>
      </c>
      <c r="C14" s="1088" t="s">
        <v>435</v>
      </c>
      <c r="D14" s="474"/>
      <c r="E14" s="1088"/>
      <c r="F14" s="1088"/>
      <c r="G14" s="1088"/>
      <c r="H14" s="1088"/>
      <c r="I14" s="1088"/>
      <c r="J14" s="1088"/>
      <c r="K14" s="1088" t="s">
        <v>436</v>
      </c>
      <c r="L14" s="1089" t="s">
        <v>345</v>
      </c>
    </row>
    <row r="15" spans="2:16" ht="63.75">
      <c r="B15" s="1087"/>
      <c r="C15" s="1088"/>
      <c r="D15" s="474" t="s">
        <v>346</v>
      </c>
      <c r="E15" s="474" t="s">
        <v>543</v>
      </c>
      <c r="F15" s="474" t="s">
        <v>347</v>
      </c>
      <c r="G15" s="474" t="s">
        <v>610</v>
      </c>
      <c r="H15" s="474" t="s">
        <v>348</v>
      </c>
      <c r="I15" s="474" t="s">
        <v>349</v>
      </c>
      <c r="J15" s="474" t="s">
        <v>350</v>
      </c>
      <c r="K15" s="1088"/>
      <c r="L15" s="1089"/>
    </row>
    <row r="16" spans="2:16">
      <c r="B16" s="1084"/>
      <c r="C16" s="1085"/>
      <c r="D16" s="1085"/>
      <c r="E16" s="1085"/>
      <c r="F16" s="1085"/>
      <c r="G16" s="1085"/>
      <c r="H16" s="1085"/>
      <c r="I16" s="1085"/>
      <c r="J16" s="1085"/>
      <c r="K16" s="1085"/>
      <c r="L16" s="1086"/>
    </row>
    <row r="17" spans="2:14" ht="36.75" customHeight="1">
      <c r="B17" s="475" t="s">
        <v>351</v>
      </c>
      <c r="C17" s="515"/>
      <c r="D17" s="646"/>
      <c r="E17" s="646"/>
      <c r="F17" s="646"/>
      <c r="G17" s="646"/>
      <c r="H17" s="646"/>
      <c r="I17" s="646"/>
      <c r="J17" s="646"/>
      <c r="K17" s="515">
        <f>SUM(C17:J17)</f>
        <v>0</v>
      </c>
      <c r="L17" s="507"/>
    </row>
    <row r="18" spans="2:14" ht="39.6" customHeight="1">
      <c r="B18" s="475" t="s">
        <v>55</v>
      </c>
      <c r="C18" s="515">
        <v>221409.01</v>
      </c>
      <c r="D18" s="646">
        <f>95000+200000</f>
        <v>295000</v>
      </c>
      <c r="E18" s="646"/>
      <c r="F18" s="646"/>
      <c r="G18" s="646">
        <f>-13143.88-13000-1600-10000-5541.67-11666.66</f>
        <v>-54952.209999999992</v>
      </c>
      <c r="H18" s="646"/>
      <c r="I18" s="646"/>
      <c r="J18" s="646"/>
      <c r="K18" s="515">
        <f>SUM(C18:J18)</f>
        <v>461456.80000000005</v>
      </c>
      <c r="L18" s="507"/>
    </row>
    <row r="19" spans="2:14" ht="38.25">
      <c r="B19" s="476" t="s">
        <v>352</v>
      </c>
      <c r="C19" s="515"/>
      <c r="D19" s="646"/>
      <c r="E19" s="646"/>
      <c r="F19" s="646"/>
      <c r="G19" s="646"/>
      <c r="H19" s="646"/>
      <c r="I19" s="646"/>
      <c r="J19" s="646"/>
      <c r="K19" s="515">
        <f>SUM(C19:J19)</f>
        <v>0</v>
      </c>
      <c r="L19" s="508"/>
    </row>
    <row r="20" spans="2:14" ht="21.75" customHeight="1">
      <c r="B20" s="476" t="s">
        <v>353</v>
      </c>
      <c r="C20" s="515"/>
      <c r="D20" s="646"/>
      <c r="E20" s="646"/>
      <c r="F20" s="646"/>
      <c r="G20" s="646"/>
      <c r="H20" s="646"/>
      <c r="I20" s="646"/>
      <c r="J20" s="646"/>
      <c r="K20" s="515">
        <f>SUM(C20:J20)</f>
        <v>0</v>
      </c>
      <c r="L20" s="508"/>
    </row>
    <row r="21" spans="2:14" s="226" customFormat="1" ht="22.5" customHeight="1">
      <c r="B21" s="476" t="s">
        <v>145</v>
      </c>
      <c r="C21" s="516">
        <f t="shared" ref="C21:I21" si="1">SUM(C17:C20)</f>
        <v>221409.01</v>
      </c>
      <c r="D21" s="537">
        <f t="shared" si="1"/>
        <v>295000</v>
      </c>
      <c r="E21" s="537">
        <f t="shared" si="1"/>
        <v>0</v>
      </c>
      <c r="F21" s="537">
        <f t="shared" si="1"/>
        <v>0</v>
      </c>
      <c r="G21" s="537">
        <f t="shared" si="1"/>
        <v>-54952.209999999992</v>
      </c>
      <c r="H21" s="537">
        <f t="shared" si="1"/>
        <v>0</v>
      </c>
      <c r="I21" s="537">
        <f t="shared" si="1"/>
        <v>0</v>
      </c>
      <c r="J21" s="537">
        <f>SUM(J17:J20)</f>
        <v>0</v>
      </c>
      <c r="K21" s="537">
        <f>SUM(K17:K20)</f>
        <v>461456.80000000005</v>
      </c>
      <c r="L21" s="513"/>
    </row>
    <row r="22" spans="2:14" ht="20.25" customHeight="1" thickBot="1">
      <c r="B22" s="478" t="s">
        <v>354</v>
      </c>
      <c r="C22" s="517"/>
      <c r="D22" s="647"/>
      <c r="E22" s="647"/>
      <c r="F22" s="647"/>
      <c r="G22" s="647"/>
      <c r="H22" s="647"/>
      <c r="I22" s="647"/>
      <c r="J22" s="647"/>
      <c r="K22" s="517">
        <f>SUM(C22:J22)</f>
        <v>0</v>
      </c>
      <c r="L22" s="514"/>
      <c r="N22" s="225"/>
    </row>
    <row r="24" spans="2:14">
      <c r="B24" s="222" t="s">
        <v>355</v>
      </c>
      <c r="C24" s="227"/>
      <c r="L24" s="228"/>
    </row>
    <row r="25" spans="2:14">
      <c r="B25" s="1083" t="s">
        <v>356</v>
      </c>
      <c r="C25" s="1083"/>
      <c r="D25" s="1083"/>
      <c r="E25" s="1083"/>
      <c r="F25" s="1083"/>
      <c r="G25" s="1083"/>
      <c r="H25" s="1083"/>
      <c r="I25" s="1083"/>
      <c r="J25" s="1083"/>
      <c r="K25" s="1083"/>
      <c r="L25" s="1083"/>
    </row>
    <row r="26" spans="2:14">
      <c r="B26" s="1083" t="s">
        <v>357</v>
      </c>
      <c r="C26" s="1083"/>
      <c r="D26" s="1083"/>
      <c r="E26" s="1083"/>
      <c r="F26" s="1083"/>
      <c r="G26" s="1083"/>
      <c r="H26" s="1083"/>
      <c r="I26" s="1083"/>
      <c r="J26" s="1083"/>
      <c r="K26" s="1083"/>
      <c r="L26" s="1083"/>
    </row>
    <row r="27" spans="2:14">
      <c r="B27" s="1083" t="s">
        <v>362</v>
      </c>
      <c r="C27" s="1083"/>
      <c r="D27" s="1083"/>
      <c r="E27" s="1083"/>
      <c r="F27" s="1083"/>
      <c r="G27" s="1083"/>
      <c r="H27" s="1083"/>
      <c r="I27" s="1083"/>
      <c r="J27" s="1083"/>
      <c r="K27" s="1083"/>
      <c r="L27" s="1083"/>
    </row>
    <row r="28" spans="2:14">
      <c r="B28" s="1083" t="s">
        <v>363</v>
      </c>
      <c r="C28" s="1083"/>
      <c r="D28" s="1083"/>
      <c r="E28" s="1083"/>
      <c r="F28" s="1083"/>
      <c r="G28" s="1083"/>
      <c r="H28" s="1083"/>
      <c r="I28" s="1083"/>
      <c r="J28" s="1083"/>
      <c r="K28" s="1083"/>
      <c r="L28" s="1083"/>
    </row>
    <row r="29" spans="2:14">
      <c r="B29" s="1083" t="s">
        <v>378</v>
      </c>
      <c r="C29" s="1083"/>
      <c r="D29" s="1083"/>
      <c r="E29" s="1083"/>
      <c r="F29" s="1083"/>
      <c r="G29" s="1083"/>
      <c r="H29" s="1083"/>
      <c r="I29" s="1083"/>
      <c r="J29" s="1083"/>
      <c r="K29" s="1083"/>
      <c r="L29" s="1083"/>
    </row>
    <row r="30" spans="2:14">
      <c r="B30" s="1083" t="s">
        <v>379</v>
      </c>
      <c r="C30" s="1083"/>
      <c r="D30" s="1083"/>
      <c r="E30" s="1083"/>
      <c r="F30" s="1083"/>
      <c r="G30" s="1083"/>
      <c r="H30" s="1083"/>
      <c r="I30" s="1083"/>
      <c r="J30" s="1083"/>
      <c r="K30" s="1083"/>
      <c r="L30" s="1083"/>
    </row>
    <row r="31" spans="2:14">
      <c r="B31" s="1083" t="s">
        <v>380</v>
      </c>
      <c r="C31" s="1083"/>
      <c r="D31" s="1083"/>
      <c r="E31" s="1083"/>
      <c r="F31" s="1083"/>
      <c r="G31" s="1083"/>
      <c r="H31" s="1083"/>
      <c r="I31" s="1083"/>
      <c r="J31" s="1083"/>
      <c r="K31" s="1083"/>
      <c r="L31" s="1083"/>
    </row>
    <row r="32" spans="2:14">
      <c r="B32" s="1083" t="s">
        <v>505</v>
      </c>
      <c r="C32" s="1083"/>
      <c r="D32" s="1083"/>
      <c r="E32" s="1083"/>
      <c r="F32" s="1083"/>
      <c r="G32" s="1083"/>
      <c r="H32" s="1083"/>
      <c r="I32" s="1083"/>
      <c r="J32" s="1083"/>
      <c r="K32" s="1083"/>
      <c r="L32" s="1083"/>
    </row>
    <row r="33" spans="2:12">
      <c r="B33" s="1083" t="s">
        <v>506</v>
      </c>
      <c r="C33" s="1083"/>
      <c r="D33" s="1083"/>
      <c r="E33" s="1083"/>
      <c r="F33" s="1083"/>
      <c r="G33" s="1083"/>
      <c r="H33" s="1083"/>
      <c r="I33" s="1083"/>
      <c r="J33" s="1083"/>
      <c r="K33" s="1083"/>
      <c r="L33" s="1083"/>
    </row>
    <row r="34" spans="2:12">
      <c r="B34" s="1083" t="s">
        <v>508</v>
      </c>
      <c r="C34" s="1083"/>
      <c r="D34" s="1083"/>
      <c r="E34" s="1083"/>
      <c r="F34" s="1083"/>
      <c r="G34" s="1083"/>
      <c r="H34" s="1083"/>
      <c r="I34" s="1083"/>
      <c r="J34" s="1083"/>
      <c r="K34" s="1083"/>
      <c r="L34" s="1083"/>
    </row>
  </sheetData>
  <sheetProtection formatColumns="0" formatRows="0"/>
  <mergeCells count="27">
    <mergeCell ref="B1:J1"/>
    <mergeCell ref="K1:L1"/>
    <mergeCell ref="B3:L3"/>
    <mergeCell ref="B6:L6"/>
    <mergeCell ref="B4:B5"/>
    <mergeCell ref="C4:C5"/>
    <mergeCell ref="E4:J4"/>
    <mergeCell ref="K4:K5"/>
    <mergeCell ref="L4:L5"/>
    <mergeCell ref="B2:J2"/>
    <mergeCell ref="K2:L2"/>
    <mergeCell ref="B16:L16"/>
    <mergeCell ref="B25:L25"/>
    <mergeCell ref="B14:B15"/>
    <mergeCell ref="C14:C15"/>
    <mergeCell ref="E14:J14"/>
    <mergeCell ref="K14:K15"/>
    <mergeCell ref="L14:L15"/>
    <mergeCell ref="B27:L27"/>
    <mergeCell ref="B32:L32"/>
    <mergeCell ref="B26:L26"/>
    <mergeCell ref="B34:L34"/>
    <mergeCell ref="B28:L28"/>
    <mergeCell ref="B29:L29"/>
    <mergeCell ref="B30:L30"/>
    <mergeCell ref="B31:L31"/>
    <mergeCell ref="B33:L33"/>
  </mergeCells>
  <phoneticPr fontId="5" type="noConversion"/>
  <printOptions horizontalCentered="1" verticalCentered="1"/>
  <pageMargins left="0.59055118110236227" right="0.55118110236220474" top="0.6692913385826772" bottom="0.98425196850393704" header="0" footer="0"/>
  <pageSetup paperSize="9" scale="5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B1:M59"/>
  <sheetViews>
    <sheetView topLeftCell="A37" zoomScale="75" zoomScaleNormal="80" workbookViewId="0">
      <selection activeCell="B2" sqref="B2:M53"/>
    </sheetView>
  </sheetViews>
  <sheetFormatPr baseColWidth="10" defaultColWidth="11.42578125" defaultRowHeight="12.75"/>
  <cols>
    <col min="1" max="1" width="4.28515625" style="133" customWidth="1"/>
    <col min="2" max="2" width="1.85546875" style="133" customWidth="1"/>
    <col min="3" max="3" width="28.7109375" style="133" customWidth="1"/>
    <col min="4" max="4" width="30.42578125" style="133" customWidth="1"/>
    <col min="5" max="5" width="23" style="133" bestFit="1" customWidth="1"/>
    <col min="6" max="6" width="16.5703125" style="133" customWidth="1"/>
    <col min="7" max="7" width="25.42578125" style="133" hidden="1" customWidth="1"/>
    <col min="8" max="8" width="20.28515625" style="133" customWidth="1"/>
    <col min="9" max="9" width="22" style="133" bestFit="1" customWidth="1"/>
    <col min="10" max="10" width="23" style="133" bestFit="1" customWidth="1"/>
    <col min="11" max="12" width="20.42578125" style="133" customWidth="1"/>
    <col min="13" max="13" width="17.7109375" style="133" customWidth="1"/>
    <col min="14" max="16384" width="11.42578125" style="133"/>
  </cols>
  <sheetData>
    <row r="1" spans="2:13" ht="20.45" customHeight="1" thickBot="1"/>
    <row r="2" spans="2:13" s="223" customFormat="1" ht="42" customHeight="1" thickBot="1">
      <c r="B2" s="1129" t="s">
        <v>214</v>
      </c>
      <c r="C2" s="1130"/>
      <c r="D2" s="1130"/>
      <c r="E2" s="1130"/>
      <c r="F2" s="1130"/>
      <c r="G2" s="1130"/>
      <c r="H2" s="1130"/>
      <c r="I2" s="1130"/>
      <c r="J2" s="1130"/>
      <c r="K2" s="1131"/>
      <c r="L2" s="1137">
        <f>CPYG!E2</f>
        <v>2017</v>
      </c>
      <c r="M2" s="1138"/>
    </row>
    <row r="3" spans="2:13" ht="35.25" customHeight="1" thickBot="1">
      <c r="B3" s="1132" t="str">
        <f>CPYG!B3</f>
        <v>ENTIDAD: INSTITUTO VOLCANOLOGICO DE CANARIAS</v>
      </c>
      <c r="C3" s="1133"/>
      <c r="D3" s="1133"/>
      <c r="E3" s="1133"/>
      <c r="F3" s="1133"/>
      <c r="G3" s="1133"/>
      <c r="H3" s="1133"/>
      <c r="I3" s="1133"/>
      <c r="J3" s="1133"/>
      <c r="K3" s="1134"/>
      <c r="L3" s="1135" t="s">
        <v>202</v>
      </c>
      <c r="M3" s="1136"/>
    </row>
    <row r="4" spans="2:13" ht="18.600000000000001" customHeight="1">
      <c r="B4" s="1139" t="s">
        <v>377</v>
      </c>
      <c r="C4" s="1140"/>
      <c r="D4" s="1140"/>
      <c r="E4" s="1140"/>
      <c r="F4" s="1140"/>
      <c r="G4" s="1140"/>
      <c r="H4" s="1140"/>
      <c r="I4" s="1140"/>
      <c r="J4" s="1140"/>
      <c r="K4" s="1140"/>
      <c r="L4" s="1140"/>
      <c r="M4" s="1141"/>
    </row>
    <row r="5" spans="2:13" s="230" customFormat="1" ht="22.5" customHeight="1">
      <c r="B5" s="1105" t="s">
        <v>207</v>
      </c>
      <c r="C5" s="1106"/>
      <c r="D5" s="1106"/>
      <c r="E5" s="1106"/>
      <c r="F5" s="1106"/>
      <c r="G5" s="1106"/>
      <c r="H5" s="1106"/>
      <c r="I5" s="1106"/>
      <c r="J5" s="1106"/>
      <c r="K5" s="1106"/>
      <c r="L5" s="1106"/>
      <c r="M5" s="1107"/>
    </row>
    <row r="6" spans="2:13" ht="25.5" customHeight="1">
      <c r="B6" s="1110" t="s">
        <v>437</v>
      </c>
      <c r="C6" s="1111"/>
      <c r="D6" s="1114" t="s">
        <v>544</v>
      </c>
      <c r="E6" s="1114" t="s">
        <v>438</v>
      </c>
      <c r="F6" s="1114" t="s">
        <v>545</v>
      </c>
      <c r="G6" s="1114"/>
      <c r="H6" s="1114" t="s">
        <v>546</v>
      </c>
      <c r="I6" s="1114"/>
      <c r="J6" s="1109" t="s">
        <v>439</v>
      </c>
      <c r="K6" s="1109" t="s">
        <v>440</v>
      </c>
      <c r="L6" s="1109" t="s">
        <v>441</v>
      </c>
      <c r="M6" s="1108" t="s">
        <v>547</v>
      </c>
    </row>
    <row r="7" spans="2:13" ht="54" customHeight="1" thickBot="1">
      <c r="B7" s="1112"/>
      <c r="C7" s="1113"/>
      <c r="D7" s="1114"/>
      <c r="E7" s="1114"/>
      <c r="F7" s="229" t="s">
        <v>442</v>
      </c>
      <c r="G7" s="229" t="s">
        <v>549</v>
      </c>
      <c r="H7" s="229" t="s">
        <v>550</v>
      </c>
      <c r="I7" s="229" t="s">
        <v>551</v>
      </c>
      <c r="J7" s="1109"/>
      <c r="K7" s="1109"/>
      <c r="L7" s="1109"/>
      <c r="M7" s="1108"/>
    </row>
    <row r="8" spans="2:13" ht="21" customHeight="1" thickBot="1">
      <c r="B8" s="1126" t="s">
        <v>509</v>
      </c>
      <c r="C8" s="1127"/>
      <c r="D8" s="1127"/>
      <c r="E8" s="1127"/>
      <c r="F8" s="1127"/>
      <c r="G8" s="1127"/>
      <c r="H8" s="1127"/>
      <c r="I8" s="1127"/>
      <c r="J8" s="1127"/>
      <c r="K8" s="1127"/>
      <c r="L8" s="1127"/>
      <c r="M8" s="1128"/>
    </row>
    <row r="9" spans="2:13" ht="19.899999999999999" customHeight="1" thickBot="1">
      <c r="B9" s="1124"/>
      <c r="C9" s="1125"/>
      <c r="D9" s="487"/>
      <c r="E9" s="488"/>
      <c r="F9" s="489"/>
      <c r="G9" s="489"/>
      <c r="H9" s="489"/>
      <c r="I9" s="490"/>
      <c r="J9" s="505">
        <f>SUM(E9:I9)</f>
        <v>0</v>
      </c>
      <c r="K9" s="491"/>
      <c r="L9" s="492"/>
      <c r="M9" s="493"/>
    </row>
    <row r="10" spans="2:13" ht="19.899999999999999" customHeight="1" thickBot="1">
      <c r="B10" s="1101"/>
      <c r="C10" s="1102"/>
      <c r="D10" s="494"/>
      <c r="E10" s="489"/>
      <c r="F10" s="489"/>
      <c r="G10" s="489"/>
      <c r="H10" s="489"/>
      <c r="I10" s="489"/>
      <c r="J10" s="505">
        <f>SUM(E10:I10)</f>
        <v>0</v>
      </c>
      <c r="K10" s="495"/>
      <c r="L10" s="492"/>
      <c r="M10" s="493"/>
    </row>
    <row r="11" spans="2:13" ht="19.899999999999999" customHeight="1" thickBot="1">
      <c r="B11" s="1115"/>
      <c r="C11" s="1116"/>
      <c r="D11" s="494"/>
      <c r="E11" s="489"/>
      <c r="F11" s="489"/>
      <c r="G11" s="489"/>
      <c r="H11" s="489"/>
      <c r="I11" s="489"/>
      <c r="J11" s="505">
        <f>SUM(E11:I11)</f>
        <v>0</v>
      </c>
      <c r="K11" s="492"/>
      <c r="L11" s="492"/>
      <c r="M11" s="493"/>
    </row>
    <row r="12" spans="2:13" ht="19.899999999999999" customHeight="1" thickBot="1">
      <c r="B12" s="1115"/>
      <c r="C12" s="1116"/>
      <c r="D12" s="494"/>
      <c r="E12" s="489"/>
      <c r="F12" s="489"/>
      <c r="G12" s="489"/>
      <c r="H12" s="489"/>
      <c r="I12" s="489"/>
      <c r="J12" s="505">
        <f>SUM(E12:I12)</f>
        <v>0</v>
      </c>
      <c r="K12" s="492"/>
      <c r="L12" s="492"/>
      <c r="M12" s="493"/>
    </row>
    <row r="13" spans="2:13" ht="19.899999999999999" customHeight="1" thickBot="1">
      <c r="B13" s="1115"/>
      <c r="C13" s="1116"/>
      <c r="D13" s="494"/>
      <c r="E13" s="489"/>
      <c r="F13" s="489"/>
      <c r="G13" s="489"/>
      <c r="H13" s="489"/>
      <c r="I13" s="489"/>
      <c r="J13" s="505">
        <f>SUM(E13:I13)</f>
        <v>0</v>
      </c>
      <c r="K13" s="492"/>
      <c r="L13" s="492"/>
      <c r="M13" s="493"/>
    </row>
    <row r="14" spans="2:13" s="132" customFormat="1" ht="19.899999999999999" customHeight="1" thickBot="1">
      <c r="B14" s="1103" t="s">
        <v>145</v>
      </c>
      <c r="C14" s="1104"/>
      <c r="D14" s="496"/>
      <c r="E14" s="531">
        <f>SUM(E9:E13)</f>
        <v>0</v>
      </c>
      <c r="F14" s="531">
        <f>SUM(F9:F13)</f>
        <v>0</v>
      </c>
      <c r="G14" s="532"/>
      <c r="H14" s="531">
        <f>SUM(H9:H13)</f>
        <v>0</v>
      </c>
      <c r="I14" s="531">
        <f>SUM(I9:I13)</f>
        <v>0</v>
      </c>
      <c r="J14" s="531">
        <f>SUM(J9:J13)</f>
        <v>0</v>
      </c>
      <c r="K14" s="497"/>
      <c r="L14" s="533">
        <f>SUM(L9:L13)</f>
        <v>0</v>
      </c>
      <c r="M14" s="498"/>
    </row>
    <row r="15" spans="2:13" ht="19.899999999999999" customHeight="1" thickBot="1">
      <c r="B15" s="1117" t="s">
        <v>510</v>
      </c>
      <c r="C15" s="1118"/>
      <c r="D15" s="1118"/>
      <c r="E15" s="1118"/>
      <c r="F15" s="1118"/>
      <c r="G15" s="1118"/>
      <c r="H15" s="1118"/>
      <c r="I15" s="1118"/>
      <c r="J15" s="1118"/>
      <c r="K15" s="1118"/>
      <c r="L15" s="1118"/>
      <c r="M15" s="1119"/>
    </row>
    <row r="16" spans="2:13" ht="19.899999999999999" customHeight="1" thickBot="1">
      <c r="B16" s="1101"/>
      <c r="C16" s="1102"/>
      <c r="D16" s="494"/>
      <c r="E16" s="489"/>
      <c r="F16" s="489"/>
      <c r="G16" s="489"/>
      <c r="H16" s="489"/>
      <c r="I16" s="489"/>
      <c r="J16" s="505">
        <f>SUM(E16:I16)</f>
        <v>0</v>
      </c>
      <c r="K16" s="495"/>
      <c r="L16" s="492"/>
      <c r="M16" s="493"/>
    </row>
    <row r="17" spans="2:13" ht="19.899999999999999" customHeight="1" thickBot="1">
      <c r="B17" s="1101"/>
      <c r="C17" s="1102"/>
      <c r="D17" s="494"/>
      <c r="E17" s="489"/>
      <c r="F17" s="489"/>
      <c r="G17" s="489"/>
      <c r="H17" s="489"/>
      <c r="I17" s="489"/>
      <c r="J17" s="505">
        <f>SUM(E17:I17)</f>
        <v>0</v>
      </c>
      <c r="K17" s="495"/>
      <c r="L17" s="492"/>
      <c r="M17" s="493"/>
    </row>
    <row r="18" spans="2:13" ht="19.899999999999999" customHeight="1" thickBot="1">
      <c r="B18" s="1101"/>
      <c r="C18" s="1102"/>
      <c r="D18" s="494"/>
      <c r="E18" s="489"/>
      <c r="F18" s="489"/>
      <c r="G18" s="489"/>
      <c r="H18" s="489"/>
      <c r="I18" s="489"/>
      <c r="J18" s="505">
        <f>SUM(E18:I18)</f>
        <v>0</v>
      </c>
      <c r="K18" s="495"/>
      <c r="L18" s="492"/>
      <c r="M18" s="493"/>
    </row>
    <row r="19" spans="2:13" ht="19.899999999999999" customHeight="1" thickBot="1">
      <c r="B19" s="1101"/>
      <c r="C19" s="1102"/>
      <c r="D19" s="494"/>
      <c r="E19" s="489"/>
      <c r="F19" s="489"/>
      <c r="G19" s="489"/>
      <c r="H19" s="489"/>
      <c r="I19" s="489"/>
      <c r="J19" s="505">
        <f>SUM(E19:I19)</f>
        <v>0</v>
      </c>
      <c r="K19" s="495"/>
      <c r="L19" s="492"/>
      <c r="M19" s="493"/>
    </row>
    <row r="20" spans="2:13" ht="19.899999999999999" customHeight="1" thickBot="1">
      <c r="B20" s="1115"/>
      <c r="C20" s="1116"/>
      <c r="D20" s="494"/>
      <c r="E20" s="489"/>
      <c r="F20" s="489"/>
      <c r="G20" s="489"/>
      <c r="H20" s="489"/>
      <c r="I20" s="489"/>
      <c r="J20" s="505">
        <f>SUM(E20:I20)</f>
        <v>0</v>
      </c>
      <c r="K20" s="495"/>
      <c r="L20" s="492"/>
      <c r="M20" s="493"/>
    </row>
    <row r="21" spans="2:13" s="132" customFormat="1" ht="19.899999999999999" customHeight="1" thickBot="1">
      <c r="B21" s="1103" t="s">
        <v>145</v>
      </c>
      <c r="C21" s="1104"/>
      <c r="D21" s="496"/>
      <c r="E21" s="531">
        <f>SUM(E16:E20)</f>
        <v>0</v>
      </c>
      <c r="F21" s="531">
        <f>SUM(F16:F20)</f>
        <v>0</v>
      </c>
      <c r="G21" s="532"/>
      <c r="H21" s="531">
        <f>SUM(H16:H20)</f>
        <v>0</v>
      </c>
      <c r="I21" s="531">
        <f>SUM(I16:I20)</f>
        <v>0</v>
      </c>
      <c r="J21" s="531">
        <f>SUM(J17:J20)</f>
        <v>0</v>
      </c>
      <c r="K21" s="497"/>
      <c r="L21" s="533">
        <f>SUM(L16:L20)</f>
        <v>0</v>
      </c>
      <c r="M21" s="498"/>
    </row>
    <row r="22" spans="2:13">
      <c r="B22" s="231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232"/>
    </row>
    <row r="23" spans="2:13" ht="18.600000000000001" customHeight="1">
      <c r="B23" s="1105" t="s">
        <v>209</v>
      </c>
      <c r="C23" s="1106"/>
      <c r="D23" s="1106"/>
      <c r="E23" s="1106"/>
      <c r="F23" s="1106"/>
      <c r="G23" s="1106"/>
      <c r="H23" s="1106"/>
      <c r="I23" s="1106"/>
      <c r="J23" s="1106"/>
      <c r="K23" s="1106"/>
      <c r="L23" s="1106"/>
      <c r="M23" s="1107"/>
    </row>
    <row r="24" spans="2:13" s="230" customFormat="1" ht="22.5" customHeight="1">
      <c r="B24" s="1105" t="s">
        <v>720</v>
      </c>
      <c r="C24" s="1106"/>
      <c r="D24" s="1106"/>
      <c r="E24" s="1106"/>
      <c r="F24" s="1106"/>
      <c r="G24" s="1106"/>
      <c r="H24" s="1106"/>
      <c r="I24" s="1106"/>
      <c r="J24" s="1106"/>
      <c r="K24" s="1106"/>
      <c r="L24" s="1106"/>
      <c r="M24" s="1107"/>
    </row>
    <row r="25" spans="2:13" ht="25.5" customHeight="1">
      <c r="B25" s="1110" t="s">
        <v>437</v>
      </c>
      <c r="C25" s="1111"/>
      <c r="D25" s="1114" t="s">
        <v>544</v>
      </c>
      <c r="E25" s="1114" t="s">
        <v>438</v>
      </c>
      <c r="F25" s="1114" t="s">
        <v>545</v>
      </c>
      <c r="G25" s="1114"/>
      <c r="H25" s="1114" t="s">
        <v>546</v>
      </c>
      <c r="I25" s="1114"/>
      <c r="J25" s="1109" t="s">
        <v>439</v>
      </c>
      <c r="K25" s="1109" t="s">
        <v>443</v>
      </c>
      <c r="L25" s="1109" t="s">
        <v>441</v>
      </c>
      <c r="M25" s="1108" t="s">
        <v>212</v>
      </c>
    </row>
    <row r="26" spans="2:13" ht="54" customHeight="1" thickBot="1">
      <c r="B26" s="1112"/>
      <c r="C26" s="1113"/>
      <c r="D26" s="1114"/>
      <c r="E26" s="1114"/>
      <c r="F26" s="229" t="s">
        <v>548</v>
      </c>
      <c r="G26" s="229" t="s">
        <v>549</v>
      </c>
      <c r="H26" s="229" t="s">
        <v>550</v>
      </c>
      <c r="I26" s="229" t="s">
        <v>551</v>
      </c>
      <c r="J26" s="1109"/>
      <c r="K26" s="1109"/>
      <c r="L26" s="1109"/>
      <c r="M26" s="1108"/>
    </row>
    <row r="27" spans="2:13" ht="13.5" thickBot="1">
      <c r="B27" s="1126" t="s">
        <v>210</v>
      </c>
      <c r="C27" s="1127"/>
      <c r="D27" s="1127"/>
      <c r="E27" s="1127"/>
      <c r="F27" s="1127"/>
      <c r="G27" s="1127"/>
      <c r="H27" s="1127"/>
      <c r="I27" s="1127"/>
      <c r="J27" s="1127"/>
      <c r="K27" s="1127"/>
      <c r="L27" s="1127"/>
      <c r="M27" s="1128"/>
    </row>
    <row r="28" spans="2:13" s="134" customFormat="1" ht="19.899999999999999" customHeight="1" thickBot="1">
      <c r="B28" s="1124"/>
      <c r="C28" s="1125"/>
      <c r="D28" s="487"/>
      <c r="E28" s="488"/>
      <c r="F28" s="494"/>
      <c r="G28" s="494"/>
      <c r="H28" s="494"/>
      <c r="I28" s="490"/>
      <c r="J28" s="505">
        <f>SUM(E28:I28)</f>
        <v>0</v>
      </c>
      <c r="K28" s="491"/>
      <c r="L28" s="492"/>
      <c r="M28" s="493"/>
    </row>
    <row r="29" spans="2:13" s="134" customFormat="1" ht="19.899999999999999" customHeight="1" thickBot="1">
      <c r="B29" s="1124"/>
      <c r="C29" s="1125"/>
      <c r="D29" s="487"/>
      <c r="E29" s="488"/>
      <c r="F29" s="494"/>
      <c r="G29" s="494"/>
      <c r="H29" s="494"/>
      <c r="I29" s="490"/>
      <c r="J29" s="505">
        <f>SUM(E29:I29)</f>
        <v>0</v>
      </c>
      <c r="K29" s="491"/>
      <c r="L29" s="492"/>
      <c r="M29" s="493"/>
    </row>
    <row r="30" spans="2:13" s="134" customFormat="1" ht="19.899999999999999" customHeight="1" thickBot="1">
      <c r="B30" s="1124"/>
      <c r="C30" s="1125"/>
      <c r="D30" s="487"/>
      <c r="E30" s="488"/>
      <c r="F30" s="494"/>
      <c r="G30" s="494"/>
      <c r="H30" s="494"/>
      <c r="I30" s="490"/>
      <c r="J30" s="505">
        <f>SUM(E30:I30)</f>
        <v>0</v>
      </c>
      <c r="K30" s="491"/>
      <c r="L30" s="492"/>
      <c r="M30" s="493"/>
    </row>
    <row r="31" spans="2:13" s="134" customFormat="1" ht="19.899999999999999" customHeight="1" thickBot="1">
      <c r="B31" s="1101"/>
      <c r="C31" s="1102"/>
      <c r="D31" s="494"/>
      <c r="E31" s="490"/>
      <c r="F31" s="494"/>
      <c r="G31" s="494"/>
      <c r="H31" s="494"/>
      <c r="I31" s="494"/>
      <c r="J31" s="505">
        <f>SUM(E31:I31)</f>
        <v>0</v>
      </c>
      <c r="K31" s="495"/>
      <c r="L31" s="492"/>
      <c r="M31" s="493"/>
    </row>
    <row r="32" spans="2:13" s="134" customFormat="1" ht="19.899999999999999" customHeight="1" thickBot="1">
      <c r="B32" s="1115"/>
      <c r="C32" s="1116"/>
      <c r="D32" s="494"/>
      <c r="E32" s="490"/>
      <c r="F32" s="494"/>
      <c r="G32" s="494"/>
      <c r="H32" s="494"/>
      <c r="I32" s="494"/>
      <c r="J32" s="505">
        <f>SUM(E32:I32)</f>
        <v>0</v>
      </c>
      <c r="K32" s="492"/>
      <c r="L32" s="492"/>
      <c r="M32" s="493"/>
    </row>
    <row r="33" spans="2:13" s="132" customFormat="1" ht="19.899999999999999" customHeight="1" thickBot="1">
      <c r="B33" s="1103" t="s">
        <v>145</v>
      </c>
      <c r="C33" s="1104"/>
      <c r="D33" s="496"/>
      <c r="E33" s="531">
        <f>SUM(E28:E32)</f>
        <v>0</v>
      </c>
      <c r="F33" s="531">
        <f>SUM(F28:F32)</f>
        <v>0</v>
      </c>
      <c r="G33" s="532"/>
      <c r="H33" s="531">
        <f>SUM(H28:H32)</f>
        <v>0</v>
      </c>
      <c r="I33" s="531">
        <f>SUM(I28:I32)</f>
        <v>0</v>
      </c>
      <c r="J33" s="531">
        <f>SUM(J28:J32)</f>
        <v>0</v>
      </c>
      <c r="K33" s="497"/>
      <c r="L33" s="533">
        <f>SUM(L27:L32)</f>
        <v>0</v>
      </c>
      <c r="M33" s="498"/>
    </row>
    <row r="34" spans="2:13" s="134" customFormat="1" ht="19.899999999999999" customHeight="1" thickBot="1">
      <c r="B34" s="1117" t="s">
        <v>211</v>
      </c>
      <c r="C34" s="1118"/>
      <c r="D34" s="1118"/>
      <c r="E34" s="1118"/>
      <c r="F34" s="1118"/>
      <c r="G34" s="1118"/>
      <c r="H34" s="1118"/>
      <c r="I34" s="1118"/>
      <c r="J34" s="1118"/>
      <c r="K34" s="1118"/>
      <c r="L34" s="1118"/>
      <c r="M34" s="1119"/>
    </row>
    <row r="35" spans="2:13" s="134" customFormat="1" ht="19.899999999999999" customHeight="1" thickBot="1">
      <c r="B35" s="1101"/>
      <c r="C35" s="1102"/>
      <c r="D35" s="494"/>
      <c r="E35" s="489"/>
      <c r="F35" s="494"/>
      <c r="G35" s="494"/>
      <c r="H35" s="490"/>
      <c r="I35" s="494"/>
      <c r="J35" s="505">
        <f>SUM(E35:I35)</f>
        <v>0</v>
      </c>
      <c r="K35" s="492"/>
      <c r="L35" s="492"/>
      <c r="M35" s="493"/>
    </row>
    <row r="36" spans="2:13" s="134" customFormat="1" ht="19.899999999999999" customHeight="1" thickBot="1">
      <c r="B36" s="1101"/>
      <c r="C36" s="1102"/>
      <c r="D36" s="494"/>
      <c r="E36" s="489"/>
      <c r="F36" s="490"/>
      <c r="G36" s="494"/>
      <c r="H36" s="490"/>
      <c r="I36" s="494"/>
      <c r="J36" s="505">
        <f>SUM(E36:I36)</f>
        <v>0</v>
      </c>
      <c r="K36" s="492"/>
      <c r="L36" s="492"/>
      <c r="M36" s="493"/>
    </row>
    <row r="37" spans="2:13" s="134" customFormat="1" ht="19.899999999999999" customHeight="1" thickBot="1">
      <c r="B37" s="1101"/>
      <c r="C37" s="1102"/>
      <c r="D37" s="494"/>
      <c r="E37" s="489"/>
      <c r="F37" s="494"/>
      <c r="G37" s="494"/>
      <c r="H37" s="494"/>
      <c r="I37" s="494"/>
      <c r="J37" s="505">
        <f>SUM(E37:I37)</f>
        <v>0</v>
      </c>
      <c r="K37" s="492"/>
      <c r="L37" s="492"/>
      <c r="M37" s="493"/>
    </row>
    <row r="38" spans="2:13" s="134" customFormat="1" ht="19.899999999999999" customHeight="1" thickBot="1">
      <c r="B38" s="1101"/>
      <c r="C38" s="1102"/>
      <c r="D38" s="494"/>
      <c r="E38" s="489"/>
      <c r="F38" s="494"/>
      <c r="G38" s="494"/>
      <c r="H38" s="494"/>
      <c r="I38" s="494"/>
      <c r="J38" s="505">
        <f>SUM(E38:I38)</f>
        <v>0</v>
      </c>
      <c r="K38" s="492"/>
      <c r="L38" s="492"/>
      <c r="M38" s="493"/>
    </row>
    <row r="39" spans="2:13" s="134" customFormat="1" ht="19.899999999999999" customHeight="1" thickBot="1">
      <c r="B39" s="1115"/>
      <c r="C39" s="1116"/>
      <c r="D39" s="494"/>
      <c r="E39" s="489"/>
      <c r="F39" s="499"/>
      <c r="G39" s="499"/>
      <c r="H39" s="499"/>
      <c r="I39" s="499"/>
      <c r="J39" s="505">
        <f>SUM(E39:I39)</f>
        <v>0</v>
      </c>
      <c r="K39" s="500"/>
      <c r="L39" s="500"/>
      <c r="M39" s="501"/>
    </row>
    <row r="40" spans="2:13" s="132" customFormat="1" ht="19.899999999999999" customHeight="1" thickBot="1">
      <c r="B40" s="1121" t="s">
        <v>145</v>
      </c>
      <c r="C40" s="1122"/>
      <c r="D40" s="502"/>
      <c r="E40" s="534">
        <f>SUM(E35:E39)</f>
        <v>0</v>
      </c>
      <c r="F40" s="534">
        <f>SUM(F35:F39)</f>
        <v>0</v>
      </c>
      <c r="G40" s="535"/>
      <c r="H40" s="534">
        <f>SUM(H35:H39)</f>
        <v>0</v>
      </c>
      <c r="I40" s="534">
        <f>SUM(I35:I39)</f>
        <v>0</v>
      </c>
      <c r="J40" s="534">
        <f>SUM(J35:J39)</f>
        <v>0</v>
      </c>
      <c r="K40" s="503"/>
      <c r="L40" s="536">
        <f>SUM(L35:L39)</f>
        <v>0</v>
      </c>
      <c r="M40" s="504"/>
    </row>
    <row r="43" spans="2:13">
      <c r="B43" s="1123" t="s">
        <v>355</v>
      </c>
      <c r="C43" s="1123"/>
      <c r="D43" s="1123"/>
      <c r="E43" s="1123"/>
      <c r="F43" s="1123"/>
      <c r="G43" s="1123"/>
      <c r="H43" s="1123"/>
      <c r="I43" s="1123"/>
      <c r="J43" s="1123"/>
      <c r="K43" s="1123"/>
      <c r="L43" s="1123"/>
      <c r="M43" s="1123"/>
    </row>
    <row r="44" spans="2:13">
      <c r="B44" s="1120" t="s">
        <v>511</v>
      </c>
      <c r="C44" s="1120"/>
      <c r="D44" s="1120"/>
      <c r="E44" s="1120"/>
      <c r="F44" s="1120"/>
      <c r="G44" s="1120"/>
      <c r="H44" s="1120"/>
      <c r="I44" s="1120"/>
      <c r="J44" s="1120"/>
      <c r="K44" s="1120"/>
      <c r="L44" s="1120"/>
      <c r="M44" s="1120"/>
    </row>
    <row r="45" spans="2:13">
      <c r="B45" s="1120" t="s">
        <v>208</v>
      </c>
      <c r="C45" s="1120"/>
      <c r="D45" s="1120"/>
      <c r="E45" s="1120"/>
      <c r="F45" s="1120"/>
      <c r="G45" s="1120"/>
      <c r="H45" s="1120"/>
      <c r="I45" s="1120"/>
      <c r="J45" s="1120"/>
      <c r="K45" s="1120"/>
      <c r="L45" s="1120"/>
      <c r="M45" s="1120"/>
    </row>
    <row r="46" spans="2:13">
      <c r="B46" s="1120" t="s">
        <v>512</v>
      </c>
      <c r="C46" s="1120"/>
      <c r="D46" s="1120"/>
      <c r="E46" s="1120"/>
      <c r="F46" s="1120"/>
      <c r="G46" s="1120"/>
      <c r="H46" s="1120"/>
      <c r="I46" s="1120"/>
      <c r="J46" s="1120"/>
      <c r="K46" s="1120"/>
      <c r="L46" s="1120"/>
      <c r="M46" s="1120"/>
    </row>
    <row r="47" spans="2:13">
      <c r="B47" s="1120" t="s">
        <v>513</v>
      </c>
      <c r="C47" s="1120"/>
      <c r="D47" s="1120"/>
      <c r="E47" s="1120"/>
      <c r="F47" s="1120"/>
      <c r="G47" s="1120"/>
      <c r="H47" s="1120"/>
      <c r="I47" s="1120"/>
      <c r="J47" s="1120"/>
      <c r="K47" s="1120"/>
      <c r="L47" s="1120"/>
      <c r="M47" s="1120"/>
    </row>
    <row r="48" spans="2:13">
      <c r="B48" s="1120" t="s">
        <v>514</v>
      </c>
      <c r="C48" s="1120"/>
      <c r="D48" s="1120"/>
      <c r="E48" s="1120"/>
      <c r="F48" s="1120"/>
      <c r="G48" s="1120"/>
      <c r="H48" s="1120"/>
      <c r="I48" s="1120"/>
      <c r="J48" s="1120"/>
      <c r="K48" s="1120"/>
      <c r="L48" s="1120"/>
      <c r="M48" s="1120"/>
    </row>
    <row r="49" spans="2:13">
      <c r="B49" s="1120" t="s">
        <v>320</v>
      </c>
      <c r="C49" s="1120"/>
      <c r="D49" s="1120"/>
      <c r="E49" s="1120"/>
      <c r="F49" s="1120"/>
      <c r="G49" s="1120"/>
      <c r="H49" s="1120"/>
      <c r="I49" s="1120"/>
      <c r="J49" s="1120"/>
      <c r="K49" s="1120"/>
      <c r="L49" s="1120"/>
      <c r="M49" s="1120"/>
    </row>
    <row r="50" spans="2:13">
      <c r="B50" s="1120" t="s">
        <v>321</v>
      </c>
      <c r="C50" s="1120"/>
      <c r="D50" s="1120"/>
      <c r="E50" s="1120"/>
      <c r="F50" s="1120"/>
      <c r="G50" s="1120"/>
      <c r="H50" s="1120"/>
      <c r="I50" s="1120"/>
      <c r="J50" s="1120"/>
      <c r="K50" s="1120"/>
      <c r="L50" s="1120"/>
      <c r="M50" s="1120"/>
    </row>
    <row r="51" spans="2:13">
      <c r="B51" s="1120" t="s">
        <v>213</v>
      </c>
      <c r="C51" s="1120"/>
      <c r="D51" s="1120"/>
      <c r="E51" s="1120"/>
      <c r="F51" s="1120"/>
      <c r="G51" s="1120"/>
      <c r="H51" s="1120"/>
      <c r="I51" s="1120"/>
      <c r="J51" s="1120"/>
      <c r="K51" s="1120"/>
      <c r="L51" s="1120"/>
      <c r="M51" s="1120"/>
    </row>
    <row r="52" spans="2:13">
      <c r="B52" s="1120" t="s">
        <v>322</v>
      </c>
      <c r="C52" s="1120"/>
      <c r="D52" s="1120"/>
      <c r="E52" s="1120"/>
      <c r="F52" s="1120"/>
      <c r="G52" s="1120"/>
      <c r="H52" s="1120"/>
      <c r="I52" s="1120"/>
      <c r="J52" s="1120"/>
      <c r="K52" s="1120"/>
      <c r="L52" s="1120"/>
      <c r="M52" s="1120"/>
    </row>
    <row r="53" spans="2:13">
      <c r="B53" s="1120" t="s">
        <v>323</v>
      </c>
      <c r="C53" s="1120"/>
      <c r="D53" s="1120"/>
      <c r="E53" s="1120"/>
      <c r="F53" s="1120"/>
      <c r="G53" s="1120"/>
      <c r="H53" s="1120"/>
      <c r="I53" s="1120"/>
      <c r="J53" s="1120"/>
      <c r="K53" s="1120"/>
      <c r="L53" s="1120"/>
      <c r="M53" s="1120"/>
    </row>
    <row r="54" spans="2:13" hidden="1">
      <c r="D54" s="133" t="s">
        <v>87</v>
      </c>
      <c r="E54" s="233">
        <f>+ACTIVO!C20</f>
        <v>0</v>
      </c>
      <c r="F54" s="233">
        <f>+ACTIVO!D20</f>
        <v>0</v>
      </c>
      <c r="G54" s="233">
        <f>+ACTIVO!E20</f>
        <v>0</v>
      </c>
      <c r="H54" s="233">
        <f>+ACTIVO!E20</f>
        <v>0</v>
      </c>
    </row>
    <row r="55" spans="2:13" hidden="1">
      <c r="D55" s="234" t="s">
        <v>88</v>
      </c>
      <c r="E55" s="235">
        <f>+E53-E54</f>
        <v>0</v>
      </c>
      <c r="F55" s="235">
        <f>+F53-F54</f>
        <v>0</v>
      </c>
      <c r="G55" s="235">
        <f>+G53-G54</f>
        <v>0</v>
      </c>
      <c r="H55" s="235">
        <f>+H53-H54</f>
        <v>0</v>
      </c>
    </row>
    <row r="56" spans="2:13" hidden="1"/>
    <row r="57" spans="2:13" hidden="1"/>
    <row r="58" spans="2:13" hidden="1"/>
    <row r="59" spans="2:13" hidden="1"/>
  </sheetData>
  <sheetProtection formatColumns="0" formatRows="0"/>
  <mergeCells count="65">
    <mergeCell ref="B10:C10"/>
    <mergeCell ref="B6:C7"/>
    <mergeCell ref="B8:M8"/>
    <mergeCell ref="B14:C14"/>
    <mergeCell ref="B16:C16"/>
    <mergeCell ref="D6:D7"/>
    <mergeCell ref="E6:E7"/>
    <mergeCell ref="F6:G6"/>
    <mergeCell ref="B13:C13"/>
    <mergeCell ref="B11:C11"/>
    <mergeCell ref="M6:M7"/>
    <mergeCell ref="B35:C35"/>
    <mergeCell ref="B36:C36"/>
    <mergeCell ref="B2:K2"/>
    <mergeCell ref="B3:K3"/>
    <mergeCell ref="L3:M3"/>
    <mergeCell ref="L2:M2"/>
    <mergeCell ref="H6:I6"/>
    <mergeCell ref="L6:L7"/>
    <mergeCell ref="B4:M4"/>
    <mergeCell ref="B5:M5"/>
    <mergeCell ref="J6:J7"/>
    <mergeCell ref="B12:C12"/>
    <mergeCell ref="B17:C17"/>
    <mergeCell ref="K6:K7"/>
    <mergeCell ref="B9:C9"/>
    <mergeCell ref="B15:M15"/>
    <mergeCell ref="B28:C28"/>
    <mergeCell ref="J25:J26"/>
    <mergeCell ref="K25:K26"/>
    <mergeCell ref="H25:I25"/>
    <mergeCell ref="B27:M27"/>
    <mergeCell ref="B32:C32"/>
    <mergeCell ref="B33:C33"/>
    <mergeCell ref="B29:C29"/>
    <mergeCell ref="B31:C31"/>
    <mergeCell ref="B30:C30"/>
    <mergeCell ref="B34:M34"/>
    <mergeCell ref="B53:M53"/>
    <mergeCell ref="B49:M49"/>
    <mergeCell ref="B50:M50"/>
    <mergeCell ref="B51:M51"/>
    <mergeCell ref="B52:M52"/>
    <mergeCell ref="B38:C38"/>
    <mergeCell ref="B47:M47"/>
    <mergeCell ref="B48:M48"/>
    <mergeCell ref="B40:C40"/>
    <mergeCell ref="B39:C39"/>
    <mergeCell ref="B37:C37"/>
    <mergeCell ref="B43:M43"/>
    <mergeCell ref="B44:M44"/>
    <mergeCell ref="B45:M45"/>
    <mergeCell ref="B46:M46"/>
    <mergeCell ref="B18:C18"/>
    <mergeCell ref="B21:C21"/>
    <mergeCell ref="B24:M24"/>
    <mergeCell ref="M25:M26"/>
    <mergeCell ref="L25:L26"/>
    <mergeCell ref="B25:C26"/>
    <mergeCell ref="D25:D26"/>
    <mergeCell ref="E25:E26"/>
    <mergeCell ref="B19:C19"/>
    <mergeCell ref="B20:C20"/>
    <mergeCell ref="B23:M23"/>
    <mergeCell ref="F25:G25"/>
  </mergeCells>
  <phoneticPr fontId="5" type="noConversion"/>
  <dataValidations xWindow="797" yWindow="402" count="8">
    <dataValidation allowBlank="1" showInputMessage="1" showErrorMessage="1" promptTitle="ENTIDAD BENEFICIARIA:" prompt=" Entidad del grupo,asociada o cualquier otra en la cual se realiza la inversión." sqref="B16:B18 C21 B35:B37 C19 C38 C40"/>
    <dataValidation allowBlank="1" showInputMessage="1" showErrorMessage="1" promptTitle="ENTIDAD BENEFICIARIA:" prompt=" Entidad del grupo o asociada en la cual se realiza la inversión." sqref="B10 C32:C33 B31 C11 C14"/>
    <dataValidation allowBlank="1" showInputMessage="1" showErrorMessage="1" promptTitle="SALDO INICIAL:" prompt=" Saldo a 1 de enero del período al que están referidas las estimaciones." sqref="E10:E13 E28:E32 E16:E20 E35:E39"/>
    <dataValidation allowBlank="1" showInputMessage="1" showErrorMessage="1" promptTitle="ADQUISICIONES:" prompt=" se incluirán los aumentos de valor,en términos brutos, como consecuencia de la adquisición o suscripción de participaciones o formalización de préstamos a favor de empresas del grupo o asociadas." sqref="F9:F14 F28:F32 E14 F35:F39 F18:F20"/>
    <dataValidation allowBlank="1" showInputMessage="1" showErrorMessage="1" promptTitle="REVALORIZACIONES Y OTROS:" prompt=" expresa el incremento de valor de las inversiones financieras como consecuencia de revalorizaciones u otras causas no incluidas dentro del apartado 4." sqref="G9:G14 G28:G33 G16:G20 G35:G39"/>
    <dataValidation allowBlank="1" showInputMessage="1" showErrorMessage="1" promptTitle="ENAJENACIONES:" prompt=" se incluirá, en términos brutos, las ventas de participaciones en entidades o el cobro por la entidad de los créditos y préstamos concedidos a entidades de grupo o asociadas o de valores representativos de deuda emitidos por éstas." sqref="H9:H14 I33:J33 E33:F33 H28:H33 H35:H39 H16:H20 F16:F17"/>
    <dataValidation allowBlank="1" showInputMessage="1" showErrorMessage="1" promptTitle="PERDIDAS DE VALOR Y OTROS:" prompt=" expresa la disminución de valor de las inversiones como consecuencia de pérdidas, bajas en el balance u otras causas no incluidas dentro del apartado 6." sqref="I9:I14 I28:I32 I16:I20 I35:I39"/>
    <dataValidation allowBlank="1" showInputMessage="1" showErrorMessage="1" promptTitle="SALDO FINAL: " prompt="Saldo a 31 de diciembre del ejercicio al que está referidas las estimaciones." sqref="J9:J14 J28:J32 J16:J20 J35:J39"/>
  </dataValidations>
  <printOptions horizontalCentered="1" verticalCentered="1"/>
  <pageMargins left="0.55118110236220474" right="0.47244094488188981" top="0.59" bottom="0.46" header="0" footer="0"/>
  <pageSetup paperSize="9"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  <pageSetUpPr fitToPage="1"/>
  </sheetPr>
  <dimension ref="A1:E267"/>
  <sheetViews>
    <sheetView showGridLines="0" view="pageBreakPreview" topLeftCell="A7" zoomScale="60" workbookViewId="0">
      <selection activeCell="A22" sqref="A22"/>
    </sheetView>
  </sheetViews>
  <sheetFormatPr baseColWidth="10" defaultColWidth="11.5703125" defaultRowHeight="12.75"/>
  <cols>
    <col min="1" max="1" width="108.42578125" style="1" customWidth="1"/>
    <col min="2" max="2" width="15.140625" style="1" customWidth="1"/>
    <col min="3" max="3" width="16.42578125" style="1" customWidth="1"/>
    <col min="4" max="4" width="15" style="1" customWidth="1"/>
    <col min="5" max="16384" width="11.5703125" style="1"/>
  </cols>
  <sheetData>
    <row r="1" spans="1:4" ht="49.9" customHeight="1">
      <c r="A1" s="1142" t="s">
        <v>131</v>
      </c>
      <c r="B1" s="1143"/>
      <c r="C1" s="1144"/>
      <c r="D1" s="16" t="e">
        <f>#REF!</f>
        <v>#REF!</v>
      </c>
    </row>
    <row r="2" spans="1:4" ht="25.9" customHeight="1">
      <c r="A2" s="1145" t="s">
        <v>611</v>
      </c>
      <c r="B2" s="1146"/>
      <c r="C2" s="1147"/>
      <c r="D2" s="13" t="s">
        <v>609</v>
      </c>
    </row>
    <row r="3" spans="1:4" ht="25.9" customHeight="1">
      <c r="A3" s="1148" t="s">
        <v>718</v>
      </c>
      <c r="B3" s="1149"/>
      <c r="C3" s="1149"/>
      <c r="D3" s="1150"/>
    </row>
    <row r="4" spans="1:4" ht="31.5" customHeight="1">
      <c r="A4" s="19" t="s">
        <v>142</v>
      </c>
      <c r="B4" s="9" t="str">
        <f>ACTIVO!C5</f>
        <v>REAL 2015</v>
      </c>
      <c r="C4" s="17" t="str">
        <f>ACTIVO!D5</f>
        <v>ESTIMACIÓN 2016</v>
      </c>
      <c r="D4" s="18" t="str">
        <f>ACTIVO!E5</f>
        <v>PREVISIÓN 2017</v>
      </c>
    </row>
    <row r="5" spans="1:4" s="3" customFormat="1" ht="19.899999999999999" customHeight="1">
      <c r="A5" s="5" t="s">
        <v>178</v>
      </c>
      <c r="B5" s="21"/>
      <c r="C5" s="21"/>
      <c r="D5" s="22"/>
    </row>
    <row r="6" spans="1:4" s="3" customFormat="1" ht="19.899999999999999" customHeight="1">
      <c r="A6" s="5" t="s">
        <v>662</v>
      </c>
      <c r="B6" s="23" t="str">
        <f>CPYG!B6</f>
        <v>A) OPERACIONES CONTINUADAS</v>
      </c>
      <c r="C6" s="23" t="e">
        <f>CPYG!#REF!</f>
        <v>#REF!</v>
      </c>
      <c r="D6" s="24">
        <f>CPYG!C6</f>
        <v>0</v>
      </c>
    </row>
    <row r="7" spans="1:4" s="3" customFormat="1" ht="19.899999999999999" customHeight="1">
      <c r="A7" s="10" t="s">
        <v>143</v>
      </c>
      <c r="B7" s="25" t="str">
        <f>CPYG!B7</f>
        <v>1.  IMPORTE NETO DE LA CIFRA DE NEGOCIOS.</v>
      </c>
      <c r="C7" s="25" t="e">
        <f>CPYG!#REF!</f>
        <v>#REF!</v>
      </c>
      <c r="D7" s="26">
        <f>CPYG!C7</f>
        <v>37174.17</v>
      </c>
    </row>
    <row r="8" spans="1:4" s="3" customFormat="1" ht="19.899999999999999" customHeight="1">
      <c r="A8" s="10" t="s">
        <v>179</v>
      </c>
      <c r="B8" s="25" t="e">
        <f>CPYG!#REF!</f>
        <v>#REF!</v>
      </c>
      <c r="C8" s="25" t="e">
        <f>CPYG!#REF!</f>
        <v>#REF!</v>
      </c>
      <c r="D8" s="26" t="e">
        <f>CPYG!#REF!</f>
        <v>#REF!</v>
      </c>
    </row>
    <row r="9" spans="1:4" s="3" customFormat="1" ht="19.899999999999999" customHeight="1">
      <c r="A9" s="10" t="s">
        <v>663</v>
      </c>
      <c r="B9" s="25" t="e">
        <f>CPYG!#REF!</f>
        <v>#REF!</v>
      </c>
      <c r="C9" s="25" t="e">
        <f>CPYG!#REF!</f>
        <v>#REF!</v>
      </c>
      <c r="D9" s="26" t="e">
        <f>CPYG!#REF!</f>
        <v>#REF!</v>
      </c>
    </row>
    <row r="10" spans="1:4" s="3" customFormat="1" ht="19.899999999999999" customHeight="1">
      <c r="A10" s="10" t="s">
        <v>664</v>
      </c>
      <c r="B10" s="25" t="e">
        <f>CPYG!#REF!</f>
        <v>#REF!</v>
      </c>
      <c r="C10" s="27" t="e">
        <f>CPYG!#REF!</f>
        <v>#REF!</v>
      </c>
      <c r="D10" s="26" t="e">
        <f>CPYG!#REF!</f>
        <v>#REF!</v>
      </c>
    </row>
    <row r="11" spans="1:4" s="3" customFormat="1" ht="19.899999999999999" customHeight="1">
      <c r="A11" s="10" t="s">
        <v>665</v>
      </c>
      <c r="B11" s="25" t="e">
        <f>CPYG!#REF!</f>
        <v>#REF!</v>
      </c>
      <c r="C11" s="27" t="e">
        <f>CPYG!#REF!</f>
        <v>#REF!</v>
      </c>
      <c r="D11" s="26" t="e">
        <f>CPYG!#REF!</f>
        <v>#REF!</v>
      </c>
    </row>
    <row r="12" spans="1:4" s="3" customFormat="1" ht="19.899999999999999" customHeight="1">
      <c r="A12" s="10" t="s">
        <v>181</v>
      </c>
      <c r="B12" s="25" t="e">
        <f>CPYG!#REF!</f>
        <v>#REF!</v>
      </c>
      <c r="C12" s="27" t="e">
        <f>CPYG!#REF!</f>
        <v>#REF!</v>
      </c>
      <c r="D12" s="26" t="e">
        <f>CPYG!#REF!</f>
        <v>#REF!</v>
      </c>
    </row>
    <row r="13" spans="1:4" s="3" customFormat="1" ht="19.899999999999999" customHeight="1">
      <c r="A13" s="10" t="s">
        <v>666</v>
      </c>
      <c r="B13" s="25" t="e">
        <f>CPYG!#REF!</f>
        <v>#REF!</v>
      </c>
      <c r="C13" s="25" t="e">
        <f>CPYG!#REF!</f>
        <v>#REF!</v>
      </c>
      <c r="D13" s="26" t="e">
        <f>CPYG!#REF!</f>
        <v>#REF!</v>
      </c>
    </row>
    <row r="14" spans="1:4" s="3" customFormat="1" ht="19.899999999999999" customHeight="1">
      <c r="A14" s="10" t="s">
        <v>182</v>
      </c>
      <c r="B14" s="25" t="e">
        <f>CPYG!#REF!</f>
        <v>#REF!</v>
      </c>
      <c r="C14" s="25" t="e">
        <f>CPYG!#REF!</f>
        <v>#REF!</v>
      </c>
      <c r="D14" s="26" t="e">
        <f>CPYG!#REF!</f>
        <v>#REF!</v>
      </c>
    </row>
    <row r="15" spans="1:4" s="3" customFormat="1" ht="19.899999999999999" customHeight="1">
      <c r="A15" s="10" t="s">
        <v>668</v>
      </c>
      <c r="B15" s="25" t="e">
        <f>CPYG!#REF!</f>
        <v>#REF!</v>
      </c>
      <c r="C15" s="27" t="e">
        <f>CPYG!#REF!</f>
        <v>#REF!</v>
      </c>
      <c r="D15" s="26" t="e">
        <f>CPYG!#REF!</f>
        <v>#REF!</v>
      </c>
    </row>
    <row r="16" spans="1:4" s="3" customFormat="1" ht="19.899999999999999" customHeight="1">
      <c r="A16" s="10" t="s">
        <v>669</v>
      </c>
      <c r="B16" s="25" t="e">
        <f>CPYG!#REF!</f>
        <v>#REF!</v>
      </c>
      <c r="C16" s="27" t="e">
        <f>CPYG!#REF!</f>
        <v>#REF!</v>
      </c>
      <c r="D16" s="26" t="e">
        <f>CPYG!#REF!</f>
        <v>#REF!</v>
      </c>
    </row>
    <row r="17" spans="1:4" s="3" customFormat="1" ht="19.899999999999999" customHeight="1">
      <c r="A17" s="10" t="s">
        <v>670</v>
      </c>
      <c r="B17" s="25" t="e">
        <f>CPYG!#REF!</f>
        <v>#REF!</v>
      </c>
      <c r="C17" s="27" t="e">
        <f>CPYG!#REF!</f>
        <v>#REF!</v>
      </c>
      <c r="D17" s="26" t="e">
        <f>CPYG!#REF!</f>
        <v>#REF!</v>
      </c>
    </row>
    <row r="18" spans="1:4" s="3" customFormat="1" ht="19.899999999999999" customHeight="1">
      <c r="A18" s="10" t="s">
        <v>183</v>
      </c>
      <c r="B18" s="25" t="e">
        <f>CPYG!#REF!</f>
        <v>#REF!</v>
      </c>
      <c r="C18" s="27" t="e">
        <f>CPYG!#REF!</f>
        <v>#REF!</v>
      </c>
      <c r="D18" s="26" t="e">
        <f>CPYG!#REF!</f>
        <v>#REF!</v>
      </c>
    </row>
    <row r="19" spans="1:4" s="3" customFormat="1" ht="19.899999999999999" customHeight="1">
      <c r="A19" s="5" t="s">
        <v>328</v>
      </c>
      <c r="B19" s="23" t="e">
        <f>CPYG!#REF!</f>
        <v>#REF!</v>
      </c>
      <c r="C19" s="23" t="e">
        <f>CPYG!#REF!</f>
        <v>#REF!</v>
      </c>
      <c r="D19" s="24" t="e">
        <f>CPYG!#REF!</f>
        <v>#REF!</v>
      </c>
    </row>
    <row r="20" spans="1:4" s="3" customFormat="1" ht="19.899999999999999" customHeight="1">
      <c r="A20" s="5" t="s">
        <v>671</v>
      </c>
      <c r="B20" s="23" t="str">
        <f>CPYG!B8</f>
        <v>2. VARIACIÓN DE EXISTENCIAS DE PRODUCTOS TERMINADOS Y EN CURSO DE FABRICACIÓN</v>
      </c>
      <c r="C20" s="23" t="e">
        <f>CPYG!#REF!</f>
        <v>#REF!</v>
      </c>
      <c r="D20" s="24">
        <f>CPYG!C8</f>
        <v>0</v>
      </c>
    </row>
    <row r="21" spans="1:4" s="3" customFormat="1" ht="19.899999999999999" customHeight="1">
      <c r="A21" s="5" t="s">
        <v>672</v>
      </c>
      <c r="B21" s="23" t="str">
        <f>CPYG!B11</f>
        <v>3. TRABAJOS REALIZADOS POR LA EMPRESA PARA SU ACTIVO.</v>
      </c>
      <c r="C21" s="23" t="e">
        <f>CPYG!#REF!</f>
        <v>#REF!</v>
      </c>
      <c r="D21" s="24">
        <f>CPYG!C11</f>
        <v>0</v>
      </c>
    </row>
    <row r="22" spans="1:4" s="3" customFormat="1" ht="19.899999999999999" customHeight="1">
      <c r="A22" s="10" t="s">
        <v>673</v>
      </c>
      <c r="B22" s="25" t="str">
        <f>CPYG!B12</f>
        <v>4. APROVISIONAMIENTOS.</v>
      </c>
      <c r="C22" s="25" t="e">
        <f>CPYG!#REF!</f>
        <v>#REF!</v>
      </c>
      <c r="D22" s="26">
        <f>CPYG!C12</f>
        <v>-76867.3</v>
      </c>
    </row>
    <row r="23" spans="1:4" s="3" customFormat="1" ht="19.899999999999999" customHeight="1">
      <c r="A23" s="10" t="s">
        <v>674</v>
      </c>
      <c r="B23" s="25" t="str">
        <f>CPYG!B13</f>
        <v xml:space="preserve">         a) Consumo de mercaderías.</v>
      </c>
      <c r="C23" s="27" t="e">
        <f>CPYG!#REF!</f>
        <v>#REF!</v>
      </c>
      <c r="D23" s="26">
        <f>CPYG!C13</f>
        <v>0</v>
      </c>
    </row>
    <row r="24" spans="1:4" s="3" customFormat="1" ht="19.899999999999999" customHeight="1">
      <c r="A24" s="10" t="s">
        <v>675</v>
      </c>
      <c r="B24" s="25" t="str">
        <f>CPYG!B14</f>
        <v xml:space="preserve">          b) Consumo de materias primas y otras materias consumibles.</v>
      </c>
      <c r="C24" s="27" t="e">
        <f>CPYG!#REF!</f>
        <v>#REF!</v>
      </c>
      <c r="D24" s="26">
        <f>CPYG!C14</f>
        <v>0</v>
      </c>
    </row>
    <row r="25" spans="1:4" s="3" customFormat="1" ht="19.899999999999999" customHeight="1">
      <c r="A25" s="10" t="s">
        <v>676</v>
      </c>
      <c r="B25" s="25" t="str">
        <f>CPYG!B15</f>
        <v xml:space="preserve">          c) Trabajos realizados por otras empresas.</v>
      </c>
      <c r="C25" s="27" t="e">
        <f>CPYG!#REF!</f>
        <v>#REF!</v>
      </c>
      <c r="D25" s="26">
        <f>CPYG!C15</f>
        <v>-76867.3</v>
      </c>
    </row>
    <row r="26" spans="1:4" s="3" customFormat="1" ht="19.899999999999999" customHeight="1">
      <c r="A26" s="5" t="s">
        <v>677</v>
      </c>
      <c r="B26" s="23" t="str">
        <f>CPYG!B16</f>
        <v xml:space="preserve">          d) Deterioro de mercaderías, materias primas y otros aprovisionamientos.</v>
      </c>
      <c r="C26" s="23" t="e">
        <f>CPYG!#REF!</f>
        <v>#REF!</v>
      </c>
      <c r="D26" s="24">
        <f>CPYG!C16</f>
        <v>0</v>
      </c>
    </row>
    <row r="27" spans="1:4" s="3" customFormat="1" ht="19.899999999999999" customHeight="1">
      <c r="A27" s="10" t="s">
        <v>678</v>
      </c>
      <c r="B27" s="25" t="str">
        <f>CPYG!B17</f>
        <v>5. OTROS INGRESOS DE EXPLOTACIÓN.</v>
      </c>
      <c r="C27" s="25" t="e">
        <f>CPYG!#REF!</f>
        <v>#REF!</v>
      </c>
      <c r="D27" s="26">
        <f>CPYG!C17</f>
        <v>251527.42</v>
      </c>
    </row>
    <row r="28" spans="1:4" s="3" customFormat="1" ht="19.899999999999999" customHeight="1">
      <c r="A28" s="10" t="s">
        <v>680</v>
      </c>
      <c r="B28" s="25" t="str">
        <f>CPYG!B18</f>
        <v xml:space="preserve">      a) Ingresos accesorios y otros de gestión corriente.</v>
      </c>
      <c r="C28" s="25" t="e">
        <f>CPYG!#REF!</f>
        <v>#REF!</v>
      </c>
      <c r="D28" s="26">
        <f>CPYG!C18</f>
        <v>28154.31</v>
      </c>
    </row>
    <row r="29" spans="1:4" s="3" customFormat="1" ht="19.899999999999999" customHeight="1">
      <c r="A29" s="10" t="s">
        <v>681</v>
      </c>
      <c r="B29" s="25" t="str">
        <f>CPYG!B22</f>
        <v xml:space="preserve">      b) Subvenciones de explotación incorporadas al resultado del ejercicio.</v>
      </c>
      <c r="C29" s="27" t="e">
        <f>CPYG!#REF!</f>
        <v>#REF!</v>
      </c>
      <c r="D29" s="28">
        <f>CPYG!C22</f>
        <v>223373.11000000002</v>
      </c>
    </row>
    <row r="30" spans="1:4" s="3" customFormat="1" ht="19.899999999999999" customHeight="1">
      <c r="A30" s="10" t="s">
        <v>329</v>
      </c>
      <c r="B30" s="25" t="str">
        <f>CPYG!B23</f>
        <v xml:space="preserve">          b.1.) Estado.</v>
      </c>
      <c r="C30" s="27" t="e">
        <f>CPYG!#REF!</f>
        <v>#REF!</v>
      </c>
      <c r="D30" s="28">
        <f>CPYG!C23</f>
        <v>47372.69</v>
      </c>
    </row>
    <row r="31" spans="1:4" s="3" customFormat="1" ht="19.899999999999999" customHeight="1">
      <c r="A31" s="10" t="s">
        <v>330</v>
      </c>
      <c r="B31" s="25" t="str">
        <f>CPYG!B24</f>
        <v xml:space="preserve">          b.2.) Comunidad Autónoma</v>
      </c>
      <c r="C31" s="27" t="e">
        <f>CPYG!#REF!</f>
        <v>#REF!</v>
      </c>
      <c r="D31" s="26">
        <f>CPYG!C24</f>
        <v>0</v>
      </c>
    </row>
    <row r="32" spans="1:4" s="3" customFormat="1" ht="19.899999999999999" customHeight="1">
      <c r="A32" s="10" t="s">
        <v>682</v>
      </c>
      <c r="B32" s="25" t="str">
        <f>CPYG!B25</f>
        <v xml:space="preserve">          b.3. ) Corporaciones Locales</v>
      </c>
      <c r="C32" s="25" t="e">
        <f>CPYG!#REF!</f>
        <v>#REF!</v>
      </c>
      <c r="D32" s="26">
        <f>CPYG!C25</f>
        <v>0</v>
      </c>
    </row>
    <row r="33" spans="1:5" s="3" customFormat="1" ht="19.899999999999999" customHeight="1">
      <c r="A33" s="10" t="s">
        <v>683</v>
      </c>
      <c r="B33" s="25" t="str">
        <f>CPYG!B26</f>
        <v xml:space="preserve">          b.4. ) Cabildo Insular de Tenerife.</v>
      </c>
      <c r="C33" s="27" t="e">
        <f>CPYG!#REF!</f>
        <v>#REF!</v>
      </c>
      <c r="D33" s="26">
        <f>CPYG!C26</f>
        <v>175000</v>
      </c>
    </row>
    <row r="34" spans="1:5" s="3" customFormat="1" ht="19.899999999999999" customHeight="1">
      <c r="A34" s="10" t="s">
        <v>684</v>
      </c>
      <c r="B34" s="25" t="str">
        <f>CPYG!B27</f>
        <v xml:space="preserve">          b.5. ) Otros Entes.</v>
      </c>
      <c r="C34" s="27" t="e">
        <f>CPYG!#REF!</f>
        <v>#REF!</v>
      </c>
      <c r="D34" s="26">
        <f>CPYG!C27</f>
        <v>1000.42</v>
      </c>
    </row>
    <row r="35" spans="1:5" s="3" customFormat="1" ht="19.899999999999999" customHeight="1">
      <c r="A35" s="5" t="s">
        <v>685</v>
      </c>
      <c r="B35" s="23" t="str">
        <f>CPYG!B28</f>
        <v xml:space="preserve">          b.6. ) Imputación de subvenciones de explotación de ejercicios anteriores.</v>
      </c>
      <c r="C35" s="23" t="e">
        <f>CPYG!#REF!</f>
        <v>#REF!</v>
      </c>
      <c r="D35" s="24">
        <f>CPYG!C28</f>
        <v>0</v>
      </c>
    </row>
    <row r="36" spans="1:5" s="3" customFormat="1" ht="19.899999999999999" customHeight="1">
      <c r="A36" s="10" t="s">
        <v>686</v>
      </c>
      <c r="B36" s="25" t="str">
        <f>CPYG!B29</f>
        <v>6. GASTOS DE PERSONAL.</v>
      </c>
      <c r="C36" s="25" t="e">
        <f>CPYG!#REF!</f>
        <v>#REF!</v>
      </c>
      <c r="D36" s="26">
        <f>CPYG!C29</f>
        <v>-92176.57</v>
      </c>
      <c r="E36" s="40"/>
    </row>
    <row r="37" spans="1:5" s="3" customFormat="1" ht="19.899999999999999" customHeight="1">
      <c r="A37" s="10" t="s">
        <v>331</v>
      </c>
      <c r="B37" s="25" t="str">
        <f>CPYG!B30</f>
        <v xml:space="preserve">      a) Sueldos, Salarios y Asimilados. (sin indem)</v>
      </c>
      <c r="C37" s="27" t="e">
        <f>CPYG!#REF!</f>
        <v>#REF!</v>
      </c>
      <c r="D37" s="26">
        <f>CPYG!C30</f>
        <v>-71656.17</v>
      </c>
    </row>
    <row r="38" spans="1:5" s="3" customFormat="1" ht="19.899999999999999" customHeight="1">
      <c r="A38" s="10" t="s">
        <v>332</v>
      </c>
      <c r="B38" s="25" t="str">
        <f>CPYG!B31</f>
        <v xml:space="preserve">      b) Indemnizaciones</v>
      </c>
      <c r="C38" s="27" t="e">
        <f>CPYG!#REF!</f>
        <v>#REF!</v>
      </c>
      <c r="D38" s="26">
        <f>CPYG!C31</f>
        <v>0</v>
      </c>
    </row>
    <row r="39" spans="1:5" s="3" customFormat="1" ht="19.899999999999999" customHeight="1">
      <c r="A39" s="10" t="s">
        <v>333</v>
      </c>
      <c r="B39" s="25" t="str">
        <f>CPYG!B32</f>
        <v xml:space="preserve">      c) Seguridad Social a cargo de la empresa</v>
      </c>
      <c r="C39" s="27" t="e">
        <f>CPYG!#REF!</f>
        <v>#REF!</v>
      </c>
      <c r="D39" s="26">
        <f>CPYG!C32</f>
        <v>-19870.400000000001</v>
      </c>
    </row>
    <row r="40" spans="1:5" s="3" customFormat="1" ht="19.899999999999999" customHeight="1">
      <c r="A40" s="10" t="s">
        <v>334</v>
      </c>
      <c r="B40" s="25" t="str">
        <f>CPYG!B33</f>
        <v xml:space="preserve">      d) Aportaciones a Planes de Pensiones u otros de aportación definida</v>
      </c>
      <c r="C40" s="27" t="e">
        <f>CPYG!#REF!</f>
        <v>#REF!</v>
      </c>
      <c r="D40" s="26">
        <f>CPYG!C33</f>
        <v>0</v>
      </c>
    </row>
    <row r="41" spans="1:5" s="3" customFormat="1" ht="19.899999999999999" customHeight="1">
      <c r="A41" s="10" t="s">
        <v>335</v>
      </c>
      <c r="B41" s="25" t="str">
        <f>CPYG!B34</f>
        <v xml:space="preserve">      e) Otros Gastos Sociales</v>
      </c>
      <c r="C41" s="27" t="e">
        <f>CPYG!#REF!</f>
        <v>#REF!</v>
      </c>
      <c r="D41" s="26">
        <f>CPYG!C34</f>
        <v>-650</v>
      </c>
    </row>
    <row r="42" spans="1:5" s="3" customFormat="1" ht="19.899999999999999" customHeight="1">
      <c r="A42" s="5" t="s">
        <v>687</v>
      </c>
      <c r="B42" s="23" t="str">
        <f>CPYG!B35</f>
        <v xml:space="preserve">      f) Provisiones</v>
      </c>
      <c r="C42" s="23" t="e">
        <f>CPYG!#REF!</f>
        <v>#REF!</v>
      </c>
      <c r="D42" s="24">
        <f>CPYG!C35</f>
        <v>0</v>
      </c>
    </row>
    <row r="43" spans="1:5" s="3" customFormat="1" ht="19.899999999999999" customHeight="1">
      <c r="A43" s="10" t="s">
        <v>336</v>
      </c>
      <c r="B43" s="25" t="str">
        <f>CPYG!B37</f>
        <v>7. OTROS GASTOS DE EXPLOTACIÓN.</v>
      </c>
      <c r="C43" s="27" t="e">
        <f>CPYG!#REF!</f>
        <v>#REF!</v>
      </c>
      <c r="D43" s="26">
        <f>CPYG!C37</f>
        <v>-110770.03</v>
      </c>
    </row>
    <row r="44" spans="1:5" s="3" customFormat="1" ht="19.899999999999999" customHeight="1">
      <c r="A44" s="10" t="s">
        <v>337</v>
      </c>
      <c r="B44" s="25" t="str">
        <f>CPYG!B38</f>
        <v xml:space="preserve">      a) Servicios Exteriores</v>
      </c>
      <c r="C44" s="27" t="e">
        <f>CPYG!#REF!</f>
        <v>#REF!</v>
      </c>
      <c r="D44" s="26">
        <f>CPYG!C38</f>
        <v>-109814.48</v>
      </c>
    </row>
    <row r="45" spans="1:5" s="3" customFormat="1" ht="19.899999999999999" customHeight="1">
      <c r="A45" s="10" t="s">
        <v>688</v>
      </c>
      <c r="B45" s="25" t="str">
        <f>CPYG!B39</f>
        <v xml:space="preserve">      b) Tributos</v>
      </c>
      <c r="C45" s="25" t="e">
        <f>CPYG!#REF!</f>
        <v>#REF!</v>
      </c>
      <c r="D45" s="26">
        <f>CPYG!C39</f>
        <v>-955.55</v>
      </c>
    </row>
    <row r="46" spans="1:5" s="3" customFormat="1" ht="19.899999999999999" customHeight="1">
      <c r="A46" s="10" t="s">
        <v>689</v>
      </c>
      <c r="B46" s="25" t="str">
        <f>CPYG!B40</f>
        <v xml:space="preserve">      c) Pérdidas, deterioro y variación de provisiones por operac. Comerciales.</v>
      </c>
      <c r="C46" s="27" t="e">
        <f>CPYG!#REF!</f>
        <v>#REF!</v>
      </c>
      <c r="D46" s="26">
        <f>CPYG!C40</f>
        <v>0</v>
      </c>
    </row>
    <row r="47" spans="1:5" s="3" customFormat="1" ht="19.899999999999999" customHeight="1">
      <c r="A47" s="10" t="s">
        <v>690</v>
      </c>
      <c r="B47" s="25" t="e">
        <f>CPYG!#REF!</f>
        <v>#REF!</v>
      </c>
      <c r="C47" s="27" t="e">
        <f>CPYG!#REF!</f>
        <v>#REF!</v>
      </c>
      <c r="D47" s="26" t="e">
        <f>CPYG!#REF!</f>
        <v>#REF!</v>
      </c>
    </row>
    <row r="48" spans="1:5" s="3" customFormat="1" ht="19.899999999999999" customHeight="1">
      <c r="A48" s="10" t="s">
        <v>691</v>
      </c>
      <c r="B48" s="21" t="e">
        <f>CPYG!#REF!</f>
        <v>#REF!</v>
      </c>
      <c r="C48" s="21" t="e">
        <f>CPYG!#REF!</f>
        <v>#REF!</v>
      </c>
      <c r="D48" s="22" t="e">
        <f>CPYG!#REF!</f>
        <v>#REF!</v>
      </c>
    </row>
    <row r="49" spans="1:4" s="3" customFormat="1" ht="19.899999999999999" customHeight="1">
      <c r="A49" s="5" t="s">
        <v>692</v>
      </c>
      <c r="B49" s="23" t="str">
        <f>CPYG!B41</f>
        <v xml:space="preserve">      d) Otros gastos de gestión corriente.</v>
      </c>
      <c r="C49" s="39" t="e">
        <f>CPYG!#REF!</f>
        <v>#REF!</v>
      </c>
      <c r="D49" s="24">
        <f>CPYG!C41</f>
        <v>0</v>
      </c>
    </row>
    <row r="50" spans="1:4" s="3" customFormat="1" ht="19.899999999999999" customHeight="1">
      <c r="A50" s="5" t="s">
        <v>693</v>
      </c>
      <c r="B50" s="23" t="str">
        <f>CPYG!B42</f>
        <v>8. AMORTIZACIÓN DEL INMOVILIZADO.</v>
      </c>
      <c r="C50" s="23" t="e">
        <f>CPYG!#REF!</f>
        <v>#REF!</v>
      </c>
      <c r="D50" s="24">
        <f>CPYG!C42</f>
        <v>-2479.2399999999998</v>
      </c>
    </row>
    <row r="51" spans="1:4" s="3" customFormat="1" ht="19.899999999999999" customHeight="1">
      <c r="A51" s="5" t="s">
        <v>694</v>
      </c>
      <c r="B51" s="23" t="str">
        <f>CPYG!B46</f>
        <v>9. IMPUTACIÓN DE SUBVENCIONES DE INMOVILIZADO NO FINANCIERO Y OTRAS. (2)</v>
      </c>
      <c r="C51" s="23" t="e">
        <f>CPYG!#REF!</f>
        <v>#REF!</v>
      </c>
      <c r="D51" s="24">
        <f>CPYG!C46</f>
        <v>2479.2399999999998</v>
      </c>
    </row>
    <row r="52" spans="1:4" s="3" customFormat="1" ht="19.899999999999999" customHeight="1">
      <c r="A52" s="5" t="s">
        <v>695</v>
      </c>
      <c r="B52" s="23" t="str">
        <f>CPYG!B47</f>
        <v>10. EXCESOS DE PROVISIONES.</v>
      </c>
      <c r="C52" s="23" t="e">
        <f>CPYG!#REF!</f>
        <v>#REF!</v>
      </c>
      <c r="D52" s="24">
        <f>CPYG!C47</f>
        <v>0</v>
      </c>
    </row>
    <row r="53" spans="1:4" s="3" customFormat="1" ht="19.899999999999999" customHeight="1">
      <c r="A53" s="10" t="s">
        <v>127</v>
      </c>
      <c r="B53" s="25" t="str">
        <f>CPYG!B48</f>
        <v>11. DETERIORO Y RESULTADO POR ENAJENACIONES DEL INMOVILIZADO.</v>
      </c>
      <c r="C53" s="27" t="e">
        <f>CPYG!#REF!</f>
        <v>#REF!</v>
      </c>
      <c r="D53" s="26">
        <f>CPYG!C48</f>
        <v>0</v>
      </c>
    </row>
    <row r="54" spans="1:4" s="3" customFormat="1" ht="19.899999999999999" customHeight="1">
      <c r="A54" s="10" t="s">
        <v>338</v>
      </c>
      <c r="B54" s="25" t="str">
        <f>CPYG!B49</f>
        <v xml:space="preserve">      a) Deterioros y pérdidas</v>
      </c>
      <c r="C54" s="25" t="e">
        <f>CPYG!#REF!</f>
        <v>#REF!</v>
      </c>
      <c r="D54" s="26">
        <f>CPYG!C49</f>
        <v>0</v>
      </c>
    </row>
    <row r="55" spans="1:4" s="41" customFormat="1" ht="19.899999999999999" customHeight="1">
      <c r="A55" s="5" t="s">
        <v>612</v>
      </c>
      <c r="B55" s="23" t="str">
        <f>CPYG!B53</f>
        <v xml:space="preserve">      b) Resultados por enajenaciones y otras</v>
      </c>
      <c r="C55" s="23" t="e">
        <f>CPYG!#REF!</f>
        <v>#REF!</v>
      </c>
      <c r="D55" s="24">
        <f>CPYG!C53</f>
        <v>0</v>
      </c>
    </row>
    <row r="56" spans="1:4" s="3" customFormat="1" ht="19.899999999999999" customHeight="1">
      <c r="A56" s="5" t="s">
        <v>613</v>
      </c>
      <c r="B56" s="23" t="str">
        <f>CPYG!B62</f>
        <v>13. OTROS RESULTADOS</v>
      </c>
      <c r="C56" s="23" t="e">
        <f>CPYG!#REF!</f>
        <v>#REF!</v>
      </c>
      <c r="D56" s="24">
        <f>CPYG!C62</f>
        <v>0</v>
      </c>
    </row>
    <row r="57" spans="1:4" s="3" customFormat="1" ht="19.899999999999999" customHeight="1">
      <c r="A57" s="5" t="s">
        <v>696</v>
      </c>
      <c r="B57" s="23" t="str">
        <f>CPYG!B65</f>
        <v>A.1.)  RESULTADO DE EXPLOTACIÓN (∑(1+2+3+4+5+6+7+8+9+10+11+12+12a+13))</v>
      </c>
      <c r="C57" s="23" t="e">
        <f>CPYG!#REF!</f>
        <v>#REF!</v>
      </c>
      <c r="D57" s="24">
        <f>CPYG!C65</f>
        <v>8887.6900000000023</v>
      </c>
    </row>
    <row r="58" spans="1:4" s="3" customFormat="1" ht="19.899999999999999" customHeight="1">
      <c r="A58" s="10" t="s">
        <v>697</v>
      </c>
      <c r="B58" s="25" t="str">
        <f>CPYG!B66</f>
        <v>14. INGRESOS FINANCIEROS.</v>
      </c>
      <c r="C58" s="25" t="e">
        <f>CPYG!#REF!</f>
        <v>#REF!</v>
      </c>
      <c r="D58" s="26">
        <f>CPYG!C66</f>
        <v>0</v>
      </c>
    </row>
    <row r="59" spans="1:4" s="3" customFormat="1" ht="19.899999999999999" customHeight="1">
      <c r="A59" s="10" t="s">
        <v>698</v>
      </c>
      <c r="B59" s="25" t="str">
        <f>CPYG!B67</f>
        <v xml:space="preserve">      a) De participaciones en instrumentos de patrimonio.</v>
      </c>
      <c r="C59" s="27" t="e">
        <f>CPYG!#REF!</f>
        <v>#REF!</v>
      </c>
      <c r="D59" s="26">
        <f>CPYG!C67</f>
        <v>0</v>
      </c>
    </row>
    <row r="60" spans="1:4" s="3" customFormat="1" ht="19.899999999999999" customHeight="1">
      <c r="A60" s="10" t="s">
        <v>699</v>
      </c>
      <c r="B60" s="25" t="str">
        <f>CPYG!B68</f>
        <v xml:space="preserve">          a.1.) En empresas del grupo y asociadas.</v>
      </c>
      <c r="C60" s="27" t="e">
        <f>CPYG!#REF!</f>
        <v>#REF!</v>
      </c>
      <c r="D60" s="26">
        <f>CPYG!C68</f>
        <v>0</v>
      </c>
    </row>
    <row r="61" spans="1:4" s="3" customFormat="1" ht="19.899999999999999" customHeight="1">
      <c r="A61" s="10" t="s">
        <v>339</v>
      </c>
      <c r="B61" s="25" t="str">
        <f>CPYG!B69</f>
        <v xml:space="preserve">          a.2) En terceros.</v>
      </c>
      <c r="C61" s="25" t="e">
        <f>CPYG!#REF!</f>
        <v>#REF!</v>
      </c>
      <c r="D61" s="26">
        <f>CPYG!C69</f>
        <v>0</v>
      </c>
    </row>
    <row r="62" spans="1:4" s="3" customFormat="1" ht="19.899999999999999" customHeight="1">
      <c r="A62" s="10" t="s">
        <v>700</v>
      </c>
      <c r="B62" s="25" t="str">
        <f>CPYG!B70</f>
        <v xml:space="preserve">      b) De valores negociables y otros instrumentos financieros</v>
      </c>
      <c r="C62" s="27" t="e">
        <f>CPYG!#REF!</f>
        <v>#REF!</v>
      </c>
      <c r="D62" s="26">
        <f>CPYG!C70</f>
        <v>0</v>
      </c>
    </row>
    <row r="63" spans="1:4" s="3" customFormat="1" ht="19.899999999999999" customHeight="1">
      <c r="A63" s="10" t="s">
        <v>701</v>
      </c>
      <c r="B63" s="25" t="str">
        <f>CPYG!B71</f>
        <v xml:space="preserve">          b.1.) En empresas del grupo y asociadas.</v>
      </c>
      <c r="C63" s="25" t="e">
        <f>CPYG!#REF!</f>
        <v>#REF!</v>
      </c>
      <c r="D63" s="26">
        <f>CPYG!C71</f>
        <v>0</v>
      </c>
    </row>
    <row r="64" spans="1:4" s="3" customFormat="1" ht="19.899999999999999" customHeight="1">
      <c r="A64" s="5" t="s">
        <v>702</v>
      </c>
      <c r="B64" s="23" t="str">
        <f>CPYG!B72</f>
        <v xml:space="preserve">          b.2) En terceros.</v>
      </c>
      <c r="C64" s="23" t="e">
        <f>CPYG!#REF!</f>
        <v>#REF!</v>
      </c>
      <c r="D64" s="24">
        <f>CPYG!C72</f>
        <v>0</v>
      </c>
    </row>
    <row r="65" spans="1:4" s="3" customFormat="1" ht="19.899999999999999" customHeight="1">
      <c r="A65" s="10" t="s">
        <v>703</v>
      </c>
      <c r="B65" s="25" t="str">
        <f>CPYG!B74</f>
        <v>15. GASTOS FINANCIEROS.</v>
      </c>
      <c r="C65" s="27" t="e">
        <f>CPYG!#REF!</f>
        <v>#REF!</v>
      </c>
      <c r="D65" s="26">
        <f>CPYG!C74</f>
        <v>-3.01</v>
      </c>
    </row>
    <row r="66" spans="1:4" s="3" customFormat="1" ht="19.899999999999999" customHeight="1">
      <c r="A66" s="10" t="s">
        <v>340</v>
      </c>
      <c r="B66" s="29" t="str">
        <f>CPYG!B75</f>
        <v xml:space="preserve">      a) Por deudas con empresas del grupo y asociadas.</v>
      </c>
      <c r="C66" s="29" t="e">
        <f>CPYG!#REF!</f>
        <v>#REF!</v>
      </c>
      <c r="D66" s="30">
        <f>CPYG!C75</f>
        <v>0</v>
      </c>
    </row>
    <row r="67" spans="1:4" s="3" customFormat="1" ht="19.899999999999999" customHeight="1">
      <c r="A67" s="10" t="s">
        <v>341</v>
      </c>
      <c r="B67" s="29" t="str">
        <f>CPYG!B76</f>
        <v xml:space="preserve">      b) Por deudas con terceros</v>
      </c>
      <c r="C67" s="29" t="e">
        <f>CPYG!#REF!</f>
        <v>#REF!</v>
      </c>
      <c r="D67" s="30">
        <f>CPYG!C76</f>
        <v>-3.01</v>
      </c>
    </row>
    <row r="68" spans="1:4" s="3" customFormat="1" ht="19.899999999999999" customHeight="1">
      <c r="A68" s="5" t="s">
        <v>704</v>
      </c>
      <c r="B68" s="23" t="str">
        <f>CPYG!B77</f>
        <v xml:space="preserve">      c) Por actualización de provisiones</v>
      </c>
      <c r="C68" s="23" t="e">
        <f>CPYG!#REF!</f>
        <v>#REF!</v>
      </c>
      <c r="D68" s="24">
        <f>CPYG!C77</f>
        <v>0</v>
      </c>
    </row>
    <row r="69" spans="1:4" s="3" customFormat="1" ht="19.899999999999999" customHeight="1">
      <c r="A69" s="10" t="s">
        <v>705</v>
      </c>
      <c r="B69" s="29" t="str">
        <f>CPYG!B78</f>
        <v>16. VARIACIÓN DE VALOR RAZONABLE EN INSTRUMENTOS FINANCIEROS.</v>
      </c>
      <c r="C69" s="29" t="e">
        <f>CPYG!#REF!</f>
        <v>#REF!</v>
      </c>
      <c r="D69" s="30">
        <f>CPYG!C78</f>
        <v>0</v>
      </c>
    </row>
    <row r="70" spans="1:4" s="3" customFormat="1" ht="19.899999999999999" customHeight="1">
      <c r="A70" s="10" t="s">
        <v>342</v>
      </c>
      <c r="B70" s="29" t="str">
        <f>CPYG!B79</f>
        <v xml:space="preserve">      a) Cartera de negociación y otros.</v>
      </c>
      <c r="C70" s="29" t="e">
        <f>CPYG!#REF!</f>
        <v>#REF!</v>
      </c>
      <c r="D70" s="30">
        <f>CPYG!C79</f>
        <v>0</v>
      </c>
    </row>
    <row r="71" spans="1:4" s="3" customFormat="1" ht="19.899999999999999" customHeight="1">
      <c r="A71" s="5" t="s">
        <v>706</v>
      </c>
      <c r="B71" s="23" t="str">
        <f>CPYG!B80</f>
        <v xml:space="preserve">      b) Imputación al resultado del ejercicio por activos financieros disponibles para la venta</v>
      </c>
      <c r="C71" s="23" t="e">
        <f>CPYG!#REF!</f>
        <v>#REF!</v>
      </c>
      <c r="D71" s="24">
        <f>CPYG!C80</f>
        <v>0</v>
      </c>
    </row>
    <row r="72" spans="1:4" s="3" customFormat="1" ht="19.899999999999999" customHeight="1">
      <c r="A72" s="5" t="s">
        <v>614</v>
      </c>
      <c r="B72" s="23" t="str">
        <f>CPYG!B81</f>
        <v>17. DIFERENCIA DE CAMBIO.</v>
      </c>
      <c r="C72" s="23" t="e">
        <f>CPYG!#REF!</f>
        <v>#REF!</v>
      </c>
      <c r="D72" s="24">
        <f>CPYG!C81</f>
        <v>-233.47</v>
      </c>
    </row>
    <row r="73" spans="1:4" s="3" customFormat="1" ht="20.25" customHeight="1">
      <c r="A73" s="10" t="s">
        <v>707</v>
      </c>
      <c r="B73" s="29" t="str">
        <f>CPYG!B82</f>
        <v>18. DETERIORO Y RESULTADO POR ENAJENACIONES DE INSTRUMENTOS FINANCIEROS</v>
      </c>
      <c r="C73" s="29" t="e">
        <f>CPYG!#REF!</f>
        <v>#REF!</v>
      </c>
      <c r="D73" s="30">
        <f>CPYG!C82</f>
        <v>0</v>
      </c>
    </row>
    <row r="74" spans="1:4" s="3" customFormat="1" ht="17.25" customHeight="1">
      <c r="A74" s="12" t="s">
        <v>338</v>
      </c>
      <c r="B74" s="29" t="str">
        <f>CPYG!B83</f>
        <v xml:space="preserve">      a) Deterioros y Pérdidas.</v>
      </c>
      <c r="C74" s="29" t="e">
        <f>CPYG!#REF!</f>
        <v>#REF!</v>
      </c>
      <c r="D74" s="30">
        <f>CPYG!C83</f>
        <v>0</v>
      </c>
    </row>
    <row r="75" spans="1:4" s="3" customFormat="1" ht="19.899999999999999" customHeight="1">
      <c r="A75" s="5" t="s">
        <v>615</v>
      </c>
      <c r="B75" s="23" t="str">
        <f>CPYG!B84</f>
        <v xml:space="preserve">      b) Resultados por enajenaciones y otras.</v>
      </c>
      <c r="C75" s="23" t="e">
        <f>CPYG!#REF!</f>
        <v>#REF!</v>
      </c>
      <c r="D75" s="24">
        <f>CPYG!C84</f>
        <v>0</v>
      </c>
    </row>
    <row r="76" spans="1:4" s="3" customFormat="1" ht="19.899999999999999" customHeight="1">
      <c r="A76" s="5" t="s">
        <v>343</v>
      </c>
      <c r="B76" s="23" t="str">
        <f>CPYG!B88</f>
        <v>A.2.) RESULTADO FINANCIERO (∑ (14 A 19))</v>
      </c>
      <c r="C76" s="23" t="e">
        <f>CPYG!#REF!</f>
        <v>#REF!</v>
      </c>
      <c r="D76" s="24">
        <f>CPYG!C88</f>
        <v>-236.48</v>
      </c>
    </row>
    <row r="77" spans="1:4" s="3" customFormat="1" ht="19.899999999999999" customHeight="1">
      <c r="A77" s="5" t="s">
        <v>125</v>
      </c>
      <c r="B77" s="23" t="str">
        <f>CPYG!B89</f>
        <v>A.3.) RESULTADO ANTES DE IMPUESTOS (A.1 + A.2)</v>
      </c>
      <c r="C77" s="39" t="e">
        <f>CPYG!#REF!</f>
        <v>#REF!</v>
      </c>
      <c r="D77" s="24">
        <f>CPYG!C89</f>
        <v>8651.2100000000028</v>
      </c>
    </row>
    <row r="78" spans="1:4" s="3" customFormat="1" ht="25.5" customHeight="1">
      <c r="A78" s="11" t="s">
        <v>616</v>
      </c>
      <c r="B78" s="23" t="str">
        <f>CPYG!B90</f>
        <v>20. IMPUESTOS SOBRE BENEFICIOS.</v>
      </c>
      <c r="C78" s="23" t="e">
        <f>CPYG!#REF!</f>
        <v>#REF!</v>
      </c>
      <c r="D78" s="24">
        <f>CPYG!C90</f>
        <v>2892.02</v>
      </c>
    </row>
    <row r="79" spans="1:4" s="3" customFormat="1" ht="19.899999999999999" customHeight="1">
      <c r="A79" s="5" t="s">
        <v>344</v>
      </c>
      <c r="B79" s="23"/>
      <c r="C79" s="23"/>
      <c r="D79" s="24"/>
    </row>
    <row r="80" spans="1:4" s="3" customFormat="1" ht="19.899999999999999" customHeight="1">
      <c r="A80" s="5" t="s">
        <v>617</v>
      </c>
      <c r="B80" s="23" t="str">
        <f>CPYG!B92</f>
        <v>B) OPERACIONES INTERRUMPIDAS</v>
      </c>
      <c r="C80" s="23" t="e">
        <f>CPYG!#REF!</f>
        <v>#REF!</v>
      </c>
      <c r="D80" s="24">
        <f>CPYG!C92</f>
        <v>0</v>
      </c>
    </row>
    <row r="81" spans="1:5" s="3" customFormat="1" ht="39.75" customHeight="1" thickBot="1">
      <c r="A81" s="20" t="s">
        <v>618</v>
      </c>
      <c r="B81" s="31" t="str">
        <f>CPYG!B93</f>
        <v>21. RESULTADO DEL EJERCICIO PROCEDENTE DE OPERACIONES INTERRUMPIDAS NETO DE IMPUESTOS.</v>
      </c>
      <c r="C81" s="31" t="e">
        <f>CPYG!#REF!</f>
        <v>#REF!</v>
      </c>
      <c r="D81" s="32">
        <f>CPYG!C93</f>
        <v>0</v>
      </c>
    </row>
    <row r="82" spans="1:5" ht="19.899999999999999" customHeight="1">
      <c r="B82" s="33"/>
      <c r="C82" s="33"/>
      <c r="D82" s="33"/>
    </row>
    <row r="83" spans="1:5" ht="19.899999999999999" customHeight="1">
      <c r="B83" s="34"/>
      <c r="C83" s="34"/>
      <c r="D83" s="34"/>
    </row>
    <row r="84" spans="1:5" ht="19.899999999999999" customHeight="1">
      <c r="A84" s="36" t="s">
        <v>180</v>
      </c>
      <c r="B84" s="34"/>
      <c r="C84" s="34"/>
      <c r="D84" s="34"/>
    </row>
    <row r="85" spans="1:5" ht="19.899999999999999" customHeight="1">
      <c r="A85" s="7" t="s">
        <v>126</v>
      </c>
      <c r="B85" s="35"/>
      <c r="C85" s="35"/>
      <c r="D85" s="35"/>
      <c r="E85" s="6"/>
    </row>
    <row r="86" spans="1:5" ht="19.899999999999999" customHeight="1">
      <c r="A86" s="8"/>
      <c r="B86" s="33"/>
      <c r="C86" s="33"/>
      <c r="D86" s="33"/>
    </row>
    <row r="87" spans="1:5" ht="19.899999999999999" customHeight="1">
      <c r="B87" s="33"/>
      <c r="C87" s="33"/>
      <c r="D87" s="33"/>
    </row>
    <row r="88" spans="1:5" ht="19.899999999999999" customHeight="1">
      <c r="B88" s="33"/>
      <c r="C88" s="33"/>
      <c r="D88" s="33"/>
    </row>
    <row r="89" spans="1:5" ht="19.899999999999999" customHeight="1">
      <c r="B89" s="33"/>
      <c r="C89" s="33"/>
      <c r="D89" s="33"/>
    </row>
    <row r="90" spans="1:5" ht="19.899999999999999" customHeight="1">
      <c r="B90" s="33">
        <f>PASIVO!C20</f>
        <v>11543.230000000003</v>
      </c>
      <c r="C90" s="33">
        <f>PASIVO!D20</f>
        <v>861.29172222220757</v>
      </c>
      <c r="D90" s="33">
        <f>PASIVO!E20</f>
        <v>6486.1599999999726</v>
      </c>
    </row>
    <row r="91" spans="1:5" ht="19.899999999999999" customHeight="1">
      <c r="B91" s="33" t="e">
        <f>B81-B90</f>
        <v>#VALUE!</v>
      </c>
      <c r="C91" s="33" t="e">
        <f>C81-C90</f>
        <v>#REF!</v>
      </c>
      <c r="D91" s="33">
        <f>D81-D90</f>
        <v>-6486.1599999999726</v>
      </c>
    </row>
    <row r="92" spans="1:5" ht="19.899999999999999" customHeight="1">
      <c r="B92" s="33"/>
      <c r="C92" s="33"/>
      <c r="D92" s="33"/>
    </row>
    <row r="93" spans="1:5" ht="19.899999999999999" customHeight="1">
      <c r="B93" s="33"/>
      <c r="C93" s="33"/>
      <c r="D93" s="33"/>
    </row>
    <row r="94" spans="1:5" ht="19.899999999999999" customHeight="1">
      <c r="B94" s="33"/>
      <c r="C94" s="33"/>
      <c r="D94" s="33"/>
    </row>
    <row r="95" spans="1:5" ht="19.899999999999999" customHeight="1">
      <c r="B95" s="33"/>
      <c r="C95" s="33"/>
      <c r="D95" s="33"/>
    </row>
    <row r="96" spans="1:5" ht="19.899999999999999" customHeight="1">
      <c r="B96" s="33"/>
      <c r="C96" s="33"/>
      <c r="D96" s="33"/>
    </row>
    <row r="97" spans="2:4" ht="19.899999999999999" customHeight="1">
      <c r="B97" s="33"/>
      <c r="C97" s="33"/>
      <c r="D97" s="33"/>
    </row>
    <row r="98" spans="2:4" ht="19.899999999999999" customHeight="1">
      <c r="B98" s="33"/>
      <c r="C98" s="33"/>
      <c r="D98" s="33"/>
    </row>
    <row r="99" spans="2:4" ht="19.899999999999999" customHeight="1">
      <c r="B99" s="33"/>
      <c r="C99" s="33"/>
      <c r="D99" s="33"/>
    </row>
    <row r="100" spans="2:4" ht="19.899999999999999" customHeight="1">
      <c r="B100" s="33"/>
      <c r="C100" s="33"/>
      <c r="D100" s="33"/>
    </row>
    <row r="101" spans="2:4" ht="19.899999999999999" customHeight="1">
      <c r="B101" s="33"/>
      <c r="C101" s="33"/>
      <c r="D101" s="33"/>
    </row>
    <row r="102" spans="2:4" ht="19.899999999999999" customHeight="1">
      <c r="B102" s="33"/>
      <c r="C102" s="33"/>
      <c r="D102" s="33"/>
    </row>
    <row r="103" spans="2:4" ht="19.899999999999999" customHeight="1">
      <c r="B103" s="33"/>
      <c r="C103" s="33"/>
      <c r="D103" s="33"/>
    </row>
    <row r="104" spans="2:4" ht="19.899999999999999" customHeight="1">
      <c r="B104" s="33"/>
      <c r="C104" s="33"/>
      <c r="D104" s="33"/>
    </row>
    <row r="105" spans="2:4" ht="19.899999999999999" customHeight="1">
      <c r="B105" s="33"/>
      <c r="C105" s="33"/>
      <c r="D105" s="33"/>
    </row>
    <row r="106" spans="2:4" ht="19.899999999999999" customHeight="1">
      <c r="B106" s="33"/>
      <c r="C106" s="33"/>
      <c r="D106" s="33"/>
    </row>
    <row r="107" spans="2:4" ht="19.899999999999999" customHeight="1">
      <c r="B107" s="33"/>
      <c r="C107" s="33"/>
      <c r="D107" s="33"/>
    </row>
    <row r="108" spans="2:4" ht="19.899999999999999" customHeight="1">
      <c r="B108" s="33"/>
      <c r="C108" s="33"/>
      <c r="D108" s="33"/>
    </row>
    <row r="109" spans="2:4" ht="19.899999999999999" customHeight="1">
      <c r="B109" s="33"/>
      <c r="C109" s="33"/>
      <c r="D109" s="33"/>
    </row>
    <row r="110" spans="2:4" ht="19.899999999999999" customHeight="1">
      <c r="B110" s="33"/>
      <c r="C110" s="33"/>
      <c r="D110" s="33"/>
    </row>
    <row r="111" spans="2:4" ht="19.899999999999999" customHeight="1">
      <c r="B111" s="33"/>
      <c r="C111" s="33"/>
      <c r="D111" s="33"/>
    </row>
    <row r="112" spans="2:4" ht="19.899999999999999" customHeight="1">
      <c r="B112" s="33"/>
      <c r="C112" s="33"/>
      <c r="D112" s="33"/>
    </row>
    <row r="113" spans="2:4" ht="19.899999999999999" customHeight="1">
      <c r="B113" s="33"/>
      <c r="C113" s="33"/>
      <c r="D113" s="33"/>
    </row>
    <row r="114" spans="2:4" ht="19.899999999999999" customHeight="1"/>
    <row r="115" spans="2:4" ht="19.899999999999999" customHeight="1"/>
    <row r="116" spans="2:4" ht="19.899999999999999" customHeight="1"/>
    <row r="117" spans="2:4" ht="19.899999999999999" customHeight="1"/>
    <row r="118" spans="2:4" ht="19.899999999999999" customHeight="1"/>
    <row r="119" spans="2:4" ht="19.899999999999999" customHeight="1"/>
    <row r="120" spans="2:4" ht="19.899999999999999" customHeight="1"/>
    <row r="121" spans="2:4" ht="19.899999999999999" customHeight="1"/>
    <row r="122" spans="2:4" ht="19.899999999999999" customHeight="1"/>
    <row r="123" spans="2:4" ht="19.899999999999999" customHeight="1"/>
    <row r="124" spans="2:4" ht="19.899999999999999" customHeight="1"/>
    <row r="125" spans="2:4" ht="19.899999999999999" customHeight="1"/>
    <row r="126" spans="2:4" ht="19.899999999999999" customHeight="1"/>
    <row r="127" spans="2:4" ht="19.899999999999999" customHeight="1"/>
    <row r="128" spans="2:4" ht="19.899999999999999" customHeight="1"/>
    <row r="129" ht="19.899999999999999" customHeight="1"/>
    <row r="130" ht="19.899999999999999" customHeight="1"/>
    <row r="131" ht="19.899999999999999" customHeight="1"/>
    <row r="132" ht="19.899999999999999" customHeight="1"/>
    <row r="133" ht="19.899999999999999" customHeight="1"/>
    <row r="134" ht="19.899999999999999" customHeight="1"/>
    <row r="135" ht="19.899999999999999" customHeight="1"/>
    <row r="136" ht="19.899999999999999" customHeight="1"/>
    <row r="137" ht="19.899999999999999" customHeight="1"/>
    <row r="138" ht="19.899999999999999" customHeight="1"/>
    <row r="139" ht="19.899999999999999" customHeight="1"/>
    <row r="140" ht="19.899999999999999" customHeight="1"/>
    <row r="141" ht="19.899999999999999" customHeight="1"/>
    <row r="142" ht="19.899999999999999" customHeight="1"/>
    <row r="143" ht="19.899999999999999" customHeight="1"/>
    <row r="144" ht="19.899999999999999" customHeight="1"/>
    <row r="145" ht="19.899999999999999" customHeight="1"/>
    <row r="146" ht="19.899999999999999" customHeight="1"/>
    <row r="147" ht="19.899999999999999" customHeight="1"/>
    <row r="148" ht="19.899999999999999" customHeight="1"/>
    <row r="149" ht="19.899999999999999" customHeight="1"/>
    <row r="150" ht="19.899999999999999" customHeight="1"/>
    <row r="151" ht="19.899999999999999" customHeight="1"/>
    <row r="152" ht="19.899999999999999" customHeight="1"/>
    <row r="153" ht="19.899999999999999" customHeight="1"/>
    <row r="154" ht="19.899999999999999" customHeight="1"/>
    <row r="155" ht="19.899999999999999" customHeight="1"/>
    <row r="156" ht="19.899999999999999" customHeight="1"/>
    <row r="157" ht="19.899999999999999" customHeight="1"/>
    <row r="158" ht="19.899999999999999" customHeight="1"/>
    <row r="159" ht="19.899999999999999" customHeight="1"/>
    <row r="160" ht="19.899999999999999" customHeight="1"/>
    <row r="161" ht="19.899999999999999" customHeight="1"/>
    <row r="162" ht="19.899999999999999" customHeight="1"/>
    <row r="163" ht="19.899999999999999" customHeight="1"/>
    <row r="164" ht="19.899999999999999" customHeight="1"/>
    <row r="165" ht="19.899999999999999" customHeight="1"/>
    <row r="166" ht="19.899999999999999" customHeight="1"/>
    <row r="167" ht="19.899999999999999" customHeight="1"/>
    <row r="168" ht="19.899999999999999" customHeight="1"/>
    <row r="169" ht="19.899999999999999" customHeight="1"/>
    <row r="170" ht="19.899999999999999" customHeight="1"/>
    <row r="171" ht="19.899999999999999" customHeight="1"/>
    <row r="172" ht="19.899999999999999" customHeight="1"/>
    <row r="173" ht="19.899999999999999" customHeight="1"/>
    <row r="174" ht="19.899999999999999" customHeight="1"/>
    <row r="175" ht="19.899999999999999" customHeight="1"/>
    <row r="176" ht="19.899999999999999" customHeight="1"/>
    <row r="177" ht="19.899999999999999" customHeight="1"/>
    <row r="178" ht="19.899999999999999" customHeight="1"/>
    <row r="179" ht="19.899999999999999" customHeight="1"/>
    <row r="180" ht="19.899999999999999" customHeight="1"/>
    <row r="181" ht="19.899999999999999" customHeight="1"/>
    <row r="182" ht="19.899999999999999" customHeight="1"/>
    <row r="183" ht="19.899999999999999" customHeight="1"/>
    <row r="184" ht="19.899999999999999" customHeight="1"/>
    <row r="185" ht="19.899999999999999" customHeight="1"/>
    <row r="186" ht="19.899999999999999" customHeight="1"/>
    <row r="187" ht="19.899999999999999" customHeight="1"/>
    <row r="188" ht="19.899999999999999" customHeight="1"/>
    <row r="189" ht="19.899999999999999" customHeight="1"/>
    <row r="190" ht="19.899999999999999" customHeight="1"/>
    <row r="191" ht="19.899999999999999" customHeight="1"/>
    <row r="192" ht="19.899999999999999" customHeight="1"/>
    <row r="193" ht="19.899999999999999" customHeight="1"/>
    <row r="194" ht="19.899999999999999" customHeight="1"/>
    <row r="195" ht="19.899999999999999" customHeight="1"/>
    <row r="196" ht="19.899999999999999" customHeight="1"/>
    <row r="197" ht="19.899999999999999" customHeight="1"/>
    <row r="198" ht="19.899999999999999" customHeight="1"/>
    <row r="199" ht="19.899999999999999" customHeight="1"/>
    <row r="200" ht="19.899999999999999" customHeight="1"/>
    <row r="201" ht="19.899999999999999" customHeight="1"/>
    <row r="202" ht="19.899999999999999" customHeight="1"/>
    <row r="203" ht="19.899999999999999" customHeight="1"/>
    <row r="204" ht="19.899999999999999" customHeight="1"/>
    <row r="205" ht="19.899999999999999" customHeight="1"/>
    <row r="206" ht="19.899999999999999" customHeight="1"/>
    <row r="207" ht="19.899999999999999" customHeight="1"/>
    <row r="208" ht="19.899999999999999" customHeight="1"/>
    <row r="209" ht="19.899999999999999" customHeight="1"/>
    <row r="210" ht="19.899999999999999" customHeight="1"/>
    <row r="211" ht="19.899999999999999" customHeight="1"/>
    <row r="212" ht="19.899999999999999" customHeight="1"/>
    <row r="213" ht="19.899999999999999" customHeight="1"/>
    <row r="214" ht="19.899999999999999" customHeight="1"/>
    <row r="215" ht="19.899999999999999" customHeight="1"/>
    <row r="216" ht="19.899999999999999" customHeight="1"/>
    <row r="217" ht="19.899999999999999" customHeight="1"/>
    <row r="218" ht="19.899999999999999" customHeight="1"/>
    <row r="219" ht="19.899999999999999" customHeight="1"/>
    <row r="220" ht="19.899999999999999" customHeight="1"/>
    <row r="221" ht="19.899999999999999" customHeight="1"/>
    <row r="222" ht="19.899999999999999" customHeight="1"/>
    <row r="223" ht="19.899999999999999" customHeight="1"/>
    <row r="224" ht="19.899999999999999" customHeight="1"/>
    <row r="225" ht="19.899999999999999" customHeight="1"/>
    <row r="226" ht="19.899999999999999" customHeight="1"/>
    <row r="227" ht="19.899999999999999" customHeight="1"/>
    <row r="228" ht="19.899999999999999" customHeight="1"/>
    <row r="229" ht="19.899999999999999" customHeight="1"/>
    <row r="230" ht="19.899999999999999" customHeight="1"/>
    <row r="231" ht="19.899999999999999" customHeight="1"/>
    <row r="232" ht="19.899999999999999" customHeight="1"/>
    <row r="233" ht="19.899999999999999" customHeight="1"/>
    <row r="234" ht="19.899999999999999" customHeight="1"/>
    <row r="235" ht="19.899999999999999" customHeight="1"/>
    <row r="236" ht="19.899999999999999" customHeight="1"/>
    <row r="237" ht="19.899999999999999" customHeight="1"/>
    <row r="238" ht="19.899999999999999" customHeight="1"/>
    <row r="239" ht="19.899999999999999" customHeight="1"/>
    <row r="240" ht="19.899999999999999" customHeight="1"/>
    <row r="241" ht="19.899999999999999" customHeight="1"/>
    <row r="242" ht="19.899999999999999" customHeight="1"/>
    <row r="243" ht="19.899999999999999" customHeight="1"/>
    <row r="244" ht="19.899999999999999" customHeight="1"/>
    <row r="245" ht="19.899999999999999" customHeight="1"/>
    <row r="246" ht="19.899999999999999" customHeight="1"/>
    <row r="247" ht="19.899999999999999" customHeight="1"/>
    <row r="248" ht="19.899999999999999" customHeight="1"/>
    <row r="249" ht="19.899999999999999" customHeight="1"/>
    <row r="250" ht="19.899999999999999" customHeight="1"/>
    <row r="251" ht="19.899999999999999" customHeight="1"/>
    <row r="252" ht="19.899999999999999" customHeight="1"/>
    <row r="253" ht="19.899999999999999" customHeight="1"/>
    <row r="254" ht="19.899999999999999" customHeight="1"/>
    <row r="255" ht="19.899999999999999" customHeight="1"/>
    <row r="256" ht="19.899999999999999" customHeight="1"/>
    <row r="257" ht="19.899999999999999" customHeight="1"/>
    <row r="258" ht="19.899999999999999" customHeight="1"/>
    <row r="259" ht="19.899999999999999" customHeight="1"/>
    <row r="260" ht="19.899999999999999" customHeight="1"/>
    <row r="261" ht="19.899999999999999" customHeight="1"/>
    <row r="262" ht="19.899999999999999" customHeight="1"/>
    <row r="263" ht="19.899999999999999" customHeight="1"/>
    <row r="264" ht="19.899999999999999" customHeight="1"/>
    <row r="265" ht="19.899999999999999" customHeight="1"/>
    <row r="266" ht="19.899999999999999" customHeight="1"/>
    <row r="267" ht="19.899999999999999" customHeight="1"/>
  </sheetData>
  <mergeCells count="3">
    <mergeCell ref="A1:C1"/>
    <mergeCell ref="A2:C2"/>
    <mergeCell ref="A3:D3"/>
  </mergeCells>
  <phoneticPr fontId="0" type="noConversion"/>
  <printOptions horizontalCentered="1"/>
  <pageMargins left="0.47244094488188981" right="0.35433070866141736" top="0.46" bottom="0.47" header="0.51181102362204722" footer="0.51181102362204722"/>
  <pageSetup paperSize="9" scale="47" orientation="portrait" horizontalDpi="4294967293" verticalDpi="300" r:id="rId1"/>
  <headerFooter alignWithMargins="0">
    <oddHeader xml:space="preserve">&amp;C&amp;"MS Sans Serif,Negrita"&amp;14
&amp;R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B1:P90"/>
  <sheetViews>
    <sheetView zoomScaleNormal="75" workbookViewId="0">
      <selection activeCell="K19" sqref="K1:K1048576"/>
    </sheetView>
  </sheetViews>
  <sheetFormatPr baseColWidth="10" defaultColWidth="11.5703125" defaultRowHeight="12.75"/>
  <cols>
    <col min="1" max="1" width="4" style="238" customWidth="1"/>
    <col min="2" max="2" width="76.42578125" style="238" customWidth="1"/>
    <col min="3" max="3" width="0.28515625" style="238" hidden="1" customWidth="1"/>
    <col min="4" max="4" width="24.7109375" style="238" customWidth="1"/>
    <col min="5" max="5" width="19.7109375" style="238" customWidth="1"/>
    <col min="6" max="6" width="19.42578125" style="238" customWidth="1"/>
    <col min="7" max="7" width="7.42578125" style="238" bestFit="1" customWidth="1"/>
    <col min="8" max="8" width="7.7109375" style="238" bestFit="1" customWidth="1"/>
    <col min="9" max="9" width="7.5703125" style="238" bestFit="1" customWidth="1"/>
    <col min="10" max="10" width="19.42578125" style="238" customWidth="1"/>
    <col min="11" max="11" width="11.5703125" style="239" hidden="1" customWidth="1"/>
    <col min="12" max="13" width="11.5703125" style="239" customWidth="1"/>
    <col min="14" max="15" width="11.5703125" style="240" customWidth="1"/>
    <col min="16" max="16384" width="11.5703125" style="238"/>
  </cols>
  <sheetData>
    <row r="1" spans="2:16" ht="13.5" thickBot="1">
      <c r="B1" s="600"/>
      <c r="I1" s="601"/>
    </row>
    <row r="2" spans="2:16" ht="46.9" customHeight="1">
      <c r="B2" s="1163" t="s">
        <v>215</v>
      </c>
      <c r="C2" s="1164"/>
      <c r="D2" s="1164"/>
      <c r="E2" s="1164"/>
      <c r="F2" s="1164"/>
      <c r="G2" s="1156">
        <f>CPYG!E2</f>
        <v>2017</v>
      </c>
      <c r="H2" s="1156"/>
      <c r="I2" s="1157"/>
    </row>
    <row r="3" spans="2:16" ht="30" customHeight="1" thickBot="1">
      <c r="B3" s="1161" t="str">
        <f>CPYG!B3</f>
        <v>ENTIDAD: INSTITUTO VOLCANOLOGICO DE CANARIAS</v>
      </c>
      <c r="C3" s="1162"/>
      <c r="D3" s="1162"/>
      <c r="E3" s="1162"/>
      <c r="F3" s="1162"/>
      <c r="G3" s="1158" t="s">
        <v>197</v>
      </c>
      <c r="H3" s="1159"/>
      <c r="I3" s="1160"/>
    </row>
    <row r="4" spans="2:16" ht="25.15" customHeight="1" thickBot="1">
      <c r="B4" s="1152" t="s">
        <v>523</v>
      </c>
      <c r="C4" s="1153"/>
      <c r="D4" s="1153"/>
      <c r="E4" s="1153"/>
      <c r="F4" s="1153"/>
      <c r="G4" s="1153"/>
      <c r="H4" s="1153"/>
      <c r="I4" s="1154"/>
    </row>
    <row r="5" spans="2:16" ht="19.899999999999999" customHeight="1" thickBot="1">
      <c r="B5" s="555" t="s">
        <v>522</v>
      </c>
      <c r="C5" s="556"/>
      <c r="D5" s="557" t="s">
        <v>516</v>
      </c>
      <c r="E5" s="557">
        <v>2016</v>
      </c>
      <c r="F5" s="557">
        <v>2017</v>
      </c>
      <c r="G5" s="557" t="s">
        <v>146</v>
      </c>
      <c r="H5" s="557" t="s">
        <v>553</v>
      </c>
      <c r="I5" s="558" t="s">
        <v>552</v>
      </c>
      <c r="P5" s="240"/>
    </row>
    <row r="6" spans="2:16" ht="19.899999999999999" customHeight="1" thickBot="1">
      <c r="B6" s="559" t="s">
        <v>517</v>
      </c>
      <c r="C6" s="560"/>
      <c r="D6" s="561"/>
      <c r="E6" s="562">
        <f>PASIVO!C27</f>
        <v>52890.57</v>
      </c>
      <c r="F6" s="563">
        <f>+E19</f>
        <v>165908.25</v>
      </c>
      <c r="G6" s="564"/>
      <c r="H6" s="565"/>
      <c r="I6" s="566"/>
      <c r="P6" s="240"/>
    </row>
    <row r="7" spans="2:16" ht="19.899999999999999" customHeight="1">
      <c r="B7" s="584" t="s">
        <v>788</v>
      </c>
      <c r="C7" s="585"/>
      <c r="D7" s="241" t="s">
        <v>533</v>
      </c>
      <c r="E7" s="242">
        <v>65000</v>
      </c>
      <c r="F7" s="242">
        <v>95000</v>
      </c>
      <c r="G7" s="912">
        <v>702</v>
      </c>
      <c r="H7" s="912">
        <v>1351</v>
      </c>
      <c r="I7" s="913">
        <v>74147</v>
      </c>
      <c r="P7" s="240"/>
    </row>
    <row r="8" spans="2:16" ht="19.899999999999999" customHeight="1">
      <c r="B8" s="586" t="s">
        <v>789</v>
      </c>
      <c r="C8" s="585"/>
      <c r="D8" s="241" t="s">
        <v>533</v>
      </c>
      <c r="E8" s="243">
        <v>100000</v>
      </c>
      <c r="G8" s="912"/>
      <c r="H8" s="912"/>
      <c r="I8" s="913"/>
      <c r="P8" s="240"/>
    </row>
    <row r="9" spans="2:16" ht="19.899999999999999" customHeight="1">
      <c r="B9" s="586" t="s">
        <v>790</v>
      </c>
      <c r="C9" s="585"/>
      <c r="D9" s="241" t="s">
        <v>533</v>
      </c>
      <c r="E9" s="243"/>
      <c r="F9" s="243">
        <v>200000</v>
      </c>
      <c r="G9" s="912">
        <v>702</v>
      </c>
      <c r="H9" s="912">
        <v>1351</v>
      </c>
      <c r="I9" s="913">
        <v>74147</v>
      </c>
      <c r="P9" s="240"/>
    </row>
    <row r="10" spans="2:16" ht="19.899999999999999" customHeight="1">
      <c r="B10" s="629"/>
      <c r="C10" s="630"/>
      <c r="D10" s="631"/>
      <c r="E10" s="632"/>
      <c r="F10" s="632"/>
      <c r="G10" s="652"/>
      <c r="H10" s="652"/>
      <c r="I10" s="653"/>
      <c r="P10" s="240"/>
    </row>
    <row r="11" spans="2:16" ht="19.899999999999999" customHeight="1">
      <c r="B11" s="586"/>
      <c r="C11" s="585"/>
      <c r="D11" s="241"/>
      <c r="E11" s="243"/>
      <c r="F11" s="243"/>
      <c r="G11" s="246"/>
      <c r="H11" s="246"/>
      <c r="I11" s="247"/>
      <c r="P11" s="240"/>
    </row>
    <row r="12" spans="2:16" ht="19.899999999999999" customHeight="1">
      <c r="B12" s="586"/>
      <c r="C12" s="585"/>
      <c r="D12" s="241"/>
      <c r="E12" s="243"/>
      <c r="F12" s="243"/>
      <c r="G12" s="246"/>
      <c r="H12" s="246"/>
      <c r="I12" s="247"/>
      <c r="P12" s="240"/>
    </row>
    <row r="13" spans="2:16" ht="19.899999999999999" customHeight="1">
      <c r="B13" s="586"/>
      <c r="C13" s="585"/>
      <c r="D13" s="241"/>
      <c r="E13" s="243"/>
      <c r="F13" s="243"/>
      <c r="G13" s="246"/>
      <c r="H13" s="246"/>
      <c r="I13" s="247"/>
      <c r="P13" s="240"/>
    </row>
    <row r="14" spans="2:16" ht="19.899999999999999" customHeight="1" thickBot="1">
      <c r="B14" s="587"/>
      <c r="C14" s="588"/>
      <c r="D14" s="338"/>
      <c r="E14" s="339"/>
      <c r="F14" s="339"/>
      <c r="G14" s="250"/>
      <c r="H14" s="250"/>
      <c r="I14" s="251"/>
      <c r="P14" s="240"/>
    </row>
    <row r="15" spans="2:16" ht="19.899999999999999" customHeight="1" thickBot="1">
      <c r="B15" s="569" t="s">
        <v>525</v>
      </c>
      <c r="C15" s="570"/>
      <c r="D15" s="571"/>
      <c r="E15" s="654">
        <f>SUM(E7:E14)</f>
        <v>165000</v>
      </c>
      <c r="F15" s="655">
        <f>SUM(F7:F14)</f>
        <v>295000</v>
      </c>
      <c r="G15" s="602"/>
      <c r="H15" s="602"/>
      <c r="I15" s="602"/>
      <c r="P15" s="240"/>
    </row>
    <row r="16" spans="2:16" ht="19.899999999999999" customHeight="1">
      <c r="B16" s="572" t="s">
        <v>518</v>
      </c>
      <c r="C16" s="567"/>
      <c r="D16" s="541"/>
      <c r="E16" s="603">
        <f>-16250-25000</f>
        <v>-41250</v>
      </c>
      <c r="F16" s="340">
        <f>-23750-50000</f>
        <v>-73750</v>
      </c>
      <c r="G16" s="602"/>
      <c r="H16" s="602"/>
      <c r="I16" s="602"/>
      <c r="P16" s="240"/>
    </row>
    <row r="17" spans="2:16" ht="19.899999999999999" customHeight="1">
      <c r="B17" s="568" t="s">
        <v>519</v>
      </c>
      <c r="C17" s="567"/>
      <c r="D17" s="252"/>
      <c r="E17" s="253">
        <f>-CPYG!D46</f>
        <v>-14309.76</v>
      </c>
      <c r="F17" s="341">
        <f>-CPYG!E46</f>
        <v>-54952.21</v>
      </c>
      <c r="G17" s="602"/>
      <c r="H17" s="602"/>
      <c r="I17" s="602"/>
      <c r="J17" s="239"/>
      <c r="P17" s="240"/>
    </row>
    <row r="18" spans="2:16" ht="19.899999999999999" customHeight="1" thickBot="1">
      <c r="B18" s="568" t="s">
        <v>520</v>
      </c>
      <c r="C18" s="573"/>
      <c r="D18" s="254"/>
      <c r="E18" s="255">
        <f>2744.35+628.65+204.44</f>
        <v>3577.44</v>
      </c>
      <c r="F18" s="342">
        <f>3285.97+3250+400+2500+1385.42+2916.67</f>
        <v>13738.06</v>
      </c>
      <c r="G18" s="602"/>
      <c r="H18" s="602"/>
      <c r="I18" s="602"/>
      <c r="P18" s="240"/>
    </row>
    <row r="19" spans="2:16" ht="19.899999999999999" customHeight="1" thickTop="1" thickBot="1">
      <c r="B19" s="574" t="s">
        <v>521</v>
      </c>
      <c r="C19" s="575"/>
      <c r="D19" s="576"/>
      <c r="E19" s="656">
        <f>E6+E15+E16+E17+E18</f>
        <v>165908.25</v>
      </c>
      <c r="F19" s="656">
        <f>F6+F15+F16+F17+F18</f>
        <v>345944.1</v>
      </c>
      <c r="G19" s="602"/>
      <c r="H19" s="602"/>
      <c r="I19" s="602"/>
      <c r="J19" s="633"/>
      <c r="P19" s="240"/>
    </row>
    <row r="20" spans="2:16" s="133" customFormat="1" ht="19.899999999999999" customHeight="1">
      <c r="B20" s="602"/>
      <c r="C20" s="602"/>
      <c r="D20" s="602"/>
      <c r="E20" s="602"/>
      <c r="F20" s="602"/>
      <c r="G20" s="602"/>
      <c r="H20" s="602"/>
      <c r="I20" s="602"/>
    </row>
    <row r="21" spans="2:16" s="133" customFormat="1" ht="19.899999999999999" customHeight="1" thickBot="1">
      <c r="B21" s="602"/>
      <c r="C21" s="602"/>
      <c r="D21" s="602"/>
      <c r="E21" s="602"/>
      <c r="F21" s="602"/>
      <c r="G21" s="602"/>
      <c r="H21" s="602"/>
      <c r="I21" s="602"/>
    </row>
    <row r="22" spans="2:16" s="133" customFormat="1" ht="19.899999999999999" customHeight="1" thickBot="1">
      <c r="B22" s="555" t="s">
        <v>140</v>
      </c>
      <c r="C22" s="556"/>
      <c r="D22" s="557" t="s">
        <v>516</v>
      </c>
      <c r="E22" s="557">
        <v>2016</v>
      </c>
      <c r="F22" s="557">
        <v>2017</v>
      </c>
      <c r="G22" s="557" t="s">
        <v>146</v>
      </c>
      <c r="H22" s="557" t="s">
        <v>553</v>
      </c>
      <c r="I22" s="558" t="s">
        <v>552</v>
      </c>
    </row>
    <row r="23" spans="2:16" s="133" customFormat="1" ht="19.899999999999999" customHeight="1" thickBot="1">
      <c r="B23" s="555" t="s">
        <v>265</v>
      </c>
      <c r="C23" s="556"/>
      <c r="D23" s="577"/>
      <c r="E23" s="578"/>
      <c r="F23" s="578"/>
      <c r="G23" s="577"/>
      <c r="H23" s="577"/>
      <c r="I23" s="579"/>
    </row>
    <row r="24" spans="2:16" s="133" customFormat="1" ht="19.899999999999999" customHeight="1">
      <c r="B24" s="584" t="s">
        <v>791</v>
      </c>
      <c r="C24" s="585"/>
      <c r="D24" s="241" t="s">
        <v>534</v>
      </c>
      <c r="E24" s="242">
        <v>12790.42</v>
      </c>
      <c r="F24" s="242"/>
      <c r="G24" s="673"/>
      <c r="H24" s="673"/>
      <c r="I24" s="674"/>
    </row>
    <row r="25" spans="2:16" s="133" customFormat="1" ht="19.899999999999999" customHeight="1">
      <c r="B25" s="586" t="s">
        <v>792</v>
      </c>
      <c r="C25" s="585"/>
      <c r="D25" s="605" t="s">
        <v>533</v>
      </c>
      <c r="E25" s="243">
        <v>175000</v>
      </c>
      <c r="F25" s="243">
        <v>245000</v>
      </c>
      <c r="G25" s="914">
        <v>702</v>
      </c>
      <c r="H25" s="914">
        <v>1351</v>
      </c>
      <c r="I25" s="915">
        <v>44936</v>
      </c>
      <c r="K25" s="902">
        <v>2017</v>
      </c>
    </row>
    <row r="26" spans="2:16" s="133" customFormat="1" ht="19.899999999999999" customHeight="1">
      <c r="B26" s="586" t="s">
        <v>793</v>
      </c>
      <c r="C26" s="585"/>
      <c r="D26" s="605" t="s">
        <v>533</v>
      </c>
      <c r="E26" s="243">
        <v>30000</v>
      </c>
      <c r="F26" s="243">
        <v>60000</v>
      </c>
      <c r="G26" s="914">
        <v>702</v>
      </c>
      <c r="H26" s="914">
        <v>1351</v>
      </c>
      <c r="I26" s="915">
        <v>44936</v>
      </c>
      <c r="J26" s="134"/>
    </row>
    <row r="27" spans="2:16" s="133" customFormat="1" ht="19.899999999999999" customHeight="1">
      <c r="B27" s="586" t="s">
        <v>794</v>
      </c>
      <c r="C27" s="585"/>
      <c r="D27" s="605" t="s">
        <v>534</v>
      </c>
      <c r="E27" s="243">
        <v>25000</v>
      </c>
      <c r="F27" s="675"/>
      <c r="G27" s="914"/>
      <c r="H27" s="914"/>
      <c r="I27" s="915"/>
      <c r="J27" s="651"/>
    </row>
    <row r="28" spans="2:16" s="133" customFormat="1" ht="19.899999999999999" customHeight="1">
      <c r="B28" s="586" t="s">
        <v>795</v>
      </c>
      <c r="C28" s="585"/>
      <c r="D28" s="241" t="s">
        <v>534</v>
      </c>
      <c r="E28" s="243">
        <v>12000</v>
      </c>
      <c r="F28" s="243"/>
      <c r="G28" s="914"/>
      <c r="H28" s="914"/>
      <c r="I28" s="915"/>
      <c r="J28" s="651"/>
    </row>
    <row r="29" spans="2:16" s="133" customFormat="1" ht="19.899999999999999" customHeight="1">
      <c r="B29" s="586" t="str">
        <f>B28</f>
        <v>Feria de la Ciencia y los Volcanes</v>
      </c>
      <c r="C29" s="585"/>
      <c r="D29" s="241" t="s">
        <v>533</v>
      </c>
      <c r="E29" s="243">
        <v>15000</v>
      </c>
      <c r="F29" s="243">
        <v>16000</v>
      </c>
      <c r="G29" s="914">
        <v>702</v>
      </c>
      <c r="H29" s="914">
        <v>1351</v>
      </c>
      <c r="I29" s="915">
        <v>44936</v>
      </c>
      <c r="J29" s="243"/>
    </row>
    <row r="30" spans="2:16" s="133" customFormat="1" ht="19.899999999999999" customHeight="1">
      <c r="B30" s="586" t="s">
        <v>796</v>
      </c>
      <c r="C30" s="585"/>
      <c r="D30" s="241" t="s">
        <v>537</v>
      </c>
      <c r="E30" s="243">
        <v>2999.58</v>
      </c>
      <c r="F30" s="243"/>
      <c r="G30" s="914"/>
      <c r="H30" s="914"/>
      <c r="I30" s="915"/>
    </row>
    <row r="31" spans="2:16" s="133" customFormat="1" ht="19.899999999999999" customHeight="1">
      <c r="B31" s="586" t="s">
        <v>797</v>
      </c>
      <c r="C31" s="589"/>
      <c r="D31" s="241" t="s">
        <v>533</v>
      </c>
      <c r="E31" s="249"/>
      <c r="F31" s="249">
        <v>250000</v>
      </c>
      <c r="G31" s="914">
        <v>702</v>
      </c>
      <c r="H31" s="914">
        <v>1351</v>
      </c>
      <c r="I31" s="915">
        <v>44936</v>
      </c>
    </row>
    <row r="32" spans="2:16" s="133" customFormat="1" ht="19.899999999999999" customHeight="1">
      <c r="B32" s="586" t="s">
        <v>790</v>
      </c>
      <c r="C32" s="589"/>
      <c r="D32" s="241" t="s">
        <v>533</v>
      </c>
      <c r="E32" s="249"/>
      <c r="F32" s="249">
        <v>300000</v>
      </c>
      <c r="G32" s="914">
        <v>702</v>
      </c>
      <c r="H32" s="914">
        <v>1351</v>
      </c>
      <c r="I32" s="915">
        <v>44936</v>
      </c>
    </row>
    <row r="33" spans="2:16" s="133" customFormat="1" ht="19.899999999999999" customHeight="1" thickBot="1">
      <c r="B33" s="587" t="s">
        <v>798</v>
      </c>
      <c r="C33" s="588"/>
      <c r="D33" s="241" t="s">
        <v>533</v>
      </c>
      <c r="E33" s="339"/>
      <c r="F33" s="339">
        <v>41000</v>
      </c>
      <c r="G33" s="914">
        <v>702</v>
      </c>
      <c r="H33" s="914">
        <v>1351</v>
      </c>
      <c r="I33" s="915">
        <v>44936</v>
      </c>
    </row>
    <row r="34" spans="2:16" s="133" customFormat="1" ht="19.899999999999999" customHeight="1" thickBot="1">
      <c r="B34" s="598" t="s">
        <v>145</v>
      </c>
      <c r="C34" s="560"/>
      <c r="D34" s="599"/>
      <c r="E34" s="657">
        <f>SUM(E24:E33)</f>
        <v>272790.00000000006</v>
      </c>
      <c r="F34" s="658">
        <f>SUM(F24:F33)</f>
        <v>912000</v>
      </c>
      <c r="G34" s="602"/>
      <c r="H34" s="602"/>
      <c r="I34" s="602"/>
    </row>
    <row r="35" spans="2:16" s="133" customFormat="1" ht="19.899999999999999" customHeight="1" thickBot="1">
      <c r="B35" s="602"/>
      <c r="C35" s="602"/>
      <c r="D35" s="602"/>
      <c r="E35" s="602"/>
      <c r="F35" s="602"/>
      <c r="G35" s="602"/>
      <c r="H35" s="602"/>
      <c r="I35" s="602"/>
    </row>
    <row r="36" spans="2:16" s="133" customFormat="1" ht="41.25" customHeight="1" thickBot="1">
      <c r="B36" s="582" t="s">
        <v>319</v>
      </c>
      <c r="C36" s="556"/>
      <c r="D36" s="557" t="s">
        <v>516</v>
      </c>
      <c r="E36" s="557">
        <v>2016</v>
      </c>
      <c r="F36" s="557">
        <v>2017</v>
      </c>
      <c r="G36" s="557" t="s">
        <v>146</v>
      </c>
      <c r="H36" s="557" t="s">
        <v>553</v>
      </c>
      <c r="I36" s="558" t="s">
        <v>552</v>
      </c>
    </row>
    <row r="37" spans="2:16" s="133" customFormat="1" ht="19.899999999999999" customHeight="1">
      <c r="B37" s="593"/>
      <c r="C37" s="594"/>
      <c r="D37" s="595"/>
      <c r="E37" s="596"/>
      <c r="F37" s="597"/>
      <c r="G37" s="676"/>
      <c r="H37" s="676"/>
      <c r="I37" s="677"/>
      <c r="J37" s="604"/>
      <c r="K37" s="604"/>
    </row>
    <row r="38" spans="2:16" s="133" customFormat="1" ht="19.899999999999999" customHeight="1">
      <c r="B38" s="586"/>
      <c r="C38" s="585"/>
      <c r="D38" s="241"/>
      <c r="E38" s="243"/>
      <c r="F38" s="243"/>
      <c r="G38" s="678"/>
      <c r="H38" s="678"/>
      <c r="I38" s="679"/>
      <c r="J38" s="604"/>
      <c r="K38" s="604"/>
    </row>
    <row r="39" spans="2:16" s="133" customFormat="1" ht="19.899999999999999" customHeight="1">
      <c r="B39" s="586"/>
      <c r="C39" s="585"/>
      <c r="D39" s="241"/>
      <c r="E39" s="243"/>
      <c r="F39" s="243"/>
      <c r="G39" s="246"/>
      <c r="H39" s="246"/>
      <c r="I39" s="247"/>
    </row>
    <row r="40" spans="2:16" ht="25.15" customHeight="1">
      <c r="B40" s="586"/>
      <c r="C40" s="585"/>
      <c r="D40" s="241"/>
      <c r="E40" s="243"/>
      <c r="F40" s="243"/>
      <c r="G40" s="246"/>
      <c r="H40" s="246"/>
      <c r="I40" s="247"/>
      <c r="P40" s="240"/>
    </row>
    <row r="41" spans="2:16" ht="19.899999999999999" customHeight="1">
      <c r="B41" s="586"/>
      <c r="C41" s="585"/>
      <c r="D41" s="241"/>
      <c r="E41" s="243"/>
      <c r="F41" s="243"/>
      <c r="G41" s="246"/>
      <c r="H41" s="246"/>
      <c r="I41" s="247"/>
      <c r="P41" s="240"/>
    </row>
    <row r="42" spans="2:16" ht="19.899999999999999" customHeight="1">
      <c r="B42" s="586"/>
      <c r="C42" s="585"/>
      <c r="D42" s="241"/>
      <c r="E42" s="243"/>
      <c r="F42" s="243"/>
      <c r="G42" s="246"/>
      <c r="H42" s="246"/>
      <c r="I42" s="247"/>
      <c r="P42" s="240"/>
    </row>
    <row r="43" spans="2:16" ht="19.899999999999999" customHeight="1">
      <c r="B43" s="586"/>
      <c r="C43" s="585"/>
      <c r="D43" s="241"/>
      <c r="E43" s="243"/>
      <c r="F43" s="480"/>
      <c r="G43" s="246"/>
      <c r="H43" s="246"/>
      <c r="I43" s="247"/>
      <c r="P43" s="240"/>
    </row>
    <row r="44" spans="2:16" ht="19.899999999999999" customHeight="1" thickBot="1">
      <c r="B44" s="587"/>
      <c r="C44" s="588"/>
      <c r="D44" s="338"/>
      <c r="E44" s="339"/>
      <c r="F44" s="339"/>
      <c r="G44" s="250"/>
      <c r="H44" s="250"/>
      <c r="I44" s="251"/>
      <c r="P44" s="240"/>
    </row>
    <row r="45" spans="2:16" ht="19.899999999999999" customHeight="1" thickBot="1">
      <c r="B45" s="580" t="s">
        <v>145</v>
      </c>
      <c r="C45" s="556"/>
      <c r="D45" s="581"/>
      <c r="E45" s="659">
        <f>SUM(E37:E44)</f>
        <v>0</v>
      </c>
      <c r="F45" s="655">
        <f>SUM(F37:F44)</f>
        <v>0</v>
      </c>
      <c r="G45" s="602"/>
      <c r="H45" s="602"/>
      <c r="I45" s="602"/>
      <c r="P45" s="240"/>
    </row>
    <row r="46" spans="2:16" s="133" customFormat="1" ht="19.899999999999999" customHeight="1">
      <c r="B46" s="602"/>
      <c r="C46" s="602"/>
      <c r="D46" s="602"/>
      <c r="E46" s="602"/>
      <c r="F46" s="602"/>
      <c r="G46" s="602"/>
      <c r="H46" s="602"/>
      <c r="I46" s="602"/>
    </row>
    <row r="47" spans="2:16" s="133" customFormat="1" ht="19.899999999999999" customHeight="1" thickBot="1">
      <c r="B47" s="602"/>
      <c r="C47" s="602"/>
      <c r="D47" s="602"/>
      <c r="E47" s="602"/>
      <c r="F47" s="602"/>
      <c r="G47" s="602"/>
      <c r="H47" s="602"/>
      <c r="I47" s="602"/>
    </row>
    <row r="48" spans="2:16" s="133" customFormat="1" ht="19.899999999999999" customHeight="1" thickBot="1">
      <c r="B48" s="582" t="s">
        <v>524</v>
      </c>
      <c r="C48" s="556"/>
      <c r="D48" s="557" t="s">
        <v>516</v>
      </c>
      <c r="E48" s="557">
        <v>2016</v>
      </c>
      <c r="F48" s="557">
        <v>2017</v>
      </c>
      <c r="G48" s="557" t="s">
        <v>146</v>
      </c>
      <c r="H48" s="557" t="s">
        <v>553</v>
      </c>
      <c r="I48" s="558" t="s">
        <v>552</v>
      </c>
    </row>
    <row r="49" spans="2:9" s="133" customFormat="1" ht="19.899999999999999" customHeight="1">
      <c r="B49" s="584"/>
      <c r="C49" s="585"/>
      <c r="D49" s="241"/>
      <c r="E49" s="242"/>
      <c r="F49" s="242"/>
      <c r="G49" s="244"/>
      <c r="H49" s="244"/>
      <c r="I49" s="245"/>
    </row>
    <row r="50" spans="2:9" s="133" customFormat="1" ht="19.899999999999999" customHeight="1">
      <c r="B50" s="586"/>
      <c r="C50" s="585"/>
      <c r="D50" s="241"/>
      <c r="E50" s="243"/>
      <c r="F50" s="243"/>
      <c r="G50" s="246"/>
      <c r="H50" s="246"/>
      <c r="I50" s="247"/>
    </row>
    <row r="51" spans="2:9" s="133" customFormat="1" ht="19.899999999999999" customHeight="1">
      <c r="B51" s="586"/>
      <c r="C51" s="585"/>
      <c r="D51" s="241"/>
      <c r="E51" s="243"/>
      <c r="F51" s="243"/>
      <c r="G51" s="246"/>
      <c r="H51" s="246"/>
      <c r="I51" s="247"/>
    </row>
    <row r="52" spans="2:9" s="133" customFormat="1" ht="19.899999999999999" customHeight="1">
      <c r="B52" s="586"/>
      <c r="C52" s="585"/>
      <c r="D52" s="241"/>
      <c r="E52" s="243"/>
      <c r="F52" s="243"/>
      <c r="G52" s="246"/>
      <c r="H52" s="246"/>
      <c r="I52" s="247"/>
    </row>
    <row r="53" spans="2:9" s="133" customFormat="1" ht="19.899999999999999" customHeight="1">
      <c r="B53" s="586"/>
      <c r="C53" s="585"/>
      <c r="D53" s="241"/>
      <c r="E53" s="243"/>
      <c r="F53" s="243"/>
      <c r="G53" s="246"/>
      <c r="H53" s="246"/>
      <c r="I53" s="247"/>
    </row>
    <row r="54" spans="2:9" s="133" customFormat="1" ht="19.899999999999999" customHeight="1">
      <c r="B54" s="586"/>
      <c r="C54" s="585"/>
      <c r="D54" s="241"/>
      <c r="E54" s="243"/>
      <c r="F54" s="243"/>
      <c r="G54" s="246"/>
      <c r="H54" s="246"/>
      <c r="I54" s="247"/>
    </row>
    <row r="55" spans="2:9" s="133" customFormat="1" ht="19.899999999999999" customHeight="1">
      <c r="B55" s="586"/>
      <c r="C55" s="585"/>
      <c r="D55" s="241"/>
      <c r="E55" s="243"/>
      <c r="F55" s="243"/>
      <c r="G55" s="246"/>
      <c r="H55" s="246"/>
      <c r="I55" s="247"/>
    </row>
    <row r="56" spans="2:9" s="133" customFormat="1" ht="19.899999999999999" customHeight="1" thickBot="1">
      <c r="B56" s="586"/>
      <c r="C56" s="589"/>
      <c r="D56" s="248"/>
      <c r="E56" s="249"/>
      <c r="F56" s="249"/>
      <c r="G56" s="250"/>
      <c r="H56" s="250"/>
      <c r="I56" s="251"/>
    </row>
    <row r="57" spans="2:9" s="133" customFormat="1" ht="19.899999999999999" customHeight="1" thickBot="1">
      <c r="B57" s="580" t="s">
        <v>531</v>
      </c>
      <c r="C57" s="556"/>
      <c r="D57" s="581"/>
      <c r="E57" s="583">
        <f>SUM(E49:E56)</f>
        <v>0</v>
      </c>
      <c r="F57" s="583">
        <f>SUM(F49:F56)</f>
        <v>0</v>
      </c>
      <c r="G57" s="602"/>
      <c r="H57" s="602"/>
      <c r="I57" s="602"/>
    </row>
    <row r="58" spans="2:9" s="133" customFormat="1" ht="19.899999999999999" customHeight="1">
      <c r="B58" s="256"/>
      <c r="C58" s="257"/>
      <c r="D58" s="258"/>
      <c r="E58" s="258"/>
      <c r="F58" s="258"/>
    </row>
    <row r="59" spans="2:9" s="133" customFormat="1" ht="46.15" customHeight="1">
      <c r="B59" s="1155"/>
      <c r="C59" s="1155"/>
      <c r="D59" s="1155"/>
      <c r="E59" s="1155"/>
      <c r="F59" s="1155"/>
      <c r="G59" s="1155"/>
      <c r="H59" s="1155"/>
      <c r="I59" s="1155"/>
    </row>
    <row r="60" spans="2:9" s="133" customFormat="1" ht="19.899999999999999" customHeight="1">
      <c r="B60" s="1151"/>
      <c r="C60" s="1151"/>
      <c r="D60" s="1151"/>
      <c r="E60" s="1151"/>
      <c r="F60" s="1151"/>
      <c r="G60" s="1151"/>
      <c r="H60" s="1151"/>
      <c r="I60" s="1151"/>
    </row>
    <row r="61" spans="2:9" s="133" customFormat="1" ht="19.149999999999999" customHeight="1">
      <c r="B61" s="1151"/>
      <c r="C61" s="1151"/>
      <c r="D61" s="1151"/>
      <c r="E61" s="1151"/>
      <c r="F61" s="1151"/>
      <c r="G61" s="1151"/>
      <c r="H61" s="1151"/>
      <c r="I61" s="1151"/>
    </row>
    <row r="62" spans="2:9" s="133" customFormat="1" ht="19.899999999999999" customHeight="1"/>
    <row r="63" spans="2:9" s="133" customFormat="1" ht="19.899999999999999" customHeight="1"/>
    <row r="64" spans="2:9" s="133" customFormat="1" ht="19.899999999999999" customHeight="1"/>
    <row r="65" s="133" customFormat="1" ht="19.899999999999999" customHeight="1"/>
    <row r="66" s="133" customFormat="1" ht="19.899999999999999" customHeight="1"/>
    <row r="67" s="133" customFormat="1" ht="19.899999999999999" customHeight="1"/>
    <row r="68" s="133" customFormat="1" ht="19.899999999999999" customHeight="1"/>
    <row r="69" s="133" customFormat="1" ht="19.899999999999999" customHeight="1"/>
    <row r="70" s="133" customFormat="1" ht="19.899999999999999" customHeight="1"/>
    <row r="71" s="133" customFormat="1" ht="19.899999999999999" customHeight="1"/>
    <row r="72" s="133" customFormat="1" ht="19.899999999999999" customHeight="1"/>
    <row r="73" s="133" customFormat="1" ht="19.899999999999999" customHeight="1"/>
    <row r="74" s="133" customFormat="1"/>
    <row r="75" s="133" customFormat="1"/>
    <row r="76" s="133" customFormat="1"/>
    <row r="77" s="133" customFormat="1"/>
    <row r="78" s="133" customFormat="1"/>
    <row r="79" s="133" customFormat="1"/>
    <row r="85" spans="4:4">
      <c r="D85" s="238" t="s">
        <v>532</v>
      </c>
    </row>
    <row r="86" spans="4:4">
      <c r="D86" s="238" t="s">
        <v>533</v>
      </c>
    </row>
    <row r="87" spans="4:4">
      <c r="D87" s="238" t="s">
        <v>534</v>
      </c>
    </row>
    <row r="88" spans="4:4">
      <c r="D88" s="238" t="s">
        <v>535</v>
      </c>
    </row>
    <row r="89" spans="4:4">
      <c r="D89" s="238" t="s">
        <v>536</v>
      </c>
    </row>
    <row r="90" spans="4:4">
      <c r="D90" s="238" t="s">
        <v>537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B60:I60"/>
    <mergeCell ref="B61:I61"/>
    <mergeCell ref="B4:I4"/>
    <mergeCell ref="B59:I59"/>
    <mergeCell ref="G2:I2"/>
    <mergeCell ref="G3:I3"/>
    <mergeCell ref="B3:F3"/>
    <mergeCell ref="B2:F2"/>
  </mergeCells>
  <phoneticPr fontId="5" type="noConversion"/>
  <dataValidations count="3">
    <dataValidation type="list" allowBlank="1" showInputMessage="1" showErrorMessage="1" promptTitle="Especifique la Entidad" sqref="D85:E85">
      <formula1>$D$6:$D$11</formula1>
    </dataValidation>
    <dataValidation type="list" allowBlank="1" showInputMessage="1" showErrorMessage="1" promptTitle="TENER EN CUENTA" prompt="Indicar Entidad Pública" sqref="D37:D44 D24:D33 D7:D14">
      <formula1>$D$85:$D$90</formula1>
    </dataValidation>
    <dataValidation allowBlank="1" showInputMessage="1" showErrorMessage="1" promptTitle="ENTRADA" prompt="Antes de Estimar esta Celda debes incluir en Celda Naranja el Dato Inicial" sqref="E37:F37 E24:F24 E7:F7"/>
  </dataValidations>
  <printOptions horizontalCentered="1" verticalCentered="1"/>
  <pageMargins left="0.51181102362204722" right="0.27559055118110237" top="0.6692913385826772" bottom="0.27559055118110237" header="0.51181102362204722" footer="0.27559055118110237"/>
  <pageSetup paperSize="9" scale="55" orientation="portrait" horizontalDpi="4294967294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B2:L29"/>
  <sheetViews>
    <sheetView topLeftCell="A16" workbookViewId="0">
      <selection activeCell="L21" sqref="L21"/>
    </sheetView>
  </sheetViews>
  <sheetFormatPr baseColWidth="10" defaultColWidth="11.5703125" defaultRowHeight="12.75"/>
  <cols>
    <col min="1" max="1" width="11.5703125" style="133" customWidth="1"/>
    <col min="2" max="2" width="2.28515625" style="133" customWidth="1"/>
    <col min="3" max="6" width="11.5703125" style="133" customWidth="1"/>
    <col min="7" max="7" width="14.7109375" style="133" customWidth="1"/>
    <col min="8" max="8" width="11.5703125" style="133" customWidth="1"/>
    <col min="9" max="9" width="14.7109375" style="133" customWidth="1"/>
    <col min="10" max="16384" width="11.5703125" style="133"/>
  </cols>
  <sheetData>
    <row r="2" spans="2:12" ht="13.5" thickBot="1"/>
    <row r="3" spans="2:12" ht="22.15" customHeight="1">
      <c r="B3" s="950" t="s">
        <v>252</v>
      </c>
      <c r="C3" s="951"/>
      <c r="D3" s="951"/>
      <c r="E3" s="951"/>
      <c r="F3" s="951"/>
      <c r="G3" s="951"/>
      <c r="H3" s="951"/>
      <c r="I3" s="951"/>
      <c r="J3" s="951"/>
      <c r="K3" s="1070"/>
      <c r="L3" s="1178">
        <v>2017</v>
      </c>
    </row>
    <row r="4" spans="2:12" ht="19.899999999999999" customHeight="1" thickBot="1">
      <c r="B4" s="955" t="s">
        <v>273</v>
      </c>
      <c r="C4" s="956"/>
      <c r="D4" s="956"/>
      <c r="E4" s="956"/>
      <c r="F4" s="956"/>
      <c r="G4" s="956"/>
      <c r="H4" s="956"/>
      <c r="I4" s="956"/>
      <c r="J4" s="956"/>
      <c r="K4" s="1183"/>
      <c r="L4" s="1179"/>
    </row>
    <row r="5" spans="2:12" ht="28.15" customHeight="1" thickBot="1">
      <c r="B5" s="1180" t="str">
        <f>CPYG!B3</f>
        <v>ENTIDAD: INSTITUTO VOLCANOLOGICO DE CANARIAS</v>
      </c>
      <c r="C5" s="1181"/>
      <c r="D5" s="1181"/>
      <c r="E5" s="1181"/>
      <c r="F5" s="1181"/>
      <c r="G5" s="1181"/>
      <c r="H5" s="1181"/>
      <c r="I5" s="1182"/>
      <c r="J5" s="1186" t="s">
        <v>444</v>
      </c>
      <c r="K5" s="1186"/>
      <c r="L5" s="1187"/>
    </row>
    <row r="6" spans="2:12" ht="13.5" thickBot="1"/>
    <row r="7" spans="2:12" ht="17.45" customHeight="1" thickBot="1">
      <c r="B7" s="1167" t="s">
        <v>445</v>
      </c>
      <c r="C7" s="1168"/>
      <c r="D7" s="1168"/>
      <c r="E7" s="1168"/>
      <c r="F7" s="1168"/>
      <c r="G7" s="1168"/>
      <c r="H7" s="1169"/>
      <c r="I7" s="1184" t="s">
        <v>446</v>
      </c>
      <c r="J7" s="1167" t="s">
        <v>447</v>
      </c>
      <c r="K7" s="1168"/>
      <c r="L7" s="1169"/>
    </row>
    <row r="8" spans="2:12" ht="30.6" customHeight="1" thickBot="1">
      <c r="B8" s="1170"/>
      <c r="C8" s="1171"/>
      <c r="D8" s="1171"/>
      <c r="E8" s="1171"/>
      <c r="F8" s="1171"/>
      <c r="G8" s="1171"/>
      <c r="H8" s="1172"/>
      <c r="I8" s="1185"/>
      <c r="J8" s="766">
        <v>42736</v>
      </c>
      <c r="K8" s="767">
        <v>42767</v>
      </c>
      <c r="L8" s="768">
        <v>42795</v>
      </c>
    </row>
    <row r="9" spans="2:12" ht="17.45" customHeight="1">
      <c r="B9" s="1173" t="s">
        <v>448</v>
      </c>
      <c r="C9" s="1174"/>
      <c r="D9" s="1174"/>
      <c r="E9" s="1174"/>
      <c r="F9" s="1174"/>
      <c r="G9" s="1174"/>
      <c r="H9" s="1175"/>
      <c r="I9" s="769"/>
      <c r="J9" s="770"/>
      <c r="K9" s="771"/>
      <c r="L9" s="772"/>
    </row>
    <row r="10" spans="2:12" ht="7.15" customHeight="1">
      <c r="B10" s="681"/>
      <c r="C10" s="680"/>
      <c r="D10" s="680"/>
      <c r="E10" s="680"/>
      <c r="F10" s="680"/>
      <c r="G10" s="680"/>
      <c r="H10" s="232"/>
      <c r="I10" s="231"/>
      <c r="J10" s="231"/>
      <c r="K10" s="158"/>
      <c r="L10" s="232"/>
    </row>
    <row r="11" spans="2:12" ht="17.45" customHeight="1">
      <c r="B11" s="1173" t="s">
        <v>449</v>
      </c>
      <c r="C11" s="1174"/>
      <c r="D11" s="1174"/>
      <c r="E11" s="1174"/>
      <c r="F11" s="1174"/>
      <c r="G11" s="1174"/>
      <c r="H11" s="1175"/>
      <c r="I11" s="770"/>
      <c r="J11" s="770"/>
      <c r="K11" s="771"/>
      <c r="L11" s="772"/>
    </row>
    <row r="12" spans="2:12" ht="7.15" customHeight="1">
      <c r="B12" s="773"/>
      <c r="C12" s="158"/>
      <c r="D12" s="158"/>
      <c r="E12" s="158"/>
      <c r="F12" s="158"/>
      <c r="G12" s="158"/>
      <c r="H12" s="232"/>
      <c r="I12" s="231"/>
      <c r="J12" s="231"/>
      <c r="K12" s="158"/>
      <c r="L12" s="232"/>
    </row>
    <row r="13" spans="2:12">
      <c r="B13" s="231"/>
      <c r="C13" s="158" t="s">
        <v>450</v>
      </c>
      <c r="D13" s="158"/>
      <c r="E13" s="158"/>
      <c r="F13" s="158"/>
      <c r="G13" s="158"/>
      <c r="H13" s="232"/>
      <c r="I13" s="231"/>
      <c r="J13" s="231"/>
      <c r="K13" s="158"/>
      <c r="L13" s="232"/>
    </row>
    <row r="14" spans="2:12">
      <c r="B14" s="231"/>
      <c r="C14" s="158" t="s">
        <v>451</v>
      </c>
      <c r="D14" s="158"/>
      <c r="E14" s="158"/>
      <c r="F14" s="158"/>
      <c r="G14" s="158"/>
      <c r="H14" s="232"/>
      <c r="I14" s="231"/>
      <c r="J14" s="231"/>
      <c r="K14" s="158"/>
      <c r="L14" s="232"/>
    </row>
    <row r="15" spans="2:12">
      <c r="B15" s="231"/>
      <c r="C15" s="158" t="s">
        <v>452</v>
      </c>
      <c r="D15" s="158"/>
      <c r="E15" s="158"/>
      <c r="F15" s="158"/>
      <c r="G15" s="158"/>
      <c r="H15" s="232"/>
      <c r="I15" s="231"/>
      <c r="J15" s="231"/>
      <c r="K15" s="158"/>
      <c r="L15" s="232"/>
    </row>
    <row r="16" spans="2:12">
      <c r="B16" s="231"/>
      <c r="C16" s="158" t="s">
        <v>458</v>
      </c>
      <c r="D16" s="158"/>
      <c r="E16" s="158"/>
      <c r="F16" s="158"/>
      <c r="G16" s="158"/>
      <c r="H16" s="232"/>
      <c r="I16" s="231"/>
      <c r="J16" s="231"/>
      <c r="K16" s="158"/>
      <c r="L16" s="232"/>
    </row>
    <row r="17" spans="2:12">
      <c r="B17" s="231"/>
      <c r="C17" s="158" t="s">
        <v>267</v>
      </c>
      <c r="D17" s="158"/>
      <c r="E17" s="158"/>
      <c r="F17" s="158"/>
      <c r="G17" s="158"/>
      <c r="H17" s="232"/>
      <c r="I17" s="231"/>
      <c r="J17" s="231"/>
      <c r="K17" s="158"/>
      <c r="L17" s="232"/>
    </row>
    <row r="18" spans="2:12" ht="7.15" customHeight="1">
      <c r="B18" s="773"/>
      <c r="C18" s="158"/>
      <c r="D18" s="158"/>
      <c r="E18" s="158"/>
      <c r="F18" s="158"/>
      <c r="G18" s="158"/>
      <c r="H18" s="232"/>
      <c r="I18" s="231"/>
      <c r="J18" s="231"/>
      <c r="K18" s="158"/>
      <c r="L18" s="232"/>
    </row>
    <row r="19" spans="2:12" ht="17.45" customHeight="1">
      <c r="B19" s="1173" t="s">
        <v>453</v>
      </c>
      <c r="C19" s="1174"/>
      <c r="D19" s="1174"/>
      <c r="E19" s="1174"/>
      <c r="F19" s="1174"/>
      <c r="G19" s="1174"/>
      <c r="H19" s="1175"/>
      <c r="I19" s="770"/>
      <c r="J19" s="770"/>
      <c r="K19" s="771"/>
      <c r="L19" s="772"/>
    </row>
    <row r="20" spans="2:12" ht="7.15" customHeight="1">
      <c r="B20" s="773"/>
      <c r="C20" s="158"/>
      <c r="D20" s="158"/>
      <c r="E20" s="158"/>
      <c r="F20" s="158"/>
      <c r="G20" s="158"/>
      <c r="H20" s="232"/>
      <c r="I20" s="231"/>
      <c r="J20" s="231"/>
      <c r="K20" s="158"/>
      <c r="L20" s="232"/>
    </row>
    <row r="21" spans="2:12">
      <c r="B21" s="231"/>
      <c r="C21" s="1176" t="s">
        <v>454</v>
      </c>
      <c r="D21" s="1176"/>
      <c r="E21" s="1176"/>
      <c r="F21" s="1176"/>
      <c r="G21" s="1176"/>
      <c r="H21" s="1177"/>
      <c r="I21" s="231"/>
      <c r="J21" s="231"/>
      <c r="K21" s="158"/>
      <c r="L21" s="232"/>
    </row>
    <row r="22" spans="2:12">
      <c r="B22" s="231"/>
      <c r="C22" s="1176" t="s">
        <v>455</v>
      </c>
      <c r="D22" s="1176"/>
      <c r="E22" s="1176"/>
      <c r="F22" s="1176"/>
      <c r="G22" s="1176"/>
      <c r="H22" s="1177"/>
      <c r="I22" s="231"/>
      <c r="J22" s="231"/>
      <c r="K22" s="158"/>
      <c r="L22" s="232"/>
    </row>
    <row r="23" spans="2:12" ht="7.15" customHeight="1">
      <c r="B23" s="773"/>
      <c r="C23" s="158"/>
      <c r="D23" s="158"/>
      <c r="E23" s="158"/>
      <c r="F23" s="158"/>
      <c r="G23" s="158"/>
      <c r="H23" s="232"/>
      <c r="I23" s="231"/>
      <c r="J23" s="231"/>
      <c r="K23" s="158"/>
      <c r="L23" s="232"/>
    </row>
    <row r="24" spans="2:12" ht="17.45" customHeight="1">
      <c r="B24" s="1173" t="s">
        <v>456</v>
      </c>
      <c r="C24" s="1174"/>
      <c r="D24" s="1174"/>
      <c r="E24" s="1174"/>
      <c r="F24" s="1174"/>
      <c r="G24" s="1174"/>
      <c r="H24" s="1175"/>
      <c r="I24" s="770"/>
      <c r="J24" s="770"/>
      <c r="K24" s="771"/>
      <c r="L24" s="772"/>
    </row>
    <row r="25" spans="2:12" ht="7.15" customHeight="1">
      <c r="B25" s="773"/>
      <c r="C25" s="158"/>
      <c r="D25" s="158"/>
      <c r="E25" s="158"/>
      <c r="F25" s="158"/>
      <c r="G25" s="158"/>
      <c r="H25" s="232"/>
      <c r="I25" s="231"/>
      <c r="J25" s="231"/>
      <c r="K25" s="158"/>
      <c r="L25" s="232"/>
    </row>
    <row r="26" spans="2:12">
      <c r="B26" s="231"/>
      <c r="C26" s="1176" t="s">
        <v>454</v>
      </c>
      <c r="D26" s="1176"/>
      <c r="E26" s="1176"/>
      <c r="F26" s="1176"/>
      <c r="G26" s="1176"/>
      <c r="H26" s="1177"/>
      <c r="I26" s="231"/>
      <c r="J26" s="231"/>
      <c r="K26" s="158"/>
      <c r="L26" s="232"/>
    </row>
    <row r="27" spans="2:12" ht="13.5" thickBot="1">
      <c r="B27" s="317"/>
      <c r="C27" s="1165" t="s">
        <v>455</v>
      </c>
      <c r="D27" s="1165"/>
      <c r="E27" s="1165"/>
      <c r="F27" s="1165"/>
      <c r="G27" s="1165"/>
      <c r="H27" s="1166"/>
      <c r="I27" s="317"/>
      <c r="J27" s="317"/>
      <c r="K27" s="314"/>
      <c r="L27" s="318"/>
    </row>
    <row r="29" spans="2:12">
      <c r="C29" s="613" t="s">
        <v>457</v>
      </c>
    </row>
  </sheetData>
  <mergeCells count="16">
    <mergeCell ref="L3:L4"/>
    <mergeCell ref="B5:I5"/>
    <mergeCell ref="B11:H11"/>
    <mergeCell ref="B19:H19"/>
    <mergeCell ref="B3:K3"/>
    <mergeCell ref="B4:K4"/>
    <mergeCell ref="I7:I8"/>
    <mergeCell ref="J7:L7"/>
    <mergeCell ref="J5:L5"/>
    <mergeCell ref="C27:H27"/>
    <mergeCell ref="B7:H8"/>
    <mergeCell ref="B24:H24"/>
    <mergeCell ref="C21:H21"/>
    <mergeCell ref="C22:H22"/>
    <mergeCell ref="C26:H26"/>
    <mergeCell ref="B9:H9"/>
  </mergeCells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L13"/>
  <sheetViews>
    <sheetView zoomScale="85" zoomScaleNormal="85" workbookViewId="0">
      <selection activeCell="B17" sqref="B17"/>
    </sheetView>
  </sheetViews>
  <sheetFormatPr baseColWidth="10" defaultColWidth="11.5703125" defaultRowHeight="12.75"/>
  <cols>
    <col min="1" max="1" width="3.28515625" style="133" customWidth="1"/>
    <col min="2" max="2" width="34.28515625" style="133" customWidth="1"/>
    <col min="3" max="12" width="15.7109375" style="133" customWidth="1"/>
    <col min="13" max="16384" width="11.5703125" style="133"/>
  </cols>
  <sheetData>
    <row r="1" spans="1:12" ht="26.45" customHeight="1" thickBot="1"/>
    <row r="2" spans="1:12" ht="22.15" customHeight="1">
      <c r="B2" s="950" t="s">
        <v>252</v>
      </c>
      <c r="C2" s="951"/>
      <c r="D2" s="951"/>
      <c r="E2" s="951"/>
      <c r="F2" s="951"/>
      <c r="G2" s="951"/>
      <c r="H2" s="951"/>
      <c r="I2" s="951"/>
      <c r="J2" s="951"/>
      <c r="K2" s="1070"/>
      <c r="L2" s="1178">
        <v>2017</v>
      </c>
    </row>
    <row r="3" spans="1:12" ht="19.899999999999999" customHeight="1" thickBot="1">
      <c r="B3" s="955" t="s">
        <v>273</v>
      </c>
      <c r="C3" s="956"/>
      <c r="D3" s="956"/>
      <c r="E3" s="956"/>
      <c r="F3" s="956"/>
      <c r="G3" s="956"/>
      <c r="H3" s="956"/>
      <c r="I3" s="956"/>
      <c r="J3" s="956"/>
      <c r="K3" s="1183"/>
      <c r="L3" s="1179"/>
    </row>
    <row r="4" spans="1:12" ht="56.45" customHeight="1" thickBot="1">
      <c r="B4" s="1180" t="str">
        <f>CPYG!B3</f>
        <v>ENTIDAD: INSTITUTO VOLCANOLOGICO DE CANARIAS</v>
      </c>
      <c r="C4" s="1181"/>
      <c r="D4" s="1181"/>
      <c r="E4" s="1181"/>
      <c r="F4" s="1181"/>
      <c r="G4" s="1181"/>
      <c r="H4" s="1181"/>
      <c r="I4" s="1182"/>
      <c r="J4" s="1186" t="s">
        <v>461</v>
      </c>
      <c r="K4" s="1186"/>
      <c r="L4" s="1187"/>
    </row>
    <row r="5" spans="1:12" ht="18.600000000000001" customHeight="1" thickBot="1">
      <c r="A5" s="259"/>
      <c r="B5" s="259"/>
    </row>
    <row r="6" spans="1:12" ht="26.45" customHeight="1">
      <c r="A6" s="259"/>
      <c r="B6" s="1188" t="s">
        <v>445</v>
      </c>
      <c r="C6" s="1189" t="s">
        <v>462</v>
      </c>
      <c r="D6" s="1190"/>
      <c r="E6" s="1190"/>
      <c r="F6" s="1190"/>
      <c r="G6" s="1190"/>
      <c r="H6" s="1190"/>
      <c r="I6" s="1190"/>
      <c r="J6" s="1190"/>
      <c r="K6" s="1190"/>
      <c r="L6" s="1191"/>
    </row>
    <row r="7" spans="1:12" ht="27" customHeight="1" thickBot="1">
      <c r="A7" s="259"/>
      <c r="B7" s="1185"/>
      <c r="C7" s="667">
        <v>2017</v>
      </c>
      <c r="D7" s="667">
        <v>2018</v>
      </c>
      <c r="E7" s="667">
        <v>2019</v>
      </c>
      <c r="F7" s="667">
        <v>2020</v>
      </c>
      <c r="G7" s="667">
        <v>2021</v>
      </c>
      <c r="H7" s="667">
        <v>2022</v>
      </c>
      <c r="I7" s="667">
        <v>2023</v>
      </c>
      <c r="J7" s="667">
        <v>2024</v>
      </c>
      <c r="K7" s="667">
        <v>2025</v>
      </c>
      <c r="L7" s="774">
        <v>2026</v>
      </c>
    </row>
    <row r="8" spans="1:12" ht="21.6" customHeight="1">
      <c r="B8" s="206" t="s">
        <v>450</v>
      </c>
      <c r="C8" s="775"/>
      <c r="D8" s="775"/>
      <c r="E8" s="775"/>
      <c r="F8" s="775"/>
      <c r="G8" s="775"/>
      <c r="H8" s="775"/>
      <c r="I8" s="775"/>
      <c r="J8" s="775"/>
      <c r="K8" s="775"/>
      <c r="L8" s="776"/>
    </row>
    <row r="9" spans="1:12" ht="21.6" customHeight="1">
      <c r="B9" s="231" t="s">
        <v>459</v>
      </c>
      <c r="C9" s="777"/>
      <c r="D9" s="777"/>
      <c r="E9" s="777"/>
      <c r="F9" s="777"/>
      <c r="G9" s="777"/>
      <c r="H9" s="777"/>
      <c r="I9" s="777"/>
      <c r="J9" s="777"/>
      <c r="K9" s="777"/>
      <c r="L9" s="778"/>
    </row>
    <row r="10" spans="1:12" ht="21.6" customHeight="1">
      <c r="B10" s="231" t="s">
        <v>266</v>
      </c>
      <c r="C10" s="777"/>
      <c r="D10" s="777"/>
      <c r="E10" s="777"/>
      <c r="F10" s="777"/>
      <c r="G10" s="777"/>
      <c r="H10" s="777"/>
      <c r="I10" s="777"/>
      <c r="J10" s="777"/>
      <c r="K10" s="777"/>
      <c r="L10" s="778"/>
    </row>
    <row r="11" spans="1:12" ht="21.6" customHeight="1">
      <c r="B11" s="231" t="s">
        <v>463</v>
      </c>
      <c r="C11" s="777"/>
      <c r="D11" s="777"/>
      <c r="E11" s="777"/>
      <c r="F11" s="777"/>
      <c r="G11" s="777"/>
      <c r="H11" s="777"/>
      <c r="I11" s="777"/>
      <c r="J11" s="777"/>
      <c r="K11" s="777"/>
      <c r="L11" s="778"/>
    </row>
    <row r="12" spans="1:12" ht="21.6" customHeight="1" thickBot="1">
      <c r="B12" s="317" t="s">
        <v>267</v>
      </c>
      <c r="C12" s="779"/>
      <c r="D12" s="779"/>
      <c r="E12" s="779"/>
      <c r="F12" s="779"/>
      <c r="G12" s="779"/>
      <c r="H12" s="779"/>
      <c r="I12" s="779"/>
      <c r="J12" s="779"/>
      <c r="K12" s="779"/>
      <c r="L12" s="780"/>
    </row>
    <row r="13" spans="1:12" ht="27" customHeight="1" thickBot="1">
      <c r="B13" s="781" t="s">
        <v>460</v>
      </c>
      <c r="C13" s="782">
        <f t="shared" ref="C13:L13" si="0">SUM(C8:C12)</f>
        <v>0</v>
      </c>
      <c r="D13" s="782">
        <f t="shared" si="0"/>
        <v>0</v>
      </c>
      <c r="E13" s="782">
        <f t="shared" si="0"/>
        <v>0</v>
      </c>
      <c r="F13" s="782">
        <f t="shared" si="0"/>
        <v>0</v>
      </c>
      <c r="G13" s="782">
        <f t="shared" si="0"/>
        <v>0</v>
      </c>
      <c r="H13" s="782">
        <f t="shared" si="0"/>
        <v>0</v>
      </c>
      <c r="I13" s="782">
        <f t="shared" si="0"/>
        <v>0</v>
      </c>
      <c r="J13" s="782">
        <f t="shared" si="0"/>
        <v>0</v>
      </c>
      <c r="K13" s="782">
        <f t="shared" si="0"/>
        <v>0</v>
      </c>
      <c r="L13" s="783">
        <f t="shared" si="0"/>
        <v>0</v>
      </c>
    </row>
  </sheetData>
  <mergeCells count="7">
    <mergeCell ref="L2:L3"/>
    <mergeCell ref="B3:K3"/>
    <mergeCell ref="J4:L4"/>
    <mergeCell ref="B6:B7"/>
    <mergeCell ref="C6:L6"/>
    <mergeCell ref="B4:I4"/>
    <mergeCell ref="B2:K2"/>
  </mergeCells>
  <phoneticPr fontId="5" type="noConversion"/>
  <printOptions horizontalCentered="1" verticalCentered="1"/>
  <pageMargins left="0.78740157480314965" right="0.38" top="0.48" bottom="0.36" header="0" footer="0"/>
  <pageSetup paperSize="9" scale="6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B1:T37"/>
  <sheetViews>
    <sheetView zoomScale="75" workbookViewId="0">
      <selection activeCell="B2" sqref="B2:P29"/>
    </sheetView>
  </sheetViews>
  <sheetFormatPr baseColWidth="10" defaultColWidth="11.5703125" defaultRowHeight="12.75"/>
  <cols>
    <col min="1" max="1" width="3.28515625" style="260" customWidth="1"/>
    <col min="2" max="2" width="10.28515625" style="260" customWidth="1"/>
    <col min="3" max="3" width="19.85546875" style="260" hidden="1" customWidth="1"/>
    <col min="4" max="4" width="12.140625" style="260" customWidth="1"/>
    <col min="5" max="5" width="16.42578125" style="260" customWidth="1"/>
    <col min="6" max="6" width="10.5703125" style="260" customWidth="1"/>
    <col min="7" max="7" width="11.28515625" style="260" customWidth="1"/>
    <col min="8" max="9" width="13.5703125" style="260" customWidth="1"/>
    <col min="10" max="10" width="16.5703125" style="260" customWidth="1"/>
    <col min="11" max="11" width="17.28515625" style="260" customWidth="1"/>
    <col min="12" max="12" width="13.28515625" style="260" customWidth="1"/>
    <col min="13" max="13" width="15.42578125" style="260" customWidth="1"/>
    <col min="14" max="14" width="15.5703125" style="260" customWidth="1"/>
    <col min="15" max="15" width="16.7109375" style="260" customWidth="1"/>
    <col min="16" max="16" width="12.5703125" style="260" customWidth="1"/>
    <col min="17" max="17" width="0" style="260" hidden="1" customWidth="1"/>
    <col min="18" max="18" width="17.140625" style="261" hidden="1" customWidth="1"/>
    <col min="19" max="19" width="17.42578125" style="261" hidden="1" customWidth="1"/>
    <col min="20" max="20" width="1" style="261" hidden="1" customWidth="1"/>
    <col min="21" max="16384" width="11.5703125" style="260"/>
  </cols>
  <sheetData>
    <row r="1" spans="2:20" ht="25.15" customHeight="1" thickBot="1">
      <c r="B1" s="299"/>
      <c r="O1" s="300"/>
    </row>
    <row r="2" spans="2:20" s="277" customFormat="1" ht="36" customHeight="1" thickBot="1">
      <c r="B2" s="1234" t="s">
        <v>526</v>
      </c>
      <c r="C2" s="1235"/>
      <c r="D2" s="1235"/>
      <c r="E2" s="1235"/>
      <c r="F2" s="1235"/>
      <c r="G2" s="1235"/>
      <c r="H2" s="1235"/>
      <c r="I2" s="1235"/>
      <c r="J2" s="1235"/>
      <c r="K2" s="1235"/>
      <c r="L2" s="1235"/>
      <c r="M2" s="1235"/>
      <c r="N2" s="1236"/>
      <c r="O2" s="1224">
        <f>CPYG!E2</f>
        <v>2017</v>
      </c>
      <c r="P2" s="1225"/>
      <c r="R2" s="279"/>
      <c r="S2" s="279"/>
      <c r="T2" s="279"/>
    </row>
    <row r="3" spans="2:20" ht="25.9" customHeight="1" thickBot="1">
      <c r="B3" s="1230" t="str">
        <f>CPYG!B3</f>
        <v>ENTIDAD: INSTITUTO VOLCANOLOGICO DE CANARIAS</v>
      </c>
      <c r="C3" s="1231"/>
      <c r="D3" s="1231"/>
      <c r="E3" s="1231"/>
      <c r="F3" s="1231"/>
      <c r="G3" s="1231"/>
      <c r="H3" s="1231"/>
      <c r="I3" s="1231"/>
      <c r="J3" s="1231"/>
      <c r="K3" s="1231"/>
      <c r="L3" s="1231"/>
      <c r="M3" s="1231"/>
      <c r="N3" s="1232"/>
      <c r="O3" s="1230" t="s">
        <v>200</v>
      </c>
      <c r="P3" s="1232"/>
    </row>
    <row r="4" spans="2:20" ht="25.15" customHeight="1">
      <c r="B4" s="1226" t="s">
        <v>144</v>
      </c>
      <c r="C4" s="1227"/>
      <c r="D4" s="1227"/>
      <c r="E4" s="1227"/>
      <c r="F4" s="1227"/>
      <c r="G4" s="1227"/>
      <c r="H4" s="1227"/>
      <c r="I4" s="1227"/>
      <c r="J4" s="1227"/>
      <c r="K4" s="1227"/>
      <c r="L4" s="1227"/>
      <c r="M4" s="1227"/>
      <c r="N4" s="1227"/>
      <c r="O4" s="1227"/>
      <c r="P4" s="1228"/>
    </row>
    <row r="5" spans="2:20" ht="48" customHeight="1">
      <c r="B5" s="1233" t="s">
        <v>327</v>
      </c>
      <c r="C5" s="1213"/>
      <c r="D5" s="1204"/>
      <c r="E5" s="1203" t="s">
        <v>733</v>
      </c>
      <c r="F5" s="1204"/>
      <c r="G5" s="263" t="s">
        <v>734</v>
      </c>
      <c r="H5" s="1209" t="s">
        <v>735</v>
      </c>
      <c r="I5" s="1209"/>
      <c r="J5" s="1209"/>
      <c r="K5" s="1203" t="s">
        <v>736</v>
      </c>
      <c r="L5" s="1204"/>
      <c r="M5" s="1203" t="s">
        <v>464</v>
      </c>
      <c r="N5" s="1204"/>
      <c r="O5" s="1203" t="s">
        <v>465</v>
      </c>
      <c r="P5" s="1229"/>
      <c r="Q5" s="264"/>
    </row>
    <row r="6" spans="2:20" ht="19.899999999999999" customHeight="1">
      <c r="B6" s="1221"/>
      <c r="C6" s="1222"/>
      <c r="D6" s="1223"/>
      <c r="E6" s="1198"/>
      <c r="F6" s="1200"/>
      <c r="G6" s="265"/>
      <c r="H6" s="1214"/>
      <c r="I6" s="1215"/>
      <c r="J6" s="1216"/>
      <c r="K6" s="1198"/>
      <c r="L6" s="1200"/>
      <c r="M6" s="1198"/>
      <c r="N6" s="1200"/>
      <c r="O6" s="1198"/>
      <c r="P6" s="1199"/>
    </row>
    <row r="7" spans="2:20" ht="19.899999999999999" customHeight="1">
      <c r="B7" s="1221"/>
      <c r="C7" s="1222"/>
      <c r="D7" s="1223"/>
      <c r="E7" s="1198"/>
      <c r="F7" s="1200"/>
      <c r="G7" s="265"/>
      <c r="H7" s="1201"/>
      <c r="I7" s="1201"/>
      <c r="J7" s="1201"/>
      <c r="K7" s="1198"/>
      <c r="L7" s="1200"/>
      <c r="M7" s="1198"/>
      <c r="N7" s="1202"/>
      <c r="O7" s="1198"/>
      <c r="P7" s="1199"/>
    </row>
    <row r="8" spans="2:20" ht="19.899999999999999" customHeight="1">
      <c r="B8" s="1221"/>
      <c r="C8" s="1222"/>
      <c r="D8" s="1223"/>
      <c r="E8" s="1198"/>
      <c r="F8" s="1200"/>
      <c r="G8" s="265"/>
      <c r="H8" s="1201"/>
      <c r="I8" s="1201"/>
      <c r="J8" s="1201"/>
      <c r="K8" s="1198"/>
      <c r="L8" s="1200"/>
      <c r="M8" s="1198"/>
      <c r="N8" s="1202"/>
      <c r="O8" s="1198"/>
      <c r="P8" s="1199"/>
    </row>
    <row r="9" spans="2:20" ht="19.899999999999999" customHeight="1">
      <c r="B9" s="1221"/>
      <c r="C9" s="1222"/>
      <c r="D9" s="1223"/>
      <c r="E9" s="1198"/>
      <c r="F9" s="1200"/>
      <c r="G9" s="265"/>
      <c r="H9" s="1201"/>
      <c r="I9" s="1201"/>
      <c r="J9" s="1201"/>
      <c r="K9" s="1198"/>
      <c r="L9" s="1200"/>
      <c r="M9" s="1198"/>
      <c r="N9" s="1202"/>
      <c r="O9" s="1198"/>
      <c r="P9" s="1199"/>
    </row>
    <row r="10" spans="2:20" ht="19.899999999999999" customHeight="1">
      <c r="B10" s="1221"/>
      <c r="C10" s="1222"/>
      <c r="D10" s="1223"/>
      <c r="E10" s="1198"/>
      <c r="F10" s="1200"/>
      <c r="G10" s="267"/>
      <c r="H10" s="1201"/>
      <c r="I10" s="1201"/>
      <c r="J10" s="1201"/>
      <c r="K10" s="1198"/>
      <c r="L10" s="1200"/>
      <c r="M10" s="1198"/>
      <c r="N10" s="1202"/>
      <c r="O10" s="1198"/>
      <c r="P10" s="1199"/>
    </row>
    <row r="11" spans="2:20" ht="25.15" customHeight="1">
      <c r="B11" s="1217" t="s">
        <v>193</v>
      </c>
      <c r="C11" s="1218"/>
      <c r="D11" s="1218"/>
      <c r="E11" s="1218"/>
      <c r="F11" s="1218"/>
      <c r="G11" s="1218"/>
      <c r="H11" s="1218"/>
      <c r="I11" s="1218"/>
      <c r="J11" s="1218"/>
      <c r="K11" s="1218"/>
      <c r="L11" s="1218"/>
      <c r="M11" s="1218"/>
      <c r="N11" s="1218"/>
      <c r="O11" s="1218"/>
      <c r="P11" s="1219"/>
    </row>
    <row r="12" spans="2:20" ht="40.9" customHeight="1">
      <c r="B12" s="1220" t="s">
        <v>737</v>
      </c>
      <c r="C12" s="263"/>
      <c r="D12" s="1209" t="s">
        <v>738</v>
      </c>
      <c r="E12" s="1205" t="s">
        <v>739</v>
      </c>
      <c r="F12" s="1206"/>
      <c r="G12" s="1209" t="s">
        <v>740</v>
      </c>
      <c r="H12" s="1211" t="s">
        <v>324</v>
      </c>
      <c r="I12" s="1211" t="s">
        <v>325</v>
      </c>
      <c r="J12" s="1203" t="s">
        <v>466</v>
      </c>
      <c r="K12" s="1204"/>
      <c r="L12" s="1203" t="s">
        <v>393</v>
      </c>
      <c r="M12" s="1213"/>
      <c r="N12" s="1204"/>
      <c r="O12" s="1209" t="s">
        <v>467</v>
      </c>
      <c r="P12" s="1210"/>
    </row>
    <row r="13" spans="2:20" ht="60.6" customHeight="1">
      <c r="B13" s="1220"/>
      <c r="C13" s="263"/>
      <c r="D13" s="1209"/>
      <c r="E13" s="1207"/>
      <c r="F13" s="1208"/>
      <c r="G13" s="1209"/>
      <c r="H13" s="1212"/>
      <c r="I13" s="1212"/>
      <c r="J13" s="268" t="s">
        <v>527</v>
      </c>
      <c r="K13" s="268" t="s">
        <v>468</v>
      </c>
      <c r="L13" s="263" t="s">
        <v>469</v>
      </c>
      <c r="M13" s="263" t="s">
        <v>470</v>
      </c>
      <c r="N13" s="262" t="s">
        <v>471</v>
      </c>
      <c r="O13" s="262" t="s">
        <v>472</v>
      </c>
      <c r="P13" s="269" t="s">
        <v>0</v>
      </c>
      <c r="R13" s="270" t="s">
        <v>139</v>
      </c>
      <c r="S13" s="261" t="s">
        <v>541</v>
      </c>
      <c r="T13" s="261" t="s">
        <v>542</v>
      </c>
    </row>
    <row r="14" spans="2:20" s="277" customFormat="1" ht="19.899999999999999" customHeight="1">
      <c r="B14" s="271"/>
      <c r="C14" s="272"/>
      <c r="D14" s="272"/>
      <c r="E14" s="1192"/>
      <c r="F14" s="1193"/>
      <c r="G14" s="266"/>
      <c r="H14" s="273"/>
      <c r="I14" s="273"/>
      <c r="J14" s="274"/>
      <c r="K14" s="274"/>
      <c r="L14" s="668"/>
      <c r="M14" s="607"/>
      <c r="N14" s="607"/>
      <c r="O14" s="608"/>
      <c r="P14" s="276"/>
      <c r="R14" s="278"/>
      <c r="S14" s="279"/>
      <c r="T14" s="279"/>
    </row>
    <row r="15" spans="2:20" s="277" customFormat="1" ht="19.899999999999999" customHeight="1">
      <c r="B15" s="280"/>
      <c r="C15" s="272"/>
      <c r="D15" s="272"/>
      <c r="E15" s="1192"/>
      <c r="F15" s="1193"/>
      <c r="G15" s="266"/>
      <c r="H15" s="273"/>
      <c r="I15" s="273"/>
      <c r="J15" s="274"/>
      <c r="K15" s="274"/>
      <c r="L15" s="274"/>
      <c r="M15" s="274"/>
      <c r="N15" s="274"/>
      <c r="O15" s="275"/>
      <c r="P15" s="276"/>
      <c r="Q15" s="277">
        <f t="shared" ref="Q15:Q23" si="0">+Q14+1</f>
        <v>1</v>
      </c>
      <c r="R15" s="278">
        <f t="shared" ref="R15:R23" si="1">+T15-S15</f>
        <v>-492841.42</v>
      </c>
      <c r="S15" s="279">
        <v>492841.42</v>
      </c>
      <c r="T15" s="279">
        <f t="shared" ref="T15:T23" si="2">+S14</f>
        <v>0</v>
      </c>
    </row>
    <row r="16" spans="2:20" s="277" customFormat="1" ht="19.899999999999999" customHeight="1">
      <c r="B16" s="280"/>
      <c r="C16" s="272"/>
      <c r="D16" s="272"/>
      <c r="E16" s="1192"/>
      <c r="F16" s="1193"/>
      <c r="G16" s="266"/>
      <c r="H16" s="273"/>
      <c r="I16" s="273"/>
      <c r="J16" s="274"/>
      <c r="K16" s="274"/>
      <c r="L16" s="274"/>
      <c r="M16" s="274"/>
      <c r="N16" s="274"/>
      <c r="O16" s="275"/>
      <c r="P16" s="276"/>
      <c r="Q16" s="277">
        <f t="shared" si="0"/>
        <v>2</v>
      </c>
      <c r="R16" s="278">
        <f t="shared" si="1"/>
        <v>53178.25</v>
      </c>
      <c r="S16" s="279">
        <v>439663.17</v>
      </c>
      <c r="T16" s="279">
        <f t="shared" si="2"/>
        <v>492841.42</v>
      </c>
    </row>
    <row r="17" spans="2:20" s="277" customFormat="1" ht="19.899999999999999" customHeight="1">
      <c r="B17" s="280"/>
      <c r="C17" s="272"/>
      <c r="D17" s="272"/>
      <c r="E17" s="1192"/>
      <c r="F17" s="1193"/>
      <c r="G17" s="266"/>
      <c r="H17" s="273"/>
      <c r="I17" s="273"/>
      <c r="J17" s="274"/>
      <c r="K17" s="274"/>
      <c r="L17" s="274"/>
      <c r="M17" s="274"/>
      <c r="N17" s="274"/>
      <c r="O17" s="275"/>
      <c r="P17" s="276"/>
      <c r="Q17" s="277">
        <f t="shared" si="0"/>
        <v>3</v>
      </c>
      <c r="R17" s="278">
        <f t="shared" si="1"/>
        <v>56170.159999999974</v>
      </c>
      <c r="S17" s="279">
        <v>383493.01</v>
      </c>
      <c r="T17" s="279">
        <f t="shared" si="2"/>
        <v>439663.17</v>
      </c>
    </row>
    <row r="18" spans="2:20" s="277" customFormat="1" ht="19.899999999999999" customHeight="1">
      <c r="B18" s="280"/>
      <c r="C18" s="272"/>
      <c r="D18" s="272"/>
      <c r="E18" s="1192"/>
      <c r="F18" s="1193"/>
      <c r="G18" s="266"/>
      <c r="H18" s="273"/>
      <c r="I18" s="273"/>
      <c r="J18" s="274"/>
      <c r="K18" s="274"/>
      <c r="L18" s="274"/>
      <c r="M18" s="274"/>
      <c r="N18" s="274"/>
      <c r="O18" s="275"/>
      <c r="P18" s="276"/>
      <c r="Q18" s="277">
        <f t="shared" si="0"/>
        <v>4</v>
      </c>
      <c r="R18" s="278">
        <f t="shared" si="1"/>
        <v>59330.429999999993</v>
      </c>
      <c r="S18" s="279">
        <v>324162.58</v>
      </c>
      <c r="T18" s="279">
        <f t="shared" si="2"/>
        <v>383493.01</v>
      </c>
    </row>
    <row r="19" spans="2:20" s="277" customFormat="1" ht="19.899999999999999" customHeight="1">
      <c r="B19" s="280"/>
      <c r="C19" s="272"/>
      <c r="D19" s="272"/>
      <c r="E19" s="1192"/>
      <c r="F19" s="1193"/>
      <c r="G19" s="266"/>
      <c r="H19" s="273"/>
      <c r="I19" s="273"/>
      <c r="J19" s="274"/>
      <c r="K19" s="274"/>
      <c r="L19" s="274"/>
      <c r="M19" s="274"/>
      <c r="N19" s="274"/>
      <c r="O19" s="275"/>
      <c r="P19" s="276"/>
      <c r="Q19" s="277">
        <f t="shared" si="0"/>
        <v>5</v>
      </c>
      <c r="R19" s="278">
        <f t="shared" si="1"/>
        <v>62668.49000000002</v>
      </c>
      <c r="S19" s="279">
        <v>261494.09</v>
      </c>
      <c r="T19" s="279">
        <f t="shared" si="2"/>
        <v>324162.58</v>
      </c>
    </row>
    <row r="20" spans="2:20" s="277" customFormat="1" ht="19.899999999999999" customHeight="1">
      <c r="B20" s="280"/>
      <c r="C20" s="272"/>
      <c r="D20" s="272"/>
      <c r="E20" s="1192"/>
      <c r="F20" s="1193"/>
      <c r="G20" s="266"/>
      <c r="H20" s="266"/>
      <c r="I20" s="266"/>
      <c r="J20" s="281"/>
      <c r="K20" s="281"/>
      <c r="L20" s="281"/>
      <c r="M20" s="281"/>
      <c r="N20" s="281"/>
      <c r="O20" s="282"/>
      <c r="P20" s="276"/>
      <c r="Q20" s="277">
        <f t="shared" si="0"/>
        <v>6</v>
      </c>
      <c r="R20" s="278">
        <f t="shared" si="1"/>
        <v>66194.34</v>
      </c>
      <c r="S20" s="279">
        <v>195299.75</v>
      </c>
      <c r="T20" s="279">
        <f t="shared" si="2"/>
        <v>261494.09</v>
      </c>
    </row>
    <row r="21" spans="2:20" s="277" customFormat="1" ht="19.899999999999999" customHeight="1">
      <c r="B21" s="280"/>
      <c r="C21" s="272"/>
      <c r="D21" s="272"/>
      <c r="E21" s="1192"/>
      <c r="F21" s="1193"/>
      <c r="G21" s="266"/>
      <c r="H21" s="266"/>
      <c r="I21" s="266"/>
      <c r="J21" s="281"/>
      <c r="K21" s="281"/>
      <c r="L21" s="281"/>
      <c r="M21" s="281"/>
      <c r="N21" s="281"/>
      <c r="O21" s="282"/>
      <c r="P21" s="276"/>
      <c r="Q21" s="277">
        <f t="shared" si="0"/>
        <v>7</v>
      </c>
      <c r="R21" s="278">
        <f t="shared" si="1"/>
        <v>69918.59</v>
      </c>
      <c r="S21" s="279">
        <v>125381.16</v>
      </c>
      <c r="T21" s="279">
        <f t="shared" si="2"/>
        <v>195299.75</v>
      </c>
    </row>
    <row r="22" spans="2:20" s="277" customFormat="1" ht="19.899999999999999" customHeight="1">
      <c r="B22" s="280"/>
      <c r="C22" s="272"/>
      <c r="D22" s="272"/>
      <c r="E22" s="1192"/>
      <c r="F22" s="1193"/>
      <c r="G22" s="266"/>
      <c r="H22" s="266"/>
      <c r="I22" s="266"/>
      <c r="J22" s="281"/>
      <c r="K22" s="281"/>
      <c r="L22" s="281"/>
      <c r="M22" s="281"/>
      <c r="N22" s="281"/>
      <c r="O22" s="282"/>
      <c r="P22" s="276"/>
      <c r="Q22" s="277">
        <f t="shared" si="0"/>
        <v>8</v>
      </c>
      <c r="R22" s="278">
        <f t="shared" si="1"/>
        <v>73852.37</v>
      </c>
      <c r="S22" s="279">
        <v>51528.79</v>
      </c>
      <c r="T22" s="279">
        <f t="shared" si="2"/>
        <v>125381.16</v>
      </c>
    </row>
    <row r="23" spans="2:20" s="277" customFormat="1" ht="19.899999999999999" customHeight="1" thickBot="1">
      <c r="B23" s="283"/>
      <c r="C23" s="272"/>
      <c r="D23" s="284"/>
      <c r="E23" s="1196"/>
      <c r="F23" s="1197"/>
      <c r="G23" s="285"/>
      <c r="H23" s="285"/>
      <c r="I23" s="285"/>
      <c r="J23" s="286"/>
      <c r="K23" s="286"/>
      <c r="L23" s="286"/>
      <c r="M23" s="286"/>
      <c r="N23" s="286"/>
      <c r="O23" s="287"/>
      <c r="P23" s="288"/>
      <c r="Q23" s="277">
        <f t="shared" si="0"/>
        <v>9</v>
      </c>
      <c r="R23" s="278">
        <f t="shared" si="1"/>
        <v>51528.79</v>
      </c>
      <c r="S23" s="279">
        <v>0</v>
      </c>
      <c r="T23" s="279">
        <f t="shared" si="2"/>
        <v>51528.79</v>
      </c>
    </row>
    <row r="24" spans="2:20" s="277" customFormat="1" ht="19.899999999999999" customHeight="1" thickBot="1">
      <c r="B24" s="289" t="s">
        <v>145</v>
      </c>
      <c r="C24" s="290"/>
      <c r="D24" s="291"/>
      <c r="E24" s="1194"/>
      <c r="F24" s="1195"/>
      <c r="G24" s="292"/>
      <c r="H24" s="292"/>
      <c r="I24" s="292"/>
      <c r="J24" s="699">
        <f t="shared" ref="J24:O24" si="3">SUM(J14:J23)</f>
        <v>0</v>
      </c>
      <c r="K24" s="699">
        <f t="shared" si="3"/>
        <v>0</v>
      </c>
      <c r="L24" s="699">
        <f>SUM(L15:L23)</f>
        <v>0</v>
      </c>
      <c r="M24" s="699">
        <f t="shared" si="3"/>
        <v>0</v>
      </c>
      <c r="N24" s="699">
        <f t="shared" si="3"/>
        <v>0</v>
      </c>
      <c r="O24" s="699">
        <f t="shared" si="3"/>
        <v>0</v>
      </c>
      <c r="P24" s="293"/>
      <c r="R24" s="279"/>
      <c r="S24" s="279"/>
      <c r="T24" s="279"/>
    </row>
    <row r="25" spans="2:20">
      <c r="B25" s="294"/>
      <c r="C25" s="295"/>
      <c r="D25" s="295"/>
      <c r="E25" s="296"/>
      <c r="F25" s="294"/>
      <c r="G25" s="294"/>
      <c r="H25" s="294"/>
      <c r="I25" s="294"/>
      <c r="J25" s="294"/>
      <c r="K25" s="294"/>
      <c r="L25" s="294"/>
      <c r="M25" s="294"/>
      <c r="N25" s="294"/>
      <c r="O25" s="297"/>
      <c r="P25" s="298"/>
    </row>
    <row r="26" spans="2:20">
      <c r="B26" s="260" t="s">
        <v>141</v>
      </c>
    </row>
    <row r="27" spans="2:20">
      <c r="B27" s="260" t="s">
        <v>326</v>
      </c>
    </row>
    <row r="28" spans="2:20">
      <c r="B28" s="260" t="s">
        <v>194</v>
      </c>
    </row>
    <row r="29" spans="2:20">
      <c r="B29" s="260" t="s">
        <v>528</v>
      </c>
    </row>
    <row r="34" spans="2:2">
      <c r="B34" s="133"/>
    </row>
    <row r="35" spans="2:2">
      <c r="B35" s="133"/>
    </row>
    <row r="36" spans="2:2">
      <c r="B36" s="133"/>
    </row>
    <row r="37" spans="2:2">
      <c r="B37" s="133"/>
    </row>
  </sheetData>
  <mergeCells count="62">
    <mergeCell ref="B6:D6"/>
    <mergeCell ref="O2:P2"/>
    <mergeCell ref="B4:P4"/>
    <mergeCell ref="H5:J5"/>
    <mergeCell ref="O5:P5"/>
    <mergeCell ref="M5:N5"/>
    <mergeCell ref="K5:L5"/>
    <mergeCell ref="E5:F5"/>
    <mergeCell ref="B3:N3"/>
    <mergeCell ref="B5:D5"/>
    <mergeCell ref="O3:P3"/>
    <mergeCell ref="B2:N2"/>
    <mergeCell ref="D12:D13"/>
    <mergeCell ref="H6:J6"/>
    <mergeCell ref="H12:H13"/>
    <mergeCell ref="B11:P11"/>
    <mergeCell ref="B12:B13"/>
    <mergeCell ref="G12:G13"/>
    <mergeCell ref="O6:P6"/>
    <mergeCell ref="B10:D10"/>
    <mergeCell ref="H8:J8"/>
    <mergeCell ref="M8:N8"/>
    <mergeCell ref="B7:D7"/>
    <mergeCell ref="B8:D8"/>
    <mergeCell ref="B9:D9"/>
    <mergeCell ref="M9:N9"/>
    <mergeCell ref="M7:N7"/>
    <mergeCell ref="H7:J7"/>
    <mergeCell ref="O8:P8"/>
    <mergeCell ref="E6:F6"/>
    <mergeCell ref="K6:L6"/>
    <mergeCell ref="M6:N6"/>
    <mergeCell ref="O7:P7"/>
    <mergeCell ref="E7:F7"/>
    <mergeCell ref="E8:F8"/>
    <mergeCell ref="K7:L7"/>
    <mergeCell ref="K8:L8"/>
    <mergeCell ref="O10:P10"/>
    <mergeCell ref="O9:P9"/>
    <mergeCell ref="K10:L10"/>
    <mergeCell ref="K9:L9"/>
    <mergeCell ref="E15:F15"/>
    <mergeCell ref="E14:F14"/>
    <mergeCell ref="H9:J9"/>
    <mergeCell ref="M10:N10"/>
    <mergeCell ref="J12:K12"/>
    <mergeCell ref="E12:F13"/>
    <mergeCell ref="O12:P12"/>
    <mergeCell ref="I12:I13"/>
    <mergeCell ref="H10:J10"/>
    <mergeCell ref="L12:N12"/>
    <mergeCell ref="E9:F9"/>
    <mergeCell ref="E10:F10"/>
    <mergeCell ref="E16:F16"/>
    <mergeCell ref="E17:F17"/>
    <mergeCell ref="E18:F18"/>
    <mergeCell ref="E19:F19"/>
    <mergeCell ref="E24:F24"/>
    <mergeCell ref="E20:F20"/>
    <mergeCell ref="E21:F21"/>
    <mergeCell ref="E22:F22"/>
    <mergeCell ref="E23:F23"/>
  </mergeCells>
  <phoneticPr fontId="8" type="noConversion"/>
  <dataValidations count="4">
    <dataValidation type="list" allowBlank="1" showInputMessage="1" showErrorMessage="1" promptTitle="Tipo" prompt="Deberá indicar seleccionar el mismo_x000a_" sqref="G14:G24">
      <formula1>$F$34:$F$37</formula1>
    </dataValidation>
    <dataValidation allowBlank="1" showInputMessage="1" showErrorMessage="1" prompt="Este número está correlacionado con el Aval del Cabildo, en su caso._x000a_" sqref="H14:I24"/>
    <dataValidation allowBlank="1" showInputMessage="1" showErrorMessage="1" prompt="LO QUE QUEDA POR PAGAR SIN INTERESES. RESPECTO DE PÓLIZAS DE CRÉDITOS ES LO QUE ESTÁ DISPUESTO A ESA FECHA." sqref="K14:K24"/>
    <dataValidation allowBlank="1" showInputMessage="1" showErrorMessage="1" promptTitle="Epígrafe Pasivo Balance" prompt="Incluir en dónde figura del Pasivo del Balance la disposición o reducción de pólizas y préstamos" sqref="D14:D24"/>
  </dataValidations>
  <printOptions horizontalCentered="1" verticalCentered="1"/>
  <pageMargins left="0.56999999999999995" right="0.15748031496062992" top="0.78740157480314965" bottom="0.23622047244094491" header="0.51181102362204722" footer="0.23622047244094491"/>
  <pageSetup paperSize="9" scale="70" orientation="landscape" horizontalDpi="4294967293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J32"/>
  <sheetViews>
    <sheetView topLeftCell="A7" zoomScale="95" zoomScaleNormal="95" workbookViewId="0">
      <selection activeCell="D28" sqref="D28"/>
    </sheetView>
  </sheetViews>
  <sheetFormatPr baseColWidth="10" defaultColWidth="11.42578125" defaultRowHeight="12.75"/>
  <cols>
    <col min="1" max="1" width="28.5703125" style="109" customWidth="1"/>
    <col min="2" max="2" width="23.85546875" style="109" customWidth="1"/>
    <col min="3" max="3" width="13.7109375" style="109" bestFit="1" customWidth="1"/>
    <col min="4" max="5" width="13.7109375" style="123" bestFit="1" customWidth="1"/>
    <col min="6" max="6" width="14.28515625" style="123" bestFit="1" customWidth="1"/>
    <col min="7" max="7" width="13.7109375" style="123" bestFit="1" customWidth="1"/>
    <col min="8" max="8" width="14.28515625" style="123" bestFit="1" customWidth="1"/>
    <col min="9" max="16384" width="11.42578125" style="109"/>
  </cols>
  <sheetData>
    <row r="1" spans="1:10" ht="54" customHeight="1">
      <c r="A1" s="1237" t="s">
        <v>97</v>
      </c>
      <c r="B1" s="1238"/>
      <c r="C1" s="1238"/>
      <c r="D1" s="1238"/>
      <c r="E1" s="1238"/>
      <c r="F1" s="1238"/>
      <c r="G1" s="1239"/>
      <c r="H1" s="108">
        <v>2011</v>
      </c>
      <c r="I1"/>
      <c r="J1"/>
    </row>
    <row r="2" spans="1:10" s="110" customFormat="1" ht="17.25" thickBot="1">
      <c r="A2" s="1240" t="s">
        <v>98</v>
      </c>
      <c r="B2" s="1241"/>
      <c r="C2" s="1241"/>
      <c r="D2" s="1241"/>
      <c r="E2" s="1241"/>
      <c r="F2" s="1241"/>
      <c r="G2" s="1242"/>
      <c r="H2" s="120" t="s">
        <v>538</v>
      </c>
      <c r="I2"/>
      <c r="J2"/>
    </row>
    <row r="3" spans="1:10" ht="13.5" customHeight="1" thickBot="1">
      <c r="A3" s="1243" t="s">
        <v>99</v>
      </c>
      <c r="B3" s="1244"/>
      <c r="C3" s="1244"/>
      <c r="D3" s="1244"/>
      <c r="E3" s="1244"/>
      <c r="F3" s="1244"/>
      <c r="G3" s="1244"/>
      <c r="H3" s="1245"/>
    </row>
    <row r="4" spans="1:10" ht="20.45" customHeight="1">
      <c r="C4" s="1246">
        <v>2009</v>
      </c>
      <c r="D4" s="1246"/>
      <c r="E4" s="1246" t="s">
        <v>620</v>
      </c>
      <c r="F4" s="1246"/>
      <c r="G4" s="1246" t="s">
        <v>619</v>
      </c>
      <c r="H4" s="1246"/>
    </row>
    <row r="5" spans="1:10" ht="24.75">
      <c r="A5" s="111" t="s">
        <v>100</v>
      </c>
      <c r="B5" s="111" t="s">
        <v>539</v>
      </c>
      <c r="C5" s="112" t="s">
        <v>101</v>
      </c>
      <c r="D5" s="112" t="s">
        <v>102</v>
      </c>
      <c r="E5" s="112" t="s">
        <v>101</v>
      </c>
      <c r="F5" s="112" t="s">
        <v>102</v>
      </c>
      <c r="G5" s="112" t="s">
        <v>101</v>
      </c>
      <c r="H5" s="112" t="s">
        <v>102</v>
      </c>
    </row>
    <row r="6" spans="1:10" ht="15.75">
      <c r="A6" s="111" t="s">
        <v>103</v>
      </c>
      <c r="B6" s="111" t="s">
        <v>104</v>
      </c>
      <c r="C6" s="126">
        <v>27900</v>
      </c>
      <c r="D6" s="126">
        <v>27900</v>
      </c>
      <c r="E6" s="126">
        <v>27840</v>
      </c>
      <c r="F6" s="126">
        <v>27840</v>
      </c>
      <c r="G6" s="126">
        <v>28950</v>
      </c>
      <c r="H6" s="126">
        <v>28950</v>
      </c>
    </row>
    <row r="7" spans="1:10" ht="15.75">
      <c r="A7" s="111" t="s">
        <v>103</v>
      </c>
      <c r="B7" s="111" t="s">
        <v>105</v>
      </c>
      <c r="C7" s="126">
        <v>15390</v>
      </c>
      <c r="D7" s="126">
        <v>15390</v>
      </c>
      <c r="E7" s="126">
        <v>2780</v>
      </c>
      <c r="F7" s="126">
        <v>2780</v>
      </c>
      <c r="G7" s="126">
        <v>2810</v>
      </c>
      <c r="H7" s="126">
        <v>2810</v>
      </c>
    </row>
    <row r="8" spans="1:10" ht="16.5">
      <c r="A8" s="111"/>
      <c r="B8" s="111"/>
      <c r="C8" s="124"/>
      <c r="D8" s="124"/>
      <c r="E8" s="124"/>
      <c r="F8" s="124"/>
      <c r="G8" s="124"/>
      <c r="H8" s="124"/>
    </row>
    <row r="9" spans="1:10" ht="16.5">
      <c r="A9" s="111"/>
      <c r="B9" s="111"/>
      <c r="C9" s="124"/>
      <c r="D9" s="124"/>
      <c r="E9" s="124"/>
      <c r="F9" s="124"/>
      <c r="G9" s="124"/>
      <c r="H9" s="124"/>
    </row>
    <row r="10" spans="1:10" ht="16.5">
      <c r="A10" s="111"/>
      <c r="B10" s="111"/>
      <c r="C10" s="124"/>
      <c r="D10" s="124"/>
      <c r="E10" s="124"/>
      <c r="F10" s="124"/>
      <c r="G10" s="124"/>
      <c r="H10" s="124"/>
    </row>
    <row r="11" spans="1:10" ht="16.5">
      <c r="A11" s="111"/>
      <c r="B11" s="111"/>
      <c r="C11" s="124"/>
      <c r="D11" s="124"/>
      <c r="E11" s="124"/>
      <c r="F11" s="124"/>
      <c r="G11" s="124"/>
      <c r="H11" s="124"/>
    </row>
    <row r="12" spans="1:10" ht="15.75">
      <c r="A12" s="113"/>
      <c r="B12" s="114"/>
      <c r="C12" s="125"/>
      <c r="D12" s="125"/>
      <c r="E12" s="125"/>
      <c r="F12" s="125"/>
      <c r="G12" s="125"/>
      <c r="H12" s="125"/>
    </row>
    <row r="13" spans="1:10" ht="15.75">
      <c r="A13" s="113"/>
      <c r="B13" s="114"/>
      <c r="C13" s="125"/>
      <c r="D13" s="125"/>
      <c r="E13" s="125"/>
      <c r="F13" s="125"/>
      <c r="G13" s="125"/>
      <c r="H13" s="125"/>
    </row>
    <row r="14" spans="1:10" ht="15.75">
      <c r="A14" s="113"/>
      <c r="B14" s="114"/>
      <c r="C14" s="125"/>
      <c r="D14" s="125"/>
      <c r="E14" s="125"/>
      <c r="F14" s="125"/>
      <c r="G14" s="125"/>
      <c r="H14" s="125"/>
    </row>
    <row r="15" spans="1:10" ht="17.25" thickBot="1">
      <c r="A15" s="1248" t="s">
        <v>145</v>
      </c>
      <c r="B15" s="1249"/>
      <c r="C15" s="127">
        <f t="shared" ref="C15:H15" si="0">SUM(C6:C14)</f>
        <v>43290</v>
      </c>
      <c r="D15" s="127">
        <f t="shared" si="0"/>
        <v>43290</v>
      </c>
      <c r="E15" s="127">
        <f t="shared" si="0"/>
        <v>30620</v>
      </c>
      <c r="F15" s="127">
        <f t="shared" si="0"/>
        <v>30620</v>
      </c>
      <c r="G15" s="127">
        <f t="shared" si="0"/>
        <v>31760</v>
      </c>
      <c r="H15" s="127">
        <f t="shared" si="0"/>
        <v>31760</v>
      </c>
    </row>
    <row r="16" spans="1:10" ht="6.75" customHeight="1" thickBot="1">
      <c r="A16" s="115"/>
      <c r="B16" s="116"/>
      <c r="C16" s="117"/>
      <c r="D16" s="117"/>
      <c r="E16" s="118"/>
      <c r="F16" s="118"/>
      <c r="G16" s="118"/>
      <c r="H16" s="119"/>
    </row>
    <row r="17" spans="1:8" ht="15.75" customHeight="1">
      <c r="C17" s="1247">
        <v>2009</v>
      </c>
      <c r="D17" s="1247"/>
      <c r="E17" s="1247" t="s">
        <v>620</v>
      </c>
      <c r="F17" s="1247"/>
      <c r="G17" s="1247" t="s">
        <v>619</v>
      </c>
      <c r="H17" s="1247"/>
    </row>
    <row r="18" spans="1:8" ht="24.75">
      <c r="A18" s="111" t="s">
        <v>106</v>
      </c>
      <c r="B18" s="111" t="s">
        <v>539</v>
      </c>
      <c r="C18" s="112" t="s">
        <v>107</v>
      </c>
      <c r="D18" s="112" t="s">
        <v>102</v>
      </c>
      <c r="E18" s="112" t="s">
        <v>107</v>
      </c>
      <c r="F18" s="112" t="s">
        <v>102</v>
      </c>
      <c r="G18" s="112" t="s">
        <v>107</v>
      </c>
      <c r="H18" s="112" t="s">
        <v>102</v>
      </c>
    </row>
    <row r="19" spans="1:8" ht="15.75">
      <c r="A19" s="111" t="s">
        <v>108</v>
      </c>
      <c r="B19" s="111" t="s">
        <v>109</v>
      </c>
      <c r="C19" s="129">
        <v>4875</v>
      </c>
      <c r="D19" s="129">
        <v>4875</v>
      </c>
      <c r="E19" s="129">
        <v>0</v>
      </c>
      <c r="F19" s="129">
        <v>0</v>
      </c>
      <c r="G19" s="129">
        <v>0</v>
      </c>
      <c r="H19" s="129">
        <v>0</v>
      </c>
    </row>
    <row r="20" spans="1:8" ht="15.75">
      <c r="A20" s="111" t="s">
        <v>110</v>
      </c>
      <c r="B20" s="111" t="s">
        <v>109</v>
      </c>
      <c r="C20" s="129">
        <v>2025</v>
      </c>
      <c r="D20" s="129">
        <v>2025</v>
      </c>
      <c r="E20" s="129">
        <v>0</v>
      </c>
      <c r="F20" s="129">
        <v>0</v>
      </c>
      <c r="G20" s="129">
        <v>0</v>
      </c>
      <c r="H20" s="129">
        <v>0</v>
      </c>
    </row>
    <row r="21" spans="1:8" ht="15.75">
      <c r="A21" s="111" t="s">
        <v>111</v>
      </c>
      <c r="B21" s="111" t="s">
        <v>112</v>
      </c>
      <c r="C21" s="129">
        <v>146.51</v>
      </c>
      <c r="D21" s="129">
        <v>146.51</v>
      </c>
      <c r="E21" s="129">
        <v>0</v>
      </c>
      <c r="F21" s="129">
        <v>0</v>
      </c>
      <c r="G21" s="129">
        <v>0</v>
      </c>
      <c r="H21" s="129">
        <v>0</v>
      </c>
    </row>
    <row r="22" spans="1:8" ht="15.75">
      <c r="A22" s="111" t="s">
        <v>113</v>
      </c>
      <c r="B22" s="111" t="s">
        <v>114</v>
      </c>
      <c r="C22" s="129">
        <v>5610.54</v>
      </c>
      <c r="D22" s="129">
        <v>5610.54</v>
      </c>
      <c r="E22" s="129">
        <v>0</v>
      </c>
      <c r="F22" s="129">
        <v>0</v>
      </c>
      <c r="G22" s="129">
        <v>0</v>
      </c>
      <c r="H22" s="129">
        <v>0</v>
      </c>
    </row>
    <row r="23" spans="1:8" ht="15.75">
      <c r="A23" s="111" t="s">
        <v>115</v>
      </c>
      <c r="B23" s="111" t="s">
        <v>116</v>
      </c>
      <c r="C23" s="129">
        <v>5813.99</v>
      </c>
      <c r="D23" s="129">
        <v>5813.99</v>
      </c>
      <c r="E23" s="129">
        <v>460</v>
      </c>
      <c r="F23" s="129">
        <v>460</v>
      </c>
      <c r="G23" s="129">
        <v>2040</v>
      </c>
      <c r="H23" s="129">
        <v>2040</v>
      </c>
    </row>
    <row r="24" spans="1:8" ht="15.75">
      <c r="A24" s="111" t="s">
        <v>103</v>
      </c>
      <c r="B24" s="111" t="s">
        <v>104</v>
      </c>
      <c r="C24" s="129">
        <v>73630</v>
      </c>
      <c r="D24" s="129">
        <v>73630</v>
      </c>
      <c r="E24" s="129">
        <v>76730</v>
      </c>
      <c r="F24" s="129">
        <v>76730</v>
      </c>
      <c r="G24" s="129">
        <v>79800</v>
      </c>
      <c r="H24" s="129">
        <v>79800</v>
      </c>
    </row>
    <row r="25" spans="1:8" ht="15.75">
      <c r="A25" s="111" t="s">
        <v>103</v>
      </c>
      <c r="B25" s="111" t="s">
        <v>117</v>
      </c>
      <c r="C25" s="130">
        <v>6878.96</v>
      </c>
      <c r="D25" s="130">
        <v>6878.96</v>
      </c>
      <c r="E25" s="130">
        <v>4530</v>
      </c>
      <c r="F25" s="130">
        <v>4530</v>
      </c>
      <c r="G25" s="130">
        <v>4580</v>
      </c>
      <c r="H25" s="130">
        <v>4580</v>
      </c>
    </row>
    <row r="26" spans="1:8" ht="19.149999999999999" customHeight="1">
      <c r="A26" s="113"/>
      <c r="B26" s="114"/>
      <c r="C26" s="128"/>
      <c r="D26" s="128"/>
      <c r="E26" s="128"/>
      <c r="F26" s="128"/>
      <c r="G26" s="128"/>
      <c r="H26" s="128"/>
    </row>
    <row r="27" spans="1:8" ht="15.75">
      <c r="A27" s="113"/>
      <c r="B27" s="114"/>
      <c r="C27" s="128"/>
      <c r="D27" s="128"/>
      <c r="E27" s="128"/>
      <c r="F27" s="128"/>
      <c r="G27" s="128"/>
      <c r="H27" s="128"/>
    </row>
    <row r="28" spans="1:8" ht="17.25" thickBot="1">
      <c r="A28" s="1248" t="s">
        <v>145</v>
      </c>
      <c r="B28" s="1249"/>
      <c r="C28" s="131">
        <f t="shared" ref="C28:H28" si="1">SUM(C19:C27)</f>
        <v>98980.000000000015</v>
      </c>
      <c r="D28" s="131">
        <f t="shared" si="1"/>
        <v>98980.000000000015</v>
      </c>
      <c r="E28" s="131">
        <f t="shared" si="1"/>
        <v>81720</v>
      </c>
      <c r="F28" s="131">
        <f t="shared" si="1"/>
        <v>81720</v>
      </c>
      <c r="G28" s="131">
        <f t="shared" si="1"/>
        <v>86420</v>
      </c>
      <c r="H28" s="131">
        <f t="shared" si="1"/>
        <v>86420</v>
      </c>
    </row>
    <row r="29" spans="1:8" ht="13.5" thickBot="1">
      <c r="A29" s="115"/>
      <c r="B29" s="116"/>
      <c r="C29" s="116"/>
      <c r="D29" s="116"/>
      <c r="E29" s="121"/>
      <c r="F29" s="121"/>
      <c r="G29" s="121"/>
      <c r="H29" s="122"/>
    </row>
    <row r="31" spans="1:8" ht="22.15" customHeight="1">
      <c r="A31" s="109" t="s">
        <v>540</v>
      </c>
    </row>
    <row r="32" spans="1:8" ht="54.6" customHeight="1"/>
  </sheetData>
  <mergeCells count="11">
    <mergeCell ref="G17:H17"/>
    <mergeCell ref="A28:B28"/>
    <mergeCell ref="A15:B15"/>
    <mergeCell ref="C17:D17"/>
    <mergeCell ref="E17:F17"/>
    <mergeCell ref="A1:G1"/>
    <mergeCell ref="A2:G2"/>
    <mergeCell ref="A3:H3"/>
    <mergeCell ref="C4:D4"/>
    <mergeCell ref="E4:F4"/>
    <mergeCell ref="G4:H4"/>
  </mergeCells>
  <phoneticPr fontId="5" type="noConversion"/>
  <printOptions horizontalCentered="1"/>
  <pageMargins left="0.74803149606299213" right="0.74803149606299213" top="0.98425196850393704" bottom="0.98425196850393704" header="0" footer="0"/>
  <pageSetup paperSize="9" scale="97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1:S30"/>
  <sheetViews>
    <sheetView zoomScale="75" workbookViewId="0">
      <selection activeCell="A2" sqref="A2:O22"/>
    </sheetView>
  </sheetViews>
  <sheetFormatPr baseColWidth="10" defaultColWidth="11.5703125" defaultRowHeight="12.75"/>
  <cols>
    <col min="1" max="1" width="12.140625" style="260" customWidth="1"/>
    <col min="2" max="2" width="19.85546875" style="260" hidden="1" customWidth="1"/>
    <col min="3" max="3" width="26.28515625" style="260" customWidth="1"/>
    <col min="4" max="4" width="13.28515625" style="260" customWidth="1"/>
    <col min="5" max="5" width="10.5703125" style="260" customWidth="1"/>
    <col min="6" max="6" width="13.85546875" style="260" customWidth="1"/>
    <col min="7" max="8" width="15.7109375" style="260" customWidth="1"/>
    <col min="9" max="9" width="16.7109375" style="260" customWidth="1"/>
    <col min="10" max="10" width="16.28515625" style="260" customWidth="1"/>
    <col min="11" max="11" width="14.28515625" style="260" customWidth="1"/>
    <col min="12" max="12" width="13" style="260" bestFit="1" customWidth="1"/>
    <col min="13" max="13" width="14.7109375" style="260" bestFit="1" customWidth="1"/>
    <col min="14" max="14" width="13" style="260" bestFit="1" customWidth="1"/>
    <col min="15" max="15" width="12.5703125" style="260" customWidth="1"/>
    <col min="16" max="16" width="0" style="260" hidden="1" customWidth="1"/>
    <col min="17" max="17" width="17.140625" style="261" hidden="1" customWidth="1"/>
    <col min="18" max="18" width="17.42578125" style="261" hidden="1" customWidth="1"/>
    <col min="19" max="19" width="1" style="261" hidden="1" customWidth="1"/>
    <col min="20" max="16384" width="11.5703125" style="260"/>
  </cols>
  <sheetData>
    <row r="1" spans="1:19" ht="13.5" thickBot="1">
      <c r="A1" s="299"/>
      <c r="N1" s="300"/>
    </row>
    <row r="2" spans="1:19" s="277" customFormat="1" ht="36" customHeight="1" thickBot="1">
      <c r="A2" s="1234" t="s">
        <v>526</v>
      </c>
      <c r="B2" s="1235"/>
      <c r="C2" s="1235"/>
      <c r="D2" s="1235"/>
      <c r="E2" s="1235"/>
      <c r="F2" s="1235"/>
      <c r="G2" s="1235"/>
      <c r="H2" s="1235"/>
      <c r="I2" s="1235"/>
      <c r="J2" s="1235"/>
      <c r="K2" s="1235"/>
      <c r="L2" s="1235"/>
      <c r="M2" s="1236"/>
      <c r="N2" s="1224">
        <f>CPYG!E2</f>
        <v>2017</v>
      </c>
      <c r="O2" s="1225"/>
      <c r="Q2" s="279"/>
      <c r="R2" s="279"/>
      <c r="S2" s="279"/>
    </row>
    <row r="3" spans="1:19" ht="34.9" customHeight="1" thickBot="1">
      <c r="A3" s="1230" t="str">
        <f>CPYG!B3</f>
        <v>ENTIDAD: INSTITUTO VOLCANOLOGICO DE CANARIAS</v>
      </c>
      <c r="B3" s="1231"/>
      <c r="C3" s="1231"/>
      <c r="D3" s="1231"/>
      <c r="E3" s="1231"/>
      <c r="F3" s="1231"/>
      <c r="G3" s="1231"/>
      <c r="H3" s="1231"/>
      <c r="I3" s="1231"/>
      <c r="J3" s="1231"/>
      <c r="K3" s="1231"/>
      <c r="L3" s="1231"/>
      <c r="M3" s="1232"/>
      <c r="N3" s="1230" t="s">
        <v>199</v>
      </c>
      <c r="O3" s="1232"/>
    </row>
    <row r="4" spans="1:19" ht="25.15" customHeight="1">
      <c r="A4" s="1250" t="s">
        <v>195</v>
      </c>
      <c r="B4" s="1212"/>
      <c r="C4" s="1212"/>
      <c r="D4" s="1212"/>
      <c r="E4" s="1212"/>
      <c r="F4" s="1212"/>
      <c r="G4" s="1212"/>
      <c r="H4" s="1212"/>
      <c r="I4" s="1212"/>
      <c r="J4" s="1212"/>
      <c r="K4" s="1212"/>
      <c r="L4" s="1212"/>
      <c r="M4" s="1212"/>
      <c r="N4" s="1212"/>
      <c r="O4" s="1251"/>
    </row>
    <row r="5" spans="1:19" ht="40.9" customHeight="1">
      <c r="A5" s="1252" t="s">
        <v>737</v>
      </c>
      <c r="B5" s="263"/>
      <c r="C5" s="1209" t="s">
        <v>738</v>
      </c>
      <c r="D5" s="1205" t="s">
        <v>739</v>
      </c>
      <c r="E5" s="1206"/>
      <c r="F5" s="1209" t="s">
        <v>740</v>
      </c>
      <c r="G5" s="1211" t="s">
        <v>324</v>
      </c>
      <c r="H5" s="1211" t="s">
        <v>325</v>
      </c>
      <c r="I5" s="1203" t="s">
        <v>473</v>
      </c>
      <c r="J5" s="1213"/>
      <c r="K5" s="1204"/>
      <c r="L5" s="1203" t="s">
        <v>474</v>
      </c>
      <c r="M5" s="1213"/>
      <c r="N5" s="1213"/>
      <c r="O5" s="1229"/>
    </row>
    <row r="6" spans="1:19" ht="73.900000000000006" customHeight="1">
      <c r="A6" s="1250"/>
      <c r="B6" s="263"/>
      <c r="C6" s="1209"/>
      <c r="D6" s="1207"/>
      <c r="E6" s="1208"/>
      <c r="F6" s="1209"/>
      <c r="G6" s="1212"/>
      <c r="H6" s="1212"/>
      <c r="I6" s="268" t="s">
        <v>527</v>
      </c>
      <c r="J6" s="268" t="s">
        <v>475</v>
      </c>
      <c r="K6" s="262" t="s">
        <v>196</v>
      </c>
      <c r="L6" s="268" t="s">
        <v>476</v>
      </c>
      <c r="M6" s="263" t="s">
        <v>477</v>
      </c>
      <c r="N6" s="262" t="s">
        <v>472</v>
      </c>
      <c r="O6" s="269" t="s">
        <v>196</v>
      </c>
      <c r="Q6" s="270" t="s">
        <v>139</v>
      </c>
      <c r="R6" s="261" t="s">
        <v>541</v>
      </c>
      <c r="S6" s="261" t="s">
        <v>542</v>
      </c>
    </row>
    <row r="7" spans="1:19" s="277" customFormat="1" ht="19.899999999999999" customHeight="1">
      <c r="A7" s="271"/>
      <c r="B7" s="272"/>
      <c r="C7" s="272"/>
      <c r="D7" s="1192"/>
      <c r="E7" s="1193"/>
      <c r="F7" s="266"/>
      <c r="G7" s="273"/>
      <c r="H7" s="273"/>
      <c r="I7" s="274"/>
      <c r="J7" s="274"/>
      <c r="K7" s="590"/>
      <c r="L7" s="274"/>
      <c r="M7" s="274"/>
      <c r="N7" s="609"/>
      <c r="O7" s="276"/>
      <c r="Q7" s="278"/>
      <c r="R7" s="279"/>
      <c r="S7" s="279"/>
    </row>
    <row r="8" spans="1:19" s="277" customFormat="1" ht="19.899999999999999" customHeight="1">
      <c r="A8" s="280"/>
      <c r="B8" s="272"/>
      <c r="C8" s="272"/>
      <c r="D8" s="1192"/>
      <c r="E8" s="1193"/>
      <c r="F8" s="266"/>
      <c r="G8" s="273"/>
      <c r="H8" s="273"/>
      <c r="I8" s="274"/>
      <c r="J8" s="274"/>
      <c r="K8" s="590"/>
      <c r="L8" s="274"/>
      <c r="M8" s="274"/>
      <c r="N8" s="609"/>
      <c r="O8" s="276"/>
      <c r="Q8" s="278"/>
      <c r="R8" s="279"/>
      <c r="S8" s="279"/>
    </row>
    <row r="9" spans="1:19" s="277" customFormat="1" ht="19.899999999999999" customHeight="1">
      <c r="A9" s="280"/>
      <c r="B9" s="272"/>
      <c r="C9" s="272"/>
      <c r="D9" s="1192"/>
      <c r="E9" s="1193"/>
      <c r="F9" s="266"/>
      <c r="G9" s="273"/>
      <c r="H9" s="273"/>
      <c r="I9" s="274"/>
      <c r="J9" s="274"/>
      <c r="K9" s="538"/>
      <c r="L9" s="274"/>
      <c r="M9" s="274"/>
      <c r="N9" s="275"/>
      <c r="O9" s="276"/>
      <c r="P9" s="277">
        <f t="shared" ref="P9:P16" si="0">+P8+1</f>
        <v>1</v>
      </c>
      <c r="Q9" s="278">
        <f t="shared" ref="Q9:Q16" si="1">+S9-R9</f>
        <v>-439663.17</v>
      </c>
      <c r="R9" s="279">
        <v>439663.17</v>
      </c>
      <c r="S9" s="279">
        <f t="shared" ref="S9:S16" si="2">+R8</f>
        <v>0</v>
      </c>
    </row>
    <row r="10" spans="1:19" s="277" customFormat="1" ht="19.899999999999999" customHeight="1">
      <c r="A10" s="280"/>
      <c r="B10" s="272"/>
      <c r="C10" s="272"/>
      <c r="D10" s="1192"/>
      <c r="E10" s="1193"/>
      <c r="F10" s="266"/>
      <c r="G10" s="273"/>
      <c r="H10" s="273"/>
      <c r="I10" s="274"/>
      <c r="J10" s="274"/>
      <c r="K10" s="538"/>
      <c r="L10" s="274"/>
      <c r="M10" s="274"/>
      <c r="N10" s="275"/>
      <c r="O10" s="276"/>
      <c r="P10" s="277">
        <f t="shared" si="0"/>
        <v>2</v>
      </c>
      <c r="Q10" s="278">
        <f t="shared" si="1"/>
        <v>56170.159999999974</v>
      </c>
      <c r="R10" s="279">
        <v>383493.01</v>
      </c>
      <c r="S10" s="279">
        <f t="shared" si="2"/>
        <v>439663.17</v>
      </c>
    </row>
    <row r="11" spans="1:19" s="277" customFormat="1" ht="19.899999999999999" customHeight="1">
      <c r="A11" s="280"/>
      <c r="B11" s="272"/>
      <c r="C11" s="272"/>
      <c r="D11" s="1192"/>
      <c r="E11" s="1193"/>
      <c r="F11" s="266"/>
      <c r="G11" s="273"/>
      <c r="H11" s="273"/>
      <c r="I11" s="274"/>
      <c r="J11" s="274"/>
      <c r="K11" s="538"/>
      <c r="L11" s="274"/>
      <c r="M11" s="274"/>
      <c r="N11" s="275"/>
      <c r="O11" s="276"/>
      <c r="P11" s="277">
        <f t="shared" si="0"/>
        <v>3</v>
      </c>
      <c r="Q11" s="278">
        <f t="shared" si="1"/>
        <v>59330.429999999993</v>
      </c>
      <c r="R11" s="279">
        <v>324162.58</v>
      </c>
      <c r="S11" s="279">
        <f t="shared" si="2"/>
        <v>383493.01</v>
      </c>
    </row>
    <row r="12" spans="1:19" s="277" customFormat="1" ht="19.899999999999999" customHeight="1">
      <c r="A12" s="280"/>
      <c r="B12" s="272"/>
      <c r="C12" s="272"/>
      <c r="D12" s="1192"/>
      <c r="E12" s="1193"/>
      <c r="F12" s="266"/>
      <c r="G12" s="273"/>
      <c r="H12" s="273"/>
      <c r="I12" s="274"/>
      <c r="J12" s="274"/>
      <c r="K12" s="538"/>
      <c r="L12" s="274"/>
      <c r="M12" s="274"/>
      <c r="N12" s="275"/>
      <c r="O12" s="276"/>
      <c r="P12" s="277">
        <f t="shared" si="0"/>
        <v>4</v>
      </c>
      <c r="Q12" s="278">
        <f t="shared" si="1"/>
        <v>62668.49000000002</v>
      </c>
      <c r="R12" s="279">
        <v>261494.09</v>
      </c>
      <c r="S12" s="279">
        <f t="shared" si="2"/>
        <v>324162.58</v>
      </c>
    </row>
    <row r="13" spans="1:19" s="277" customFormat="1" ht="19.899999999999999" customHeight="1">
      <c r="A13" s="280"/>
      <c r="B13" s="272"/>
      <c r="C13" s="272"/>
      <c r="D13" s="1192"/>
      <c r="E13" s="1193"/>
      <c r="F13" s="266"/>
      <c r="G13" s="266"/>
      <c r="H13" s="266"/>
      <c r="I13" s="281"/>
      <c r="J13" s="281"/>
      <c r="K13" s="538"/>
      <c r="L13" s="281"/>
      <c r="M13" s="281"/>
      <c r="N13" s="282"/>
      <c r="O13" s="276"/>
      <c r="P13" s="277">
        <f t="shared" si="0"/>
        <v>5</v>
      </c>
      <c r="Q13" s="278">
        <f t="shared" si="1"/>
        <v>66194.34</v>
      </c>
      <c r="R13" s="279">
        <v>195299.75</v>
      </c>
      <c r="S13" s="279">
        <f t="shared" si="2"/>
        <v>261494.09</v>
      </c>
    </row>
    <row r="14" spans="1:19" s="277" customFormat="1" ht="19.899999999999999" customHeight="1">
      <c r="A14" s="280"/>
      <c r="B14" s="272"/>
      <c r="C14" s="272"/>
      <c r="D14" s="1192"/>
      <c r="E14" s="1193"/>
      <c r="F14" s="266"/>
      <c r="G14" s="266"/>
      <c r="H14" s="266"/>
      <c r="I14" s="281"/>
      <c r="J14" s="281"/>
      <c r="K14" s="538"/>
      <c r="L14" s="281"/>
      <c r="M14" s="281"/>
      <c r="N14" s="282"/>
      <c r="O14" s="276"/>
      <c r="P14" s="277">
        <f t="shared" si="0"/>
        <v>6</v>
      </c>
      <c r="Q14" s="278">
        <f t="shared" si="1"/>
        <v>69918.59</v>
      </c>
      <c r="R14" s="279">
        <v>125381.16</v>
      </c>
      <c r="S14" s="279">
        <f t="shared" si="2"/>
        <v>195299.75</v>
      </c>
    </row>
    <row r="15" spans="1:19" s="277" customFormat="1" ht="19.899999999999999" customHeight="1">
      <c r="A15" s="280"/>
      <c r="B15" s="272"/>
      <c r="C15" s="272"/>
      <c r="D15" s="1192"/>
      <c r="E15" s="1193"/>
      <c r="F15" s="266"/>
      <c r="G15" s="266"/>
      <c r="H15" s="266"/>
      <c r="I15" s="281"/>
      <c r="J15" s="281"/>
      <c r="K15" s="538"/>
      <c r="L15" s="281"/>
      <c r="M15" s="281"/>
      <c r="N15" s="282"/>
      <c r="O15" s="276"/>
      <c r="P15" s="277">
        <f t="shared" si="0"/>
        <v>7</v>
      </c>
      <c r="Q15" s="278">
        <f t="shared" si="1"/>
        <v>73852.37</v>
      </c>
      <c r="R15" s="279">
        <v>51528.79</v>
      </c>
      <c r="S15" s="279">
        <f t="shared" si="2"/>
        <v>125381.16</v>
      </c>
    </row>
    <row r="16" spans="1:19" s="277" customFormat="1" ht="19.899999999999999" customHeight="1" thickBot="1">
      <c r="A16" s="283"/>
      <c r="B16" s="272"/>
      <c r="C16" s="284"/>
      <c r="D16" s="1196"/>
      <c r="E16" s="1197"/>
      <c r="F16" s="285"/>
      <c r="G16" s="285"/>
      <c r="H16" s="285"/>
      <c r="I16" s="286"/>
      <c r="J16" s="286"/>
      <c r="K16" s="539"/>
      <c r="L16" s="286"/>
      <c r="M16" s="286"/>
      <c r="N16" s="287"/>
      <c r="O16" s="288"/>
      <c r="P16" s="277">
        <f t="shared" si="0"/>
        <v>8</v>
      </c>
      <c r="Q16" s="278">
        <f t="shared" si="1"/>
        <v>51528.79</v>
      </c>
      <c r="R16" s="279">
        <v>0</v>
      </c>
      <c r="S16" s="279">
        <f t="shared" si="2"/>
        <v>51528.79</v>
      </c>
    </row>
    <row r="17" spans="1:19" s="277" customFormat="1" ht="19.899999999999999" customHeight="1" thickBot="1">
      <c r="A17" s="289" t="s">
        <v>145</v>
      </c>
      <c r="B17" s="290"/>
      <c r="C17" s="291"/>
      <c r="D17" s="1194"/>
      <c r="E17" s="1195"/>
      <c r="F17" s="292"/>
      <c r="G17" s="292"/>
      <c r="H17" s="292"/>
      <c r="I17" s="699">
        <f t="shared" ref="I17:N17" si="3">SUM(I7:I16)</f>
        <v>0</v>
      </c>
      <c r="J17" s="699">
        <f t="shared" si="3"/>
        <v>0</v>
      </c>
      <c r="K17" s="479"/>
      <c r="L17" s="699">
        <f t="shared" si="3"/>
        <v>0</v>
      </c>
      <c r="M17" s="699">
        <f t="shared" si="3"/>
        <v>0</v>
      </c>
      <c r="N17" s="699">
        <f t="shared" si="3"/>
        <v>0</v>
      </c>
      <c r="O17" s="293"/>
      <c r="Q17" s="279"/>
      <c r="R17" s="279"/>
      <c r="S17" s="279"/>
    </row>
    <row r="18" spans="1:19">
      <c r="A18" s="294"/>
      <c r="B18" s="295"/>
      <c r="C18" s="295"/>
      <c r="D18" s="296"/>
      <c r="E18" s="294"/>
      <c r="F18" s="294"/>
      <c r="G18" s="294"/>
      <c r="H18" s="294"/>
      <c r="I18" s="294"/>
      <c r="J18" s="294"/>
      <c r="K18" s="294"/>
      <c r="L18" s="294"/>
      <c r="M18" s="294"/>
      <c r="N18" s="297"/>
      <c r="O18" s="298"/>
    </row>
    <row r="19" spans="1:19">
      <c r="A19" s="260" t="s">
        <v>141</v>
      </c>
    </row>
    <row r="20" spans="1:19">
      <c r="A20" s="260" t="s">
        <v>326</v>
      </c>
    </row>
    <row r="21" spans="1:19">
      <c r="A21" s="260" t="s">
        <v>206</v>
      </c>
    </row>
    <row r="22" spans="1:19">
      <c r="A22" s="260" t="s">
        <v>528</v>
      </c>
    </row>
    <row r="27" spans="1:19">
      <c r="A27" s="133"/>
    </row>
    <row r="28" spans="1:19">
      <c r="A28" s="133"/>
    </row>
    <row r="29" spans="1:19">
      <c r="A29" s="133"/>
    </row>
    <row r="30" spans="1:19">
      <c r="A30" s="133"/>
    </row>
  </sheetData>
  <mergeCells count="24">
    <mergeCell ref="A2:M2"/>
    <mergeCell ref="N2:O2"/>
    <mergeCell ref="A3:M3"/>
    <mergeCell ref="N3:O3"/>
    <mergeCell ref="D12:E12"/>
    <mergeCell ref="D11:E11"/>
    <mergeCell ref="C5:C6"/>
    <mergeCell ref="G5:G6"/>
    <mergeCell ref="A4:O4"/>
    <mergeCell ref="A5:A6"/>
    <mergeCell ref="F5:F6"/>
    <mergeCell ref="D5:E6"/>
    <mergeCell ref="I5:K5"/>
    <mergeCell ref="L5:O5"/>
    <mergeCell ref="D9:E9"/>
    <mergeCell ref="D10:E10"/>
    <mergeCell ref="H5:H6"/>
    <mergeCell ref="D8:E8"/>
    <mergeCell ref="D7:E7"/>
    <mergeCell ref="D17:E17"/>
    <mergeCell ref="D13:E13"/>
    <mergeCell ref="D14:E14"/>
    <mergeCell ref="D15:E15"/>
    <mergeCell ref="D16:E16"/>
  </mergeCells>
  <phoneticPr fontId="8" type="noConversion"/>
  <dataValidations count="4">
    <dataValidation type="list" allowBlank="1" showInputMessage="1" showErrorMessage="1" promptTitle="Tipo" prompt="Deberá indicar seleccionar el mismo_x000a_" sqref="F7:F17">
      <formula1>$E$27:$E$30</formula1>
    </dataValidation>
    <dataValidation allowBlank="1" showInputMessage="1" showErrorMessage="1" prompt="Este número está correlacionado con el Aval del Cabildo, en su caso._x000a_" sqref="G7:H17"/>
    <dataValidation allowBlank="1" showInputMessage="1" showErrorMessage="1" prompt="LO QUE QUEDA POR PAGAR SIN INTERESES. RESPECTO DE PÓLIZAS DE CRÉDITOS ES LO QUE ESTÁ DISPUESTO A ESA FECHA." sqref="J7:J17"/>
    <dataValidation allowBlank="1" showInputMessage="1" showErrorMessage="1" promptTitle="Epígrafe Pasivo Balance" prompt="Incluir en dónde figura del Pasivo del Balance la disposición o reducción de pólizas y préstamos" sqref="C7:C17"/>
  </dataValidations>
  <printOptions horizontalCentered="1" verticalCentered="1"/>
  <pageMargins left="0.4" right="0.15748031496062992" top="0.78740157480314965" bottom="0.23622047244094491" header="0.51181102362204722" footer="0.23622047244094491"/>
  <pageSetup paperSize="9" scale="67" orientation="landscape" horizontalDpi="4294967293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</sheetPr>
  <dimension ref="B1:L54"/>
  <sheetViews>
    <sheetView workbookViewId="0">
      <selection activeCell="J28" sqref="J28"/>
    </sheetView>
  </sheetViews>
  <sheetFormatPr baseColWidth="10" defaultColWidth="11.5703125" defaultRowHeight="12.75"/>
  <cols>
    <col min="1" max="1" width="3.85546875" style="133" customWidth="1"/>
    <col min="2" max="2" width="2.42578125" style="133" customWidth="1"/>
    <col min="3" max="3" width="33.7109375" style="133" customWidth="1"/>
    <col min="4" max="4" width="13.140625" style="133" customWidth="1"/>
    <col min="5" max="5" width="19.7109375" style="133" customWidth="1"/>
    <col min="6" max="6" width="18.7109375" style="133" customWidth="1"/>
    <col min="7" max="7" width="16.140625" style="133" customWidth="1"/>
    <col min="8" max="8" width="13.42578125" style="133" customWidth="1"/>
    <col min="9" max="9" width="17" style="133" customWidth="1"/>
    <col min="10" max="16384" width="11.5703125" style="133"/>
  </cols>
  <sheetData>
    <row r="1" spans="2:9" ht="13.5" thickBot="1"/>
    <row r="2" spans="2:9" ht="14.25">
      <c r="B2" s="1255" t="s">
        <v>252</v>
      </c>
      <c r="C2" s="1256"/>
      <c r="D2" s="1256"/>
      <c r="E2" s="1256"/>
      <c r="F2" s="1256"/>
      <c r="G2" s="1256"/>
      <c r="H2" s="1256"/>
      <c r="I2" s="1253">
        <v>2017</v>
      </c>
    </row>
    <row r="3" spans="2:9" ht="25.15" customHeight="1" thickBot="1">
      <c r="B3" s="1257" t="s">
        <v>273</v>
      </c>
      <c r="C3" s="1258"/>
      <c r="D3" s="1258"/>
      <c r="E3" s="1258"/>
      <c r="F3" s="1258"/>
      <c r="G3" s="1258"/>
      <c r="H3" s="1258"/>
      <c r="I3" s="1254"/>
    </row>
    <row r="4" spans="2:9" ht="33.6" customHeight="1" thickBot="1">
      <c r="B4" s="1259" t="str">
        <f>CPYG!B3</f>
        <v>ENTIDAD: INSTITUTO VOLCANOLOGICO DE CANARIAS</v>
      </c>
      <c r="C4" s="1260"/>
      <c r="D4" s="1260"/>
      <c r="E4" s="1260"/>
      <c r="F4" s="1260"/>
      <c r="G4" s="1260"/>
      <c r="H4" s="1261"/>
      <c r="I4" s="301" t="s">
        <v>198</v>
      </c>
    </row>
    <row r="5" spans="2:9">
      <c r="B5" s="231"/>
      <c r="C5" s="158"/>
      <c r="D5" s="158"/>
      <c r="E5" s="158"/>
      <c r="F5" s="158"/>
      <c r="G5" s="158"/>
      <c r="H5" s="158"/>
      <c r="I5" s="232"/>
    </row>
    <row r="6" spans="2:9">
      <c r="B6" s="231"/>
      <c r="C6" s="1263" t="s">
        <v>274</v>
      </c>
      <c r="D6" s="1263"/>
      <c r="E6" s="1263"/>
      <c r="F6" s="1263"/>
      <c r="G6" s="1263"/>
      <c r="H6" s="1263"/>
      <c r="I6" s="1264"/>
    </row>
    <row r="7" spans="2:9">
      <c r="B7" s="231"/>
      <c r="C7" s="158"/>
      <c r="D7" s="158"/>
      <c r="E7" s="158"/>
      <c r="F7" s="158"/>
      <c r="G7" s="158"/>
      <c r="H7" s="158"/>
      <c r="I7" s="232"/>
    </row>
    <row r="8" spans="2:9">
      <c r="B8" s="1265" t="s">
        <v>275</v>
      </c>
      <c r="C8" s="1266"/>
      <c r="D8" s="158"/>
      <c r="E8" s="158"/>
      <c r="F8" s="158"/>
      <c r="G8" s="158"/>
      <c r="H8" s="158"/>
      <c r="I8" s="232"/>
    </row>
    <row r="9" spans="2:9">
      <c r="B9" s="231"/>
      <c r="C9" s="158"/>
      <c r="D9" s="158"/>
      <c r="E9" s="158"/>
      <c r="F9" s="158"/>
      <c r="G9" s="158"/>
      <c r="H9" s="158"/>
      <c r="I9" s="232"/>
    </row>
    <row r="10" spans="2:9">
      <c r="B10" s="302" t="s">
        <v>317</v>
      </c>
      <c r="C10" s="303" t="s">
        <v>276</v>
      </c>
      <c r="D10" s="303"/>
      <c r="E10" s="303"/>
      <c r="F10" s="158"/>
      <c r="G10" s="158"/>
      <c r="H10" s="158"/>
      <c r="I10" s="232"/>
    </row>
    <row r="11" spans="2:9">
      <c r="B11" s="302"/>
      <c r="C11" s="303" t="s">
        <v>277</v>
      </c>
      <c r="D11" s="303"/>
      <c r="E11" s="303"/>
      <c r="F11" s="158"/>
      <c r="G11" s="158"/>
      <c r="H11" s="158"/>
      <c r="I11" s="232"/>
    </row>
    <row r="12" spans="2:9">
      <c r="B12" s="302"/>
      <c r="C12" s="303" t="s">
        <v>279</v>
      </c>
      <c r="D12" s="303"/>
      <c r="E12" s="303"/>
      <c r="F12" s="158"/>
      <c r="G12" s="158"/>
      <c r="H12" s="158"/>
      <c r="I12" s="232"/>
    </row>
    <row r="13" spans="2:9">
      <c r="B13" s="302"/>
      <c r="C13" s="303" t="s">
        <v>280</v>
      </c>
      <c r="D13" s="303"/>
      <c r="E13" s="303"/>
      <c r="F13" s="158"/>
      <c r="G13" s="158"/>
      <c r="H13" s="158"/>
      <c r="I13" s="232"/>
    </row>
    <row r="14" spans="2:9">
      <c r="B14" s="302"/>
      <c r="C14" s="303" t="s">
        <v>281</v>
      </c>
      <c r="D14" s="303"/>
      <c r="E14" s="303"/>
      <c r="F14" s="158"/>
      <c r="G14" s="158"/>
      <c r="H14" s="158"/>
      <c r="I14" s="232"/>
    </row>
    <row r="15" spans="2:9">
      <c r="B15" s="231"/>
      <c r="C15" s="158"/>
      <c r="D15" s="158"/>
      <c r="E15" s="158"/>
      <c r="F15" s="158"/>
      <c r="G15" s="158"/>
      <c r="H15" s="158"/>
      <c r="I15" s="232"/>
    </row>
    <row r="16" spans="2:9">
      <c r="B16" s="1265" t="s">
        <v>282</v>
      </c>
      <c r="C16" s="1266"/>
      <c r="D16" s="1266"/>
      <c r="E16" s="1266"/>
      <c r="F16" s="158"/>
      <c r="G16" s="158"/>
      <c r="H16" s="158"/>
      <c r="I16" s="232"/>
    </row>
    <row r="17" spans="2:12">
      <c r="B17" s="231"/>
      <c r="C17" s="158"/>
      <c r="D17" s="158"/>
      <c r="E17" s="158"/>
      <c r="F17" s="158"/>
      <c r="G17" s="158"/>
      <c r="H17" s="158"/>
      <c r="I17" s="232"/>
    </row>
    <row r="18" spans="2:12">
      <c r="B18" s="1267" t="s">
        <v>283</v>
      </c>
      <c r="C18" s="1268"/>
      <c r="D18" s="1268"/>
      <c r="E18" s="1268"/>
      <c r="F18" s="1269"/>
      <c r="G18" s="158"/>
      <c r="H18" s="158"/>
      <c r="I18" s="232"/>
    </row>
    <row r="19" spans="2:12">
      <c r="B19" s="231"/>
      <c r="C19" s="158"/>
      <c r="D19" s="158"/>
      <c r="E19" s="158"/>
      <c r="F19" s="158"/>
      <c r="G19" s="158"/>
      <c r="H19" s="158"/>
      <c r="I19" s="232"/>
    </row>
    <row r="20" spans="2:12">
      <c r="B20" s="231"/>
      <c r="C20" s="158"/>
      <c r="D20" s="158"/>
      <c r="E20" s="158"/>
      <c r="F20" s="158"/>
      <c r="G20" s="1262" t="s">
        <v>284</v>
      </c>
      <c r="H20" s="1262"/>
      <c r="I20" s="1346">
        <f>D36</f>
        <v>17</v>
      </c>
    </row>
    <row r="21" spans="2:12">
      <c r="B21" s="231"/>
      <c r="C21" s="158"/>
      <c r="D21" s="158"/>
      <c r="E21" s="158"/>
      <c r="F21" s="158"/>
      <c r="G21" s="1262" t="s">
        <v>285</v>
      </c>
      <c r="H21" s="1262"/>
      <c r="I21" s="1346">
        <f>I36+I44</f>
        <v>278912.10680000001</v>
      </c>
      <c r="L21" s="169"/>
    </row>
    <row r="22" spans="2:12">
      <c r="B22" s="231"/>
      <c r="C22" s="158"/>
      <c r="D22" s="158"/>
      <c r="E22" s="158"/>
      <c r="F22" s="158"/>
      <c r="G22" s="158"/>
      <c r="H22" s="158"/>
      <c r="I22" s="232"/>
    </row>
    <row r="23" spans="2:12">
      <c r="B23" s="231"/>
      <c r="C23" s="158"/>
      <c r="D23" s="158"/>
      <c r="E23" s="158"/>
      <c r="F23" s="158"/>
      <c r="G23" s="158"/>
      <c r="H23" s="158"/>
      <c r="I23" s="232"/>
    </row>
    <row r="24" spans="2:12">
      <c r="B24" s="231"/>
      <c r="C24" s="158"/>
      <c r="D24" s="158"/>
      <c r="E24" s="158"/>
      <c r="F24" s="158"/>
      <c r="G24" s="158"/>
      <c r="H24" s="158"/>
      <c r="I24" s="591"/>
    </row>
    <row r="25" spans="2:12">
      <c r="B25" s="1265" t="s">
        <v>286</v>
      </c>
      <c r="C25" s="1266"/>
      <c r="D25" s="1266"/>
      <c r="E25" s="158"/>
      <c r="F25" s="158"/>
      <c r="G25" s="158"/>
      <c r="H25" s="158"/>
      <c r="I25" s="232"/>
    </row>
    <row r="26" spans="2:12" ht="13.5" thickBot="1">
      <c r="B26" s="231"/>
      <c r="C26" s="158"/>
      <c r="D26" s="158"/>
      <c r="E26" s="158"/>
      <c r="F26" s="158"/>
      <c r="G26" s="158"/>
      <c r="H26" s="158"/>
      <c r="I26" s="232"/>
    </row>
    <row r="27" spans="2:12" ht="13.5" thickBot="1">
      <c r="B27" s="1188" t="s">
        <v>287</v>
      </c>
      <c r="C27" s="1271"/>
      <c r="D27" s="1270" t="s">
        <v>288</v>
      </c>
      <c r="E27" s="1270" t="s">
        <v>289</v>
      </c>
      <c r="F27" s="1270"/>
      <c r="G27" s="1270"/>
      <c r="H27" s="1270"/>
      <c r="I27" s="1270"/>
    </row>
    <row r="28" spans="2:12" ht="13.5" thickBot="1">
      <c r="B28" s="1272"/>
      <c r="C28" s="1273"/>
      <c r="D28" s="1270"/>
      <c r="E28" s="1270" t="s">
        <v>290</v>
      </c>
      <c r="F28" s="1270" t="s">
        <v>291</v>
      </c>
      <c r="G28" s="1270" t="s">
        <v>292</v>
      </c>
      <c r="H28" s="1270" t="s">
        <v>293</v>
      </c>
      <c r="I28" s="1270" t="s">
        <v>295</v>
      </c>
    </row>
    <row r="29" spans="2:12" ht="13.5" thickBot="1">
      <c r="B29" s="1185"/>
      <c r="C29" s="1274"/>
      <c r="D29" s="1270"/>
      <c r="E29" s="1270"/>
      <c r="F29" s="1270"/>
      <c r="G29" s="1270"/>
      <c r="H29" s="1270"/>
      <c r="I29" s="1270"/>
    </row>
    <row r="30" spans="2:12" ht="15" customHeight="1">
      <c r="B30" s="1284" t="s">
        <v>296</v>
      </c>
      <c r="C30" s="1285"/>
      <c r="D30" s="305"/>
      <c r="E30" s="305"/>
      <c r="F30" s="305"/>
      <c r="G30" s="305"/>
      <c r="H30" s="305"/>
      <c r="I30" s="306">
        <f t="shared" ref="I30:I35" si="0">E30+F30+G30+H30</f>
        <v>0</v>
      </c>
    </row>
    <row r="31" spans="2:12" ht="15" customHeight="1">
      <c r="B31" s="1284" t="s">
        <v>297</v>
      </c>
      <c r="C31" s="1285"/>
      <c r="D31" s="307"/>
      <c r="E31" s="307"/>
      <c r="F31" s="307"/>
      <c r="G31" s="307"/>
      <c r="H31" s="307"/>
      <c r="I31" s="308">
        <f t="shared" si="0"/>
        <v>0</v>
      </c>
    </row>
    <row r="32" spans="2:12" ht="15" customHeight="1">
      <c r="B32" s="1284" t="s">
        <v>298</v>
      </c>
      <c r="C32" s="1285"/>
      <c r="D32" s="307"/>
      <c r="E32" s="307"/>
      <c r="F32" s="307"/>
      <c r="G32" s="307"/>
      <c r="H32" s="307"/>
      <c r="I32" s="308">
        <f t="shared" si="0"/>
        <v>0</v>
      </c>
    </row>
    <row r="33" spans="2:9" ht="15" customHeight="1">
      <c r="B33" s="1284" t="s">
        <v>299</v>
      </c>
      <c r="C33" s="1285"/>
      <c r="D33" s="869">
        <v>1</v>
      </c>
      <c r="E33" s="870">
        <f>'[1]LF 2017 (Personal)'!M10</f>
        <v>22493.397399999998</v>
      </c>
      <c r="F33" s="870"/>
      <c r="G33" s="870"/>
      <c r="H33" s="870"/>
      <c r="I33" s="871">
        <f t="shared" si="0"/>
        <v>22493.397399999998</v>
      </c>
    </row>
    <row r="34" spans="2:9" ht="15" customHeight="1">
      <c r="B34" s="1284" t="s">
        <v>300</v>
      </c>
      <c r="C34" s="1285"/>
      <c r="D34" s="869">
        <v>2</v>
      </c>
      <c r="E34" s="870">
        <f>'[1]LT 2017 (Personal)'!M10+'[1]LT 2017 (Personal)'!M11</f>
        <v>25280.219399999998</v>
      </c>
      <c r="F34" s="870"/>
      <c r="G34" s="870"/>
      <c r="H34" s="870"/>
      <c r="I34" s="871">
        <f t="shared" si="0"/>
        <v>25280.219399999998</v>
      </c>
    </row>
    <row r="35" spans="2:9" ht="15" customHeight="1">
      <c r="B35" s="1284" t="s">
        <v>42</v>
      </c>
      <c r="C35" s="1285"/>
      <c r="D35" s="869">
        <f>'[1]LT 2017 (Personal)'!B14+'[1]LT 2017 (Personal)'!B15+'[1]LT 2017 (Personal)'!B16</f>
        <v>14</v>
      </c>
      <c r="E35" s="870">
        <f>'[1]LT 2017 (Personal)'!E14+'[1]LT 2017 (Personal)'!E15+'[1]LT 2017 (Personal)'!E16</f>
        <v>210152.76</v>
      </c>
      <c r="F35" s="870"/>
      <c r="G35" s="870"/>
      <c r="H35" s="870"/>
      <c r="I35" s="871">
        <f t="shared" si="0"/>
        <v>210152.76</v>
      </c>
    </row>
    <row r="36" spans="2:9" ht="15" customHeight="1" thickBot="1">
      <c r="B36" s="1287" t="s">
        <v>554</v>
      </c>
      <c r="C36" s="1288"/>
      <c r="D36" s="309">
        <f t="shared" ref="D36:I36" si="1">D30+D31+D32+D33+D34+D35</f>
        <v>17</v>
      </c>
      <c r="E36" s="309">
        <f t="shared" si="1"/>
        <v>257926.3768</v>
      </c>
      <c r="F36" s="309">
        <f t="shared" si="1"/>
        <v>0</v>
      </c>
      <c r="G36" s="309">
        <f t="shared" si="1"/>
        <v>0</v>
      </c>
      <c r="H36" s="309">
        <f t="shared" si="1"/>
        <v>0</v>
      </c>
      <c r="I36" s="310">
        <f t="shared" si="1"/>
        <v>257926.3768</v>
      </c>
    </row>
    <row r="37" spans="2:9">
      <c r="B37" s="231"/>
      <c r="C37" s="158"/>
      <c r="D37" s="158"/>
      <c r="E37" s="158"/>
      <c r="F37" s="158"/>
      <c r="G37" s="158"/>
      <c r="H37" s="158"/>
      <c r="I37" s="232"/>
    </row>
    <row r="38" spans="2:9">
      <c r="B38" s="231"/>
      <c r="C38" s="158"/>
      <c r="D38" s="158"/>
      <c r="E38" s="158"/>
      <c r="F38" s="158"/>
      <c r="G38" s="158"/>
      <c r="H38" s="158"/>
      <c r="I38" s="232"/>
    </row>
    <row r="39" spans="2:9">
      <c r="B39" s="1265" t="s">
        <v>301</v>
      </c>
      <c r="C39" s="1266"/>
      <c r="D39" s="1266"/>
      <c r="E39" s="158"/>
      <c r="F39" s="158"/>
      <c r="G39" s="158"/>
      <c r="H39" s="158"/>
      <c r="I39" s="232"/>
    </row>
    <row r="40" spans="2:9" ht="13.5" thickBot="1">
      <c r="B40" s="231"/>
      <c r="C40" s="158"/>
      <c r="D40" s="158"/>
      <c r="E40" s="158"/>
      <c r="F40" s="158"/>
      <c r="G40" s="158"/>
      <c r="H40" s="158"/>
      <c r="I40" s="232"/>
    </row>
    <row r="41" spans="2:9" ht="15" customHeight="1" thickBot="1">
      <c r="B41" s="1289" t="s">
        <v>539</v>
      </c>
      <c r="C41" s="1290"/>
      <c r="D41" s="1290"/>
      <c r="E41" s="1291"/>
      <c r="F41" s="1293" t="s">
        <v>120</v>
      </c>
      <c r="G41" s="1294"/>
      <c r="H41" s="1294"/>
      <c r="I41" s="1295"/>
    </row>
    <row r="42" spans="2:9" ht="15" customHeight="1">
      <c r="B42" s="1284" t="s">
        <v>318</v>
      </c>
      <c r="C42" s="1286"/>
      <c r="D42" s="304"/>
      <c r="E42" s="158"/>
      <c r="F42" s="158"/>
      <c r="G42" s="158"/>
      <c r="H42" s="158"/>
      <c r="I42" s="311">
        <f>-CPYG!E34-CPYG!E31</f>
        <v>0</v>
      </c>
    </row>
    <row r="43" spans="2:9" ht="15" customHeight="1">
      <c r="B43" s="1284" t="s">
        <v>302</v>
      </c>
      <c r="C43" s="1286"/>
      <c r="D43" s="304"/>
      <c r="E43" s="158"/>
      <c r="F43" s="158"/>
      <c r="G43" s="158"/>
      <c r="H43" s="158"/>
      <c r="I43" s="312">
        <f>-CPYG!E32</f>
        <v>20985.73</v>
      </c>
    </row>
    <row r="44" spans="2:9" ht="15" customHeight="1" thickBot="1">
      <c r="B44" s="1287" t="s">
        <v>303</v>
      </c>
      <c r="C44" s="1292"/>
      <c r="D44" s="313"/>
      <c r="E44" s="314"/>
      <c r="F44" s="314"/>
      <c r="G44" s="314"/>
      <c r="H44" s="314"/>
      <c r="I44" s="315">
        <f>I42+I43</f>
        <v>20985.73</v>
      </c>
    </row>
    <row r="45" spans="2:9">
      <c r="B45" s="231"/>
      <c r="C45" s="158"/>
      <c r="D45" s="158"/>
      <c r="E45" s="158"/>
      <c r="F45" s="158"/>
      <c r="G45" s="158"/>
      <c r="H45" s="158"/>
      <c r="I45" s="591"/>
    </row>
    <row r="46" spans="2:9">
      <c r="B46" s="231"/>
      <c r="C46" s="158"/>
      <c r="D46" s="158"/>
      <c r="E46" s="158"/>
      <c r="F46" s="158"/>
      <c r="G46" s="158"/>
      <c r="H46" s="158"/>
      <c r="I46" s="232"/>
    </row>
    <row r="47" spans="2:9">
      <c r="B47" s="231"/>
      <c r="C47" s="316" t="s">
        <v>304</v>
      </c>
      <c r="D47" s="158"/>
      <c r="E47" s="158"/>
      <c r="F47" s="158"/>
      <c r="G47" s="158"/>
      <c r="H47" s="158"/>
      <c r="I47" s="232"/>
    </row>
    <row r="48" spans="2:9">
      <c r="B48" s="231"/>
      <c r="C48" s="158"/>
      <c r="D48" s="158"/>
      <c r="E48" s="158"/>
      <c r="F48" s="158"/>
      <c r="G48" s="158"/>
      <c r="H48" s="158"/>
      <c r="I48" s="232"/>
    </row>
    <row r="49" spans="2:9" ht="13.15" customHeight="1">
      <c r="B49" s="1275" t="s">
        <v>43</v>
      </c>
      <c r="C49" s="1276"/>
      <c r="D49" s="1276"/>
      <c r="E49" s="1276"/>
      <c r="F49" s="1276"/>
      <c r="G49" s="1276"/>
      <c r="H49" s="1276"/>
      <c r="I49" s="1277"/>
    </row>
    <row r="50" spans="2:9">
      <c r="B50" s="1278"/>
      <c r="C50" s="1279"/>
      <c r="D50" s="1279"/>
      <c r="E50" s="1279"/>
      <c r="F50" s="1279"/>
      <c r="G50" s="1279"/>
      <c r="H50" s="1279"/>
      <c r="I50" s="1280"/>
    </row>
    <row r="51" spans="2:9">
      <c r="B51" s="1278"/>
      <c r="C51" s="1279"/>
      <c r="D51" s="1279"/>
      <c r="E51" s="1279"/>
      <c r="F51" s="1279"/>
      <c r="G51" s="1279"/>
      <c r="H51" s="1279"/>
      <c r="I51" s="1280"/>
    </row>
    <row r="52" spans="2:9">
      <c r="B52" s="1278"/>
      <c r="C52" s="1279"/>
      <c r="D52" s="1279"/>
      <c r="E52" s="1279"/>
      <c r="F52" s="1279"/>
      <c r="G52" s="1279"/>
      <c r="H52" s="1279"/>
      <c r="I52" s="1280"/>
    </row>
    <row r="53" spans="2:9">
      <c r="B53" s="1281"/>
      <c r="C53" s="1282"/>
      <c r="D53" s="1282"/>
      <c r="E53" s="1282"/>
      <c r="F53" s="1282"/>
      <c r="G53" s="1282"/>
      <c r="H53" s="1282"/>
      <c r="I53" s="1283"/>
    </row>
    <row r="54" spans="2:9" ht="13.5" thickBot="1">
      <c r="B54" s="317"/>
      <c r="C54" s="314"/>
      <c r="D54" s="314"/>
      <c r="E54" s="314"/>
      <c r="F54" s="314"/>
      <c r="G54" s="314"/>
      <c r="H54" s="314"/>
      <c r="I54" s="318"/>
    </row>
  </sheetData>
  <mergeCells count="33">
    <mergeCell ref="B49:I53"/>
    <mergeCell ref="B30:C30"/>
    <mergeCell ref="B31:C31"/>
    <mergeCell ref="B32:C32"/>
    <mergeCell ref="B33:C33"/>
    <mergeCell ref="B35:C35"/>
    <mergeCell ref="B42:C42"/>
    <mergeCell ref="B36:C36"/>
    <mergeCell ref="B39:D39"/>
    <mergeCell ref="B41:E41"/>
    <mergeCell ref="B34:C34"/>
    <mergeCell ref="B43:C43"/>
    <mergeCell ref="B44:C44"/>
    <mergeCell ref="F41:I41"/>
    <mergeCell ref="B25:D25"/>
    <mergeCell ref="D27:D29"/>
    <mergeCell ref="E28:E29"/>
    <mergeCell ref="H28:H29"/>
    <mergeCell ref="I28:I29"/>
    <mergeCell ref="F28:F29"/>
    <mergeCell ref="G28:G29"/>
    <mergeCell ref="B27:C29"/>
    <mergeCell ref="E27:I27"/>
    <mergeCell ref="I2:I3"/>
    <mergeCell ref="B2:H2"/>
    <mergeCell ref="B3:H3"/>
    <mergeCell ref="B4:H4"/>
    <mergeCell ref="G21:H21"/>
    <mergeCell ref="C6:I6"/>
    <mergeCell ref="G20:H20"/>
    <mergeCell ref="B8:C8"/>
    <mergeCell ref="B16:E16"/>
    <mergeCell ref="B18:F18"/>
  </mergeCells>
  <phoneticPr fontId="5" type="noConversion"/>
  <printOptions horizontalCentered="1" verticalCentered="1"/>
  <pageMargins left="0.47244094488188981" right="0.47244094488188981" top="0.98425196850393704" bottom="0.98425196850393704" header="0" footer="0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B1:I15"/>
  <sheetViews>
    <sheetView tabSelected="1" workbookViewId="0">
      <selection activeCell="F26" sqref="F26"/>
    </sheetView>
  </sheetViews>
  <sheetFormatPr baseColWidth="10" defaultRowHeight="12.75"/>
  <cols>
    <col min="1" max="1" width="4.42578125" customWidth="1"/>
    <col min="2" max="2" width="4.5703125" customWidth="1"/>
    <col min="3" max="3" width="10.28515625" customWidth="1"/>
    <col min="8" max="8" width="17.28515625" customWidth="1"/>
    <col min="9" max="9" width="9.85546875" bestFit="1" customWidth="1"/>
  </cols>
  <sheetData>
    <row r="1" spans="2:9" ht="12" customHeight="1" thickBot="1"/>
    <row r="2" spans="2:9" ht="13.5" hidden="1" thickBot="1"/>
    <row r="3" spans="2:9" ht="56.25" customHeight="1">
      <c r="B3" s="938" t="s">
        <v>569</v>
      </c>
      <c r="C3" s="939"/>
      <c r="D3" s="939"/>
      <c r="E3" s="939"/>
      <c r="F3" s="939"/>
      <c r="G3" s="939"/>
      <c r="H3" s="939"/>
      <c r="I3" s="683">
        <v>2017</v>
      </c>
    </row>
    <row r="4" spans="2:9" s="684" customFormat="1" ht="28.15" customHeight="1">
      <c r="B4" s="940" t="s">
        <v>784</v>
      </c>
      <c r="C4" s="941"/>
      <c r="D4" s="941"/>
      <c r="E4" s="941"/>
      <c r="F4" s="941"/>
      <c r="G4" s="941"/>
      <c r="H4" s="941"/>
      <c r="I4" s="942"/>
    </row>
    <row r="5" spans="2:9">
      <c r="B5" s="685"/>
      <c r="C5" s="686"/>
      <c r="D5" s="686"/>
      <c r="E5" s="686"/>
      <c r="F5" s="686"/>
      <c r="G5" s="686"/>
      <c r="H5" s="686"/>
      <c r="I5" s="687"/>
    </row>
    <row r="6" spans="2:9" ht="15.75">
      <c r="B6" s="688" t="s">
        <v>296</v>
      </c>
      <c r="C6" s="689"/>
      <c r="D6" s="689"/>
      <c r="E6" s="686"/>
      <c r="F6" s="686"/>
      <c r="G6" s="686"/>
      <c r="H6" s="686"/>
      <c r="I6" s="687"/>
    </row>
    <row r="7" spans="2:9">
      <c r="B7" s="685"/>
      <c r="C7" s="686"/>
      <c r="D7" s="686"/>
      <c r="E7" s="686"/>
      <c r="F7" s="686"/>
      <c r="G7" s="686"/>
      <c r="H7" s="686"/>
      <c r="I7" s="687"/>
    </row>
    <row r="8" spans="2:9">
      <c r="B8" s="690" t="s">
        <v>562</v>
      </c>
      <c r="C8" s="689"/>
      <c r="D8" s="689"/>
      <c r="E8" s="686"/>
      <c r="F8" s="686"/>
      <c r="G8" s="686"/>
      <c r="H8" s="686"/>
      <c r="I8" s="1344">
        <v>3</v>
      </c>
    </row>
    <row r="9" spans="2:9">
      <c r="B9" s="685"/>
      <c r="C9" s="686"/>
      <c r="D9" s="686"/>
      <c r="E9" s="686"/>
      <c r="F9" s="686"/>
      <c r="G9" s="686"/>
      <c r="H9" s="686"/>
      <c r="I9" s="1345"/>
    </row>
    <row r="10" spans="2:9">
      <c r="B10" s="685"/>
      <c r="C10" s="686" t="s">
        <v>563</v>
      </c>
      <c r="D10" s="686"/>
      <c r="E10" s="686"/>
      <c r="F10" s="686"/>
      <c r="G10" s="686"/>
      <c r="H10" s="686"/>
      <c r="I10" s="1344">
        <f>+I11+I12</f>
        <v>3</v>
      </c>
    </row>
    <row r="11" spans="2:9">
      <c r="B11" s="685"/>
      <c r="C11" s="691" t="s">
        <v>564</v>
      </c>
      <c r="D11" s="686" t="s">
        <v>565</v>
      </c>
      <c r="E11" s="686"/>
      <c r="F11" s="686"/>
      <c r="G11" s="686"/>
      <c r="H11" s="686"/>
      <c r="I11" s="1344">
        <v>3</v>
      </c>
    </row>
    <row r="12" spans="2:9">
      <c r="B12" s="685"/>
      <c r="C12" s="691" t="s">
        <v>566</v>
      </c>
      <c r="D12" s="686" t="s">
        <v>567</v>
      </c>
      <c r="E12" s="686"/>
      <c r="F12" s="686"/>
      <c r="G12" s="686"/>
      <c r="H12" s="686"/>
      <c r="I12" s="1344"/>
    </row>
    <row r="13" spans="2:9" ht="7.5" customHeight="1">
      <c r="B13" s="685"/>
      <c r="C13" s="686"/>
      <c r="D13" s="686"/>
      <c r="E13" s="686"/>
      <c r="F13" s="686"/>
      <c r="G13" s="686"/>
      <c r="H13" s="686"/>
      <c r="I13" s="1345"/>
    </row>
    <row r="14" spans="2:9">
      <c r="B14" s="685"/>
      <c r="C14" s="686" t="s">
        <v>568</v>
      </c>
      <c r="D14" s="686"/>
      <c r="E14" s="686"/>
      <c r="F14" s="686"/>
      <c r="G14" s="686"/>
      <c r="H14" s="686"/>
      <c r="I14" s="1344">
        <v>0</v>
      </c>
    </row>
    <row r="15" spans="2:9" ht="13.5" thickBot="1">
      <c r="B15" s="692"/>
      <c r="C15" s="693"/>
      <c r="D15" s="693"/>
      <c r="E15" s="693"/>
      <c r="F15" s="693"/>
      <c r="G15" s="693"/>
      <c r="H15" s="693"/>
      <c r="I15" s="694"/>
    </row>
  </sheetData>
  <mergeCells count="2">
    <mergeCell ref="B3:H3"/>
    <mergeCell ref="B4:I4"/>
  </mergeCells>
  <phoneticPr fontId="69" type="noConversion"/>
  <printOptions horizontalCentered="1" verticalCentered="1"/>
  <pageMargins left="0.74803149606299213" right="0.23622047244094491" top="0.98425196850393704" bottom="0.98425196850393704" header="0" footer="0"/>
  <pageSetup paperSize="9" orientation="landscape" horizontalDpi="4294967295" verticalDpi="4294967295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B1:Q70"/>
  <sheetViews>
    <sheetView workbookViewId="0">
      <selection activeCell="B2" sqref="B2:O70"/>
    </sheetView>
  </sheetViews>
  <sheetFormatPr baseColWidth="10" defaultColWidth="11.5703125" defaultRowHeight="12"/>
  <cols>
    <col min="1" max="1" width="2.28515625" style="804" customWidth="1"/>
    <col min="2" max="2" width="9" style="804" customWidth="1"/>
    <col min="3" max="3" width="8.85546875" style="804" customWidth="1"/>
    <col min="4" max="4" width="8.140625" style="804" customWidth="1"/>
    <col min="5" max="5" width="10.7109375" style="804" customWidth="1"/>
    <col min="6" max="6" width="12.28515625" style="804" customWidth="1"/>
    <col min="7" max="7" width="11.5703125" style="804" customWidth="1"/>
    <col min="8" max="8" width="15.28515625" style="804" customWidth="1"/>
    <col min="9" max="9" width="13.28515625" style="804" customWidth="1"/>
    <col min="10" max="12" width="15.7109375" style="804" customWidth="1"/>
    <col min="13" max="13" width="9.28515625" style="804" bestFit="1" customWidth="1"/>
    <col min="14" max="14" width="6.28515625" style="804" customWidth="1"/>
    <col min="15" max="15" width="15.85546875" style="804" customWidth="1"/>
    <col min="16" max="16" width="11.5703125" style="804"/>
    <col min="17" max="17" width="18.7109375" style="804" customWidth="1"/>
    <col min="18" max="16384" width="11.5703125" style="804"/>
  </cols>
  <sheetData>
    <row r="1" spans="2:17" ht="19.899999999999999" customHeight="1"/>
    <row r="2" spans="2:17" s="791" customFormat="1" ht="11.25">
      <c r="B2" s="1296" t="s">
        <v>741</v>
      </c>
      <c r="C2" s="1296"/>
      <c r="D2" s="1296"/>
      <c r="E2" s="1296"/>
      <c r="F2" s="1296"/>
      <c r="G2" s="1296"/>
      <c r="H2" s="1296"/>
      <c r="I2" s="1296"/>
      <c r="J2" s="1296"/>
      <c r="K2" s="1296"/>
      <c r="L2" s="1296"/>
      <c r="M2" s="1296"/>
      <c r="N2" s="1296"/>
      <c r="O2" s="790"/>
      <c r="P2" s="790"/>
      <c r="Q2" s="790"/>
    </row>
    <row r="3" spans="2:17" s="792" customFormat="1" ht="11.25"/>
    <row r="4" spans="2:17" s="792" customFormat="1" ht="11.25">
      <c r="B4" s="793" t="s">
        <v>742</v>
      </c>
      <c r="C4" s="792" t="s">
        <v>799</v>
      </c>
    </row>
    <row r="5" spans="2:17" s="792" customFormat="1" ht="11.25">
      <c r="B5" s="793"/>
    </row>
    <row r="6" spans="2:17" s="792" customFormat="1" ht="11.25">
      <c r="B6" s="790" t="s">
        <v>743</v>
      </c>
      <c r="C6" s="790"/>
      <c r="D6" s="790"/>
      <c r="E6" s="790"/>
      <c r="F6" s="790"/>
      <c r="G6" s="790"/>
      <c r="H6" s="790"/>
      <c r="I6" s="790"/>
      <c r="J6" s="790"/>
      <c r="K6" s="790"/>
      <c r="L6" s="790"/>
      <c r="M6" s="790"/>
      <c r="N6" s="790"/>
      <c r="O6" s="794"/>
      <c r="P6" s="794"/>
      <c r="Q6" s="794"/>
    </row>
    <row r="7" spans="2:17" s="792" customFormat="1" ht="11.25" customHeight="1" thickBot="1">
      <c r="B7" s="795"/>
      <c r="C7" s="795"/>
      <c r="D7" s="795"/>
      <c r="E7" s="795"/>
      <c r="F7" s="795"/>
      <c r="G7" s="795"/>
      <c r="H7" s="795"/>
      <c r="I7" s="795"/>
      <c r="J7" s="795"/>
      <c r="K7" s="795"/>
      <c r="L7" s="795"/>
      <c r="M7" s="795"/>
      <c r="N7" s="795"/>
      <c r="O7" s="795"/>
      <c r="P7" s="795"/>
      <c r="Q7" s="795"/>
    </row>
    <row r="8" spans="2:17" s="793" customFormat="1" ht="27" customHeight="1" thickBot="1">
      <c r="B8" s="796"/>
      <c r="C8" s="796"/>
      <c r="D8" s="796"/>
      <c r="E8" s="796"/>
      <c r="F8" s="1297" t="s">
        <v>744</v>
      </c>
      <c r="G8" s="1298"/>
      <c r="H8" s="796"/>
      <c r="I8" s="796"/>
      <c r="J8" s="1299" t="s">
        <v>745</v>
      </c>
      <c r="K8" s="1300"/>
      <c r="L8" s="1301"/>
      <c r="M8" s="796"/>
      <c r="N8" s="796"/>
      <c r="O8" s="796"/>
    </row>
    <row r="9" spans="2:17" s="801" customFormat="1" ht="27" customHeight="1">
      <c r="B9" s="797" t="s">
        <v>746</v>
      </c>
      <c r="C9" s="798" t="s">
        <v>747</v>
      </c>
      <c r="D9" s="799" t="s">
        <v>748</v>
      </c>
      <c r="E9" s="799" t="s">
        <v>749</v>
      </c>
      <c r="F9" s="805">
        <v>2016</v>
      </c>
      <c r="G9" s="806">
        <v>2017</v>
      </c>
      <c r="H9" s="799" t="s">
        <v>750</v>
      </c>
      <c r="I9" s="799" t="s">
        <v>751</v>
      </c>
      <c r="J9" s="799"/>
      <c r="K9" s="799"/>
      <c r="L9" s="799"/>
      <c r="M9" s="799" t="s">
        <v>752</v>
      </c>
      <c r="N9" s="799" t="s">
        <v>145</v>
      </c>
      <c r="O9" s="800" t="s">
        <v>753</v>
      </c>
    </row>
    <row r="10" spans="2:17" s="795" customFormat="1" ht="11.25">
      <c r="B10" s="807"/>
      <c r="C10" s="802"/>
      <c r="D10" s="802"/>
      <c r="E10" s="802"/>
      <c r="F10" s="802"/>
      <c r="G10" s="802"/>
      <c r="H10" s="802"/>
      <c r="I10" s="802"/>
      <c r="J10" s="802"/>
      <c r="K10" s="802"/>
      <c r="L10" s="802"/>
      <c r="M10" s="802"/>
      <c r="N10" s="802"/>
      <c r="O10" s="808"/>
    </row>
    <row r="11" spans="2:17">
      <c r="B11" s="809"/>
      <c r="C11" s="803"/>
      <c r="D11" s="803"/>
      <c r="E11" s="803"/>
      <c r="F11" s="803"/>
      <c r="G11" s="803"/>
      <c r="H11" s="803"/>
      <c r="I11" s="803"/>
      <c r="J11" s="803"/>
      <c r="K11" s="803"/>
      <c r="L11" s="803"/>
      <c r="M11" s="803"/>
      <c r="N11" s="803"/>
      <c r="O11" s="810"/>
    </row>
    <row r="12" spans="2:17">
      <c r="B12" s="809"/>
      <c r="C12" s="803"/>
      <c r="D12" s="803"/>
      <c r="E12" s="803"/>
      <c r="F12" s="803"/>
      <c r="G12" s="803"/>
      <c r="H12" s="803"/>
      <c r="I12" s="803"/>
      <c r="J12" s="803"/>
      <c r="K12" s="803"/>
      <c r="L12" s="803"/>
      <c r="M12" s="803"/>
      <c r="N12" s="803"/>
      <c r="O12" s="810"/>
    </row>
    <row r="13" spans="2:17">
      <c r="B13" s="809"/>
      <c r="C13" s="803"/>
      <c r="D13" s="803"/>
      <c r="E13" s="803"/>
      <c r="F13" s="803"/>
      <c r="G13" s="803"/>
      <c r="H13" s="803"/>
      <c r="I13" s="803"/>
      <c r="J13" s="803"/>
      <c r="K13" s="803"/>
      <c r="L13" s="803"/>
      <c r="M13" s="803"/>
      <c r="N13" s="803"/>
      <c r="O13" s="810"/>
    </row>
    <row r="14" spans="2:17">
      <c r="B14" s="809"/>
      <c r="C14" s="803"/>
      <c r="D14" s="803"/>
      <c r="E14" s="803"/>
      <c r="F14" s="803"/>
      <c r="G14" s="803"/>
      <c r="H14" s="803"/>
      <c r="I14" s="803"/>
      <c r="J14" s="803"/>
      <c r="K14" s="803"/>
      <c r="L14" s="803"/>
      <c r="M14" s="803"/>
      <c r="N14" s="803"/>
      <c r="O14" s="810"/>
    </row>
    <row r="15" spans="2:17">
      <c r="B15" s="809"/>
      <c r="C15" s="803"/>
      <c r="D15" s="803"/>
      <c r="E15" s="803"/>
      <c r="F15" s="803"/>
      <c r="G15" s="803"/>
      <c r="H15" s="803"/>
      <c r="I15" s="803"/>
      <c r="J15" s="803"/>
      <c r="K15" s="803"/>
      <c r="L15" s="803"/>
      <c r="M15" s="803"/>
      <c r="N15" s="803"/>
      <c r="O15" s="810"/>
    </row>
    <row r="16" spans="2:17">
      <c r="B16" s="809"/>
      <c r="C16" s="803"/>
      <c r="D16" s="803"/>
      <c r="E16" s="803"/>
      <c r="F16" s="803"/>
      <c r="G16" s="803"/>
      <c r="H16" s="803"/>
      <c r="I16" s="803"/>
      <c r="J16" s="803"/>
      <c r="K16" s="803"/>
      <c r="L16" s="803"/>
      <c r="M16" s="803"/>
      <c r="N16" s="803"/>
      <c r="O16" s="810"/>
    </row>
    <row r="17" spans="2:15">
      <c r="B17" s="809"/>
      <c r="C17" s="803"/>
      <c r="D17" s="803"/>
      <c r="E17" s="803"/>
      <c r="F17" s="803"/>
      <c r="G17" s="803"/>
      <c r="H17" s="803"/>
      <c r="I17" s="803"/>
      <c r="J17" s="803"/>
      <c r="K17" s="803"/>
      <c r="L17" s="803"/>
      <c r="M17" s="803"/>
      <c r="N17" s="803"/>
      <c r="O17" s="810"/>
    </row>
    <row r="18" spans="2:15">
      <c r="B18" s="809"/>
      <c r="C18" s="803"/>
      <c r="D18" s="803"/>
      <c r="E18" s="803"/>
      <c r="F18" s="803"/>
      <c r="G18" s="803"/>
      <c r="H18" s="803"/>
      <c r="I18" s="803"/>
      <c r="J18" s="803"/>
      <c r="K18" s="803"/>
      <c r="L18" s="803"/>
      <c r="M18" s="803"/>
      <c r="N18" s="803"/>
      <c r="O18" s="810"/>
    </row>
    <row r="19" spans="2:15">
      <c r="B19" s="809"/>
      <c r="C19" s="803"/>
      <c r="D19" s="803"/>
      <c r="E19" s="803"/>
      <c r="F19" s="803"/>
      <c r="G19" s="803"/>
      <c r="H19" s="803"/>
      <c r="I19" s="803"/>
      <c r="J19" s="803"/>
      <c r="K19" s="803"/>
      <c r="L19" s="803"/>
      <c r="M19" s="803"/>
      <c r="N19" s="803"/>
      <c r="O19" s="810"/>
    </row>
    <row r="20" spans="2:15">
      <c r="B20" s="809"/>
      <c r="C20" s="803"/>
      <c r="D20" s="803"/>
      <c r="E20" s="803"/>
      <c r="F20" s="803"/>
      <c r="G20" s="803"/>
      <c r="H20" s="803"/>
      <c r="I20" s="803"/>
      <c r="J20" s="803"/>
      <c r="K20" s="803"/>
      <c r="L20" s="803"/>
      <c r="M20" s="803"/>
      <c r="N20" s="803"/>
      <c r="O20" s="810"/>
    </row>
    <row r="21" spans="2:15">
      <c r="B21" s="809"/>
      <c r="C21" s="803"/>
      <c r="D21" s="803"/>
      <c r="E21" s="803"/>
      <c r="F21" s="803"/>
      <c r="G21" s="803"/>
      <c r="H21" s="803"/>
      <c r="I21" s="803"/>
      <c r="J21" s="803"/>
      <c r="K21" s="803"/>
      <c r="L21" s="803"/>
      <c r="M21" s="803"/>
      <c r="N21" s="803"/>
      <c r="O21" s="810"/>
    </row>
    <row r="22" spans="2:15">
      <c r="B22" s="809"/>
      <c r="C22" s="803"/>
      <c r="D22" s="803"/>
      <c r="E22" s="803"/>
      <c r="F22" s="803"/>
      <c r="G22" s="803"/>
      <c r="H22" s="803"/>
      <c r="I22" s="803"/>
      <c r="J22" s="803"/>
      <c r="K22" s="803"/>
      <c r="L22" s="803"/>
      <c r="M22" s="803"/>
      <c r="N22" s="803"/>
      <c r="O22" s="810"/>
    </row>
    <row r="23" spans="2:15">
      <c r="B23" s="809"/>
      <c r="C23" s="803"/>
      <c r="D23" s="803"/>
      <c r="E23" s="803"/>
      <c r="F23" s="803"/>
      <c r="G23" s="803"/>
      <c r="H23" s="803"/>
      <c r="I23" s="803"/>
      <c r="J23" s="803"/>
      <c r="K23" s="803"/>
      <c r="L23" s="803"/>
      <c r="M23" s="803"/>
      <c r="N23" s="803"/>
      <c r="O23" s="810"/>
    </row>
    <row r="24" spans="2:15">
      <c r="B24" s="809"/>
      <c r="C24" s="803"/>
      <c r="D24" s="803"/>
      <c r="E24" s="803"/>
      <c r="F24" s="803"/>
      <c r="G24" s="803"/>
      <c r="H24" s="803"/>
      <c r="I24" s="803"/>
      <c r="J24" s="803"/>
      <c r="K24" s="803"/>
      <c r="L24" s="803"/>
      <c r="M24" s="803"/>
      <c r="N24" s="803"/>
      <c r="O24" s="810"/>
    </row>
    <row r="25" spans="2:15">
      <c r="B25" s="809"/>
      <c r="C25" s="803"/>
      <c r="D25" s="803"/>
      <c r="E25" s="803"/>
      <c r="F25" s="803"/>
      <c r="G25" s="803"/>
      <c r="H25" s="803"/>
      <c r="I25" s="803"/>
      <c r="J25" s="803"/>
      <c r="K25" s="803"/>
      <c r="L25" s="803"/>
      <c r="M25" s="803"/>
      <c r="N25" s="803"/>
      <c r="O25" s="810"/>
    </row>
    <row r="26" spans="2:15">
      <c r="B26" s="809"/>
      <c r="C26" s="803"/>
      <c r="D26" s="803"/>
      <c r="E26" s="803"/>
      <c r="F26" s="803"/>
      <c r="G26" s="803"/>
      <c r="H26" s="803"/>
      <c r="I26" s="803"/>
      <c r="J26" s="803"/>
      <c r="K26" s="803"/>
      <c r="L26" s="803"/>
      <c r="M26" s="803"/>
      <c r="N26" s="803"/>
      <c r="O26" s="810"/>
    </row>
    <row r="27" spans="2:15">
      <c r="B27" s="809"/>
      <c r="C27" s="803"/>
      <c r="D27" s="803"/>
      <c r="E27" s="803"/>
      <c r="F27" s="803"/>
      <c r="G27" s="803"/>
      <c r="H27" s="803"/>
      <c r="I27" s="803"/>
      <c r="J27" s="803"/>
      <c r="K27" s="803"/>
      <c r="L27" s="803"/>
      <c r="M27" s="803"/>
      <c r="N27" s="803"/>
      <c r="O27" s="810"/>
    </row>
    <row r="28" spans="2:15">
      <c r="B28" s="809"/>
      <c r="C28" s="803"/>
      <c r="D28" s="803"/>
      <c r="E28" s="803"/>
      <c r="F28" s="803"/>
      <c r="G28" s="803"/>
      <c r="H28" s="803"/>
      <c r="I28" s="803"/>
      <c r="J28" s="803"/>
      <c r="K28" s="803"/>
      <c r="L28" s="803"/>
      <c r="M28" s="803"/>
      <c r="N28" s="803"/>
      <c r="O28" s="810"/>
    </row>
    <row r="29" spans="2:15">
      <c r="B29" s="809"/>
      <c r="C29" s="803"/>
      <c r="D29" s="803"/>
      <c r="E29" s="803"/>
      <c r="F29" s="803"/>
      <c r="G29" s="803"/>
      <c r="H29" s="803"/>
      <c r="I29" s="803"/>
      <c r="J29" s="803"/>
      <c r="K29" s="803"/>
      <c r="L29" s="803"/>
      <c r="M29" s="803"/>
      <c r="N29" s="803"/>
      <c r="O29" s="810"/>
    </row>
    <row r="30" spans="2:15">
      <c r="B30" s="809"/>
      <c r="C30" s="803"/>
      <c r="D30" s="803"/>
      <c r="E30" s="803"/>
      <c r="F30" s="803"/>
      <c r="G30" s="803"/>
      <c r="H30" s="803"/>
      <c r="I30" s="803"/>
      <c r="J30" s="803"/>
      <c r="K30" s="803"/>
      <c r="L30" s="803"/>
      <c r="M30" s="803"/>
      <c r="N30" s="803"/>
      <c r="O30" s="810"/>
    </row>
    <row r="31" spans="2:15">
      <c r="B31" s="809"/>
      <c r="C31" s="803"/>
      <c r="D31" s="803"/>
      <c r="E31" s="803"/>
      <c r="F31" s="803"/>
      <c r="G31" s="803"/>
      <c r="H31" s="803"/>
      <c r="I31" s="803"/>
      <c r="J31" s="803"/>
      <c r="K31" s="803"/>
      <c r="L31" s="803"/>
      <c r="M31" s="803"/>
      <c r="N31" s="803"/>
      <c r="O31" s="810"/>
    </row>
    <row r="32" spans="2:15">
      <c r="B32" s="809"/>
      <c r="C32" s="803"/>
      <c r="D32" s="803"/>
      <c r="E32" s="803"/>
      <c r="F32" s="803"/>
      <c r="G32" s="803"/>
      <c r="H32" s="803"/>
      <c r="I32" s="803"/>
      <c r="J32" s="803"/>
      <c r="K32" s="803"/>
      <c r="L32" s="803"/>
      <c r="M32" s="803"/>
      <c r="N32" s="803"/>
      <c r="O32" s="810"/>
    </row>
    <row r="33" spans="2:15">
      <c r="B33" s="809"/>
      <c r="C33" s="803"/>
      <c r="D33" s="803"/>
      <c r="E33" s="803"/>
      <c r="F33" s="803"/>
      <c r="G33" s="803"/>
      <c r="H33" s="803"/>
      <c r="I33" s="803"/>
      <c r="J33" s="803"/>
      <c r="K33" s="803"/>
      <c r="L33" s="803"/>
      <c r="M33" s="803"/>
      <c r="N33" s="803"/>
      <c r="O33" s="810"/>
    </row>
    <row r="34" spans="2:15">
      <c r="B34" s="809"/>
      <c r="C34" s="803"/>
      <c r="D34" s="803"/>
      <c r="E34" s="803"/>
      <c r="F34" s="803"/>
      <c r="G34" s="803"/>
      <c r="H34" s="803"/>
      <c r="I34" s="803"/>
      <c r="J34" s="803"/>
      <c r="K34" s="803"/>
      <c r="L34" s="803"/>
      <c r="M34" s="803"/>
      <c r="N34" s="803"/>
      <c r="O34" s="810"/>
    </row>
    <row r="35" spans="2:15">
      <c r="B35" s="809"/>
      <c r="C35" s="803"/>
      <c r="D35" s="803"/>
      <c r="E35" s="803"/>
      <c r="F35" s="803"/>
      <c r="G35" s="803"/>
      <c r="H35" s="803"/>
      <c r="I35" s="803"/>
      <c r="J35" s="803"/>
      <c r="K35" s="803"/>
      <c r="L35" s="803"/>
      <c r="M35" s="803"/>
      <c r="N35" s="803"/>
      <c r="O35" s="810"/>
    </row>
    <row r="36" spans="2:15">
      <c r="B36" s="809"/>
      <c r="C36" s="803"/>
      <c r="D36" s="803"/>
      <c r="E36" s="803"/>
      <c r="F36" s="803"/>
      <c r="G36" s="803"/>
      <c r="H36" s="803"/>
      <c r="I36" s="803"/>
      <c r="J36" s="803"/>
      <c r="K36" s="803"/>
      <c r="L36" s="803"/>
      <c r="M36" s="803"/>
      <c r="N36" s="803"/>
      <c r="O36" s="810"/>
    </row>
    <row r="37" spans="2:15">
      <c r="B37" s="809"/>
      <c r="C37" s="803"/>
      <c r="D37" s="803"/>
      <c r="E37" s="803"/>
      <c r="F37" s="803"/>
      <c r="G37" s="803"/>
      <c r="H37" s="803"/>
      <c r="I37" s="803"/>
      <c r="J37" s="803"/>
      <c r="K37" s="803"/>
      <c r="L37" s="803"/>
      <c r="M37" s="803"/>
      <c r="N37" s="803"/>
      <c r="O37" s="810"/>
    </row>
    <row r="38" spans="2:15">
      <c r="B38" s="809"/>
      <c r="C38" s="803"/>
      <c r="D38" s="803"/>
      <c r="E38" s="803"/>
      <c r="F38" s="803"/>
      <c r="G38" s="803"/>
      <c r="H38" s="803"/>
      <c r="I38" s="803"/>
      <c r="J38" s="803"/>
      <c r="K38" s="803"/>
      <c r="L38" s="803"/>
      <c r="M38" s="803"/>
      <c r="N38" s="803"/>
      <c r="O38" s="810"/>
    </row>
    <row r="39" spans="2:15">
      <c r="B39" s="809"/>
      <c r="C39" s="803"/>
      <c r="D39" s="803"/>
      <c r="E39" s="803"/>
      <c r="F39" s="803"/>
      <c r="G39" s="803"/>
      <c r="H39" s="803"/>
      <c r="I39" s="803"/>
      <c r="J39" s="803"/>
      <c r="K39" s="803"/>
      <c r="L39" s="803"/>
      <c r="M39" s="803"/>
      <c r="N39" s="803"/>
      <c r="O39" s="810"/>
    </row>
    <row r="40" spans="2:15">
      <c r="B40" s="809"/>
      <c r="C40" s="803"/>
      <c r="D40" s="803"/>
      <c r="E40" s="803"/>
      <c r="F40" s="803"/>
      <c r="G40" s="803"/>
      <c r="H40" s="803"/>
      <c r="I40" s="803"/>
      <c r="J40" s="803"/>
      <c r="K40" s="803"/>
      <c r="L40" s="803"/>
      <c r="M40" s="803"/>
      <c r="N40" s="803"/>
      <c r="O40" s="810"/>
    </row>
    <row r="41" spans="2:15">
      <c r="B41" s="809"/>
      <c r="C41" s="803"/>
      <c r="D41" s="803"/>
      <c r="E41" s="803"/>
      <c r="F41" s="803"/>
      <c r="G41" s="803"/>
      <c r="H41" s="803"/>
      <c r="I41" s="803"/>
      <c r="J41" s="803"/>
      <c r="K41" s="803"/>
      <c r="L41" s="803"/>
      <c r="M41" s="803"/>
      <c r="N41" s="803"/>
      <c r="O41" s="810"/>
    </row>
    <row r="42" spans="2:15">
      <c r="B42" s="809"/>
      <c r="C42" s="803"/>
      <c r="D42" s="803"/>
      <c r="E42" s="803"/>
      <c r="F42" s="803"/>
      <c r="G42" s="803"/>
      <c r="H42" s="803"/>
      <c r="I42" s="803"/>
      <c r="J42" s="803"/>
      <c r="K42" s="803"/>
      <c r="L42" s="803"/>
      <c r="M42" s="803"/>
      <c r="N42" s="803"/>
      <c r="O42" s="810"/>
    </row>
    <row r="43" spans="2:15">
      <c r="B43" s="809"/>
      <c r="C43" s="803"/>
      <c r="D43" s="803"/>
      <c r="E43" s="803"/>
      <c r="F43" s="803"/>
      <c r="G43" s="803"/>
      <c r="H43" s="803"/>
      <c r="I43" s="803"/>
      <c r="J43" s="803"/>
      <c r="K43" s="803"/>
      <c r="L43" s="803"/>
      <c r="M43" s="803"/>
      <c r="N43" s="803"/>
      <c r="O43" s="810"/>
    </row>
    <row r="44" spans="2:15">
      <c r="B44" s="809"/>
      <c r="C44" s="803"/>
      <c r="D44" s="803"/>
      <c r="E44" s="803"/>
      <c r="F44" s="803"/>
      <c r="G44" s="803"/>
      <c r="H44" s="803"/>
      <c r="I44" s="803"/>
      <c r="J44" s="803"/>
      <c r="K44" s="803"/>
      <c r="L44" s="803"/>
      <c r="M44" s="803"/>
      <c r="N44" s="803"/>
      <c r="O44" s="810"/>
    </row>
    <row r="45" spans="2:15">
      <c r="B45" s="809"/>
      <c r="C45" s="803"/>
      <c r="D45" s="803"/>
      <c r="E45" s="803"/>
      <c r="F45" s="803"/>
      <c r="G45" s="803"/>
      <c r="H45" s="803"/>
      <c r="I45" s="803"/>
      <c r="J45" s="803"/>
      <c r="K45" s="803"/>
      <c r="L45" s="803"/>
      <c r="M45" s="803"/>
      <c r="N45" s="803"/>
      <c r="O45" s="810"/>
    </row>
    <row r="46" spans="2:15">
      <c r="B46" s="809"/>
      <c r="C46" s="803"/>
      <c r="D46" s="803"/>
      <c r="E46" s="803"/>
      <c r="F46" s="803"/>
      <c r="G46" s="803"/>
      <c r="H46" s="803"/>
      <c r="I46" s="803"/>
      <c r="J46" s="803"/>
      <c r="K46" s="803"/>
      <c r="L46" s="803"/>
      <c r="M46" s="803"/>
      <c r="N46" s="803"/>
      <c r="O46" s="810"/>
    </row>
    <row r="47" spans="2:15">
      <c r="B47" s="809"/>
      <c r="C47" s="803"/>
      <c r="D47" s="803"/>
      <c r="E47" s="803"/>
      <c r="F47" s="803"/>
      <c r="G47" s="803"/>
      <c r="H47" s="803"/>
      <c r="I47" s="803"/>
      <c r="J47" s="803"/>
      <c r="K47" s="803"/>
      <c r="L47" s="803"/>
      <c r="M47" s="803"/>
      <c r="N47" s="803"/>
      <c r="O47" s="810"/>
    </row>
    <row r="48" spans="2:15">
      <c r="B48" s="809"/>
      <c r="C48" s="803"/>
      <c r="D48" s="803"/>
      <c r="E48" s="803"/>
      <c r="F48" s="803"/>
      <c r="G48" s="803"/>
      <c r="H48" s="803"/>
      <c r="I48" s="803"/>
      <c r="J48" s="803"/>
      <c r="K48" s="803"/>
      <c r="L48" s="803"/>
      <c r="M48" s="803"/>
      <c r="N48" s="803"/>
      <c r="O48" s="810"/>
    </row>
    <row r="49" spans="2:15">
      <c r="B49" s="809"/>
      <c r="C49" s="803"/>
      <c r="D49" s="803"/>
      <c r="E49" s="803"/>
      <c r="F49" s="803"/>
      <c r="G49" s="803"/>
      <c r="H49" s="803"/>
      <c r="I49" s="803"/>
      <c r="J49" s="803"/>
      <c r="K49" s="803"/>
      <c r="L49" s="803"/>
      <c r="M49" s="803"/>
      <c r="N49" s="803"/>
      <c r="O49" s="810"/>
    </row>
    <row r="50" spans="2:15">
      <c r="B50" s="809"/>
      <c r="C50" s="803"/>
      <c r="D50" s="803"/>
      <c r="E50" s="803"/>
      <c r="F50" s="803"/>
      <c r="G50" s="803"/>
      <c r="H50" s="803"/>
      <c r="I50" s="803"/>
      <c r="J50" s="803"/>
      <c r="K50" s="803"/>
      <c r="L50" s="803"/>
      <c r="M50" s="803"/>
      <c r="N50" s="803"/>
      <c r="O50" s="810"/>
    </row>
    <row r="51" spans="2:15">
      <c r="B51" s="809"/>
      <c r="C51" s="803"/>
      <c r="D51" s="803"/>
      <c r="E51" s="803"/>
      <c r="F51" s="803"/>
      <c r="G51" s="803"/>
      <c r="H51" s="803"/>
      <c r="I51" s="803"/>
      <c r="J51" s="803"/>
      <c r="K51" s="803"/>
      <c r="L51" s="803"/>
      <c r="M51" s="803"/>
      <c r="N51" s="803"/>
      <c r="O51" s="810"/>
    </row>
    <row r="52" spans="2:15">
      <c r="B52" s="809"/>
      <c r="C52" s="803"/>
      <c r="D52" s="803"/>
      <c r="E52" s="803"/>
      <c r="F52" s="803"/>
      <c r="G52" s="803"/>
      <c r="H52" s="803"/>
      <c r="I52" s="803"/>
      <c r="J52" s="803"/>
      <c r="K52" s="803"/>
      <c r="L52" s="803"/>
      <c r="M52" s="803"/>
      <c r="N52" s="803"/>
      <c r="O52" s="810"/>
    </row>
    <row r="53" spans="2:15">
      <c r="B53" s="809"/>
      <c r="C53" s="803"/>
      <c r="D53" s="803"/>
      <c r="E53" s="803"/>
      <c r="F53" s="803"/>
      <c r="G53" s="803"/>
      <c r="H53" s="803"/>
      <c r="I53" s="803"/>
      <c r="J53" s="803"/>
      <c r="K53" s="803"/>
      <c r="L53" s="803"/>
      <c r="M53" s="803"/>
      <c r="N53" s="803"/>
      <c r="O53" s="810"/>
    </row>
    <row r="54" spans="2:15">
      <c r="B54" s="809"/>
      <c r="C54" s="803"/>
      <c r="D54" s="803"/>
      <c r="E54" s="803"/>
      <c r="F54" s="803"/>
      <c r="G54" s="803"/>
      <c r="H54" s="803"/>
      <c r="I54" s="803"/>
      <c r="J54" s="803"/>
      <c r="K54" s="803"/>
      <c r="L54" s="803"/>
      <c r="M54" s="803"/>
      <c r="N54" s="803"/>
      <c r="O54" s="810"/>
    </row>
    <row r="55" spans="2:15">
      <c r="B55" s="809"/>
      <c r="C55" s="803"/>
      <c r="D55" s="803"/>
      <c r="E55" s="803"/>
      <c r="F55" s="803"/>
      <c r="G55" s="803"/>
      <c r="H55" s="803"/>
      <c r="I55" s="803"/>
      <c r="J55" s="803"/>
      <c r="K55" s="803"/>
      <c r="L55" s="803"/>
      <c r="M55" s="803"/>
      <c r="N55" s="803"/>
      <c r="O55" s="810"/>
    </row>
    <row r="56" spans="2:15">
      <c r="B56" s="809"/>
      <c r="C56" s="803"/>
      <c r="D56" s="803"/>
      <c r="E56" s="803"/>
      <c r="F56" s="803"/>
      <c r="G56" s="803"/>
      <c r="H56" s="803"/>
      <c r="I56" s="803"/>
      <c r="J56" s="803"/>
      <c r="K56" s="803"/>
      <c r="L56" s="803"/>
      <c r="M56" s="803"/>
      <c r="N56" s="803"/>
      <c r="O56" s="810"/>
    </row>
    <row r="57" spans="2:15">
      <c r="B57" s="809"/>
      <c r="C57" s="803"/>
      <c r="D57" s="803"/>
      <c r="E57" s="803"/>
      <c r="F57" s="803"/>
      <c r="G57" s="803"/>
      <c r="H57" s="803"/>
      <c r="I57" s="803"/>
      <c r="J57" s="803"/>
      <c r="K57" s="803"/>
      <c r="L57" s="803"/>
      <c r="M57" s="803"/>
      <c r="N57" s="803"/>
      <c r="O57" s="810"/>
    </row>
    <row r="58" spans="2:15">
      <c r="B58" s="809"/>
      <c r="C58" s="803"/>
      <c r="D58" s="803"/>
      <c r="E58" s="803"/>
      <c r="F58" s="803"/>
      <c r="G58" s="803"/>
      <c r="H58" s="803"/>
      <c r="I58" s="803"/>
      <c r="J58" s="803"/>
      <c r="K58" s="803"/>
      <c r="L58" s="803"/>
      <c r="M58" s="803"/>
      <c r="N58" s="803"/>
      <c r="O58" s="810"/>
    </row>
    <row r="59" spans="2:15">
      <c r="B59" s="809"/>
      <c r="C59" s="803"/>
      <c r="D59" s="803"/>
      <c r="E59" s="803"/>
      <c r="F59" s="803"/>
      <c r="G59" s="803"/>
      <c r="H59" s="803"/>
      <c r="I59" s="803"/>
      <c r="J59" s="803"/>
      <c r="K59" s="803"/>
      <c r="L59" s="803"/>
      <c r="M59" s="803"/>
      <c r="N59" s="803"/>
      <c r="O59" s="810"/>
    </row>
    <row r="60" spans="2:15">
      <c r="B60" s="809"/>
      <c r="C60" s="803"/>
      <c r="D60" s="803"/>
      <c r="E60" s="803"/>
      <c r="F60" s="803"/>
      <c r="G60" s="803"/>
      <c r="H60" s="803"/>
      <c r="I60" s="803"/>
      <c r="J60" s="803"/>
      <c r="K60" s="803"/>
      <c r="L60" s="803"/>
      <c r="M60" s="803"/>
      <c r="N60" s="803"/>
      <c r="O60" s="810"/>
    </row>
    <row r="61" spans="2:15">
      <c r="B61" s="809"/>
      <c r="C61" s="803"/>
      <c r="D61" s="803"/>
      <c r="E61" s="803"/>
      <c r="F61" s="803"/>
      <c r="G61" s="803"/>
      <c r="H61" s="803"/>
      <c r="I61" s="803"/>
      <c r="J61" s="803"/>
      <c r="K61" s="803"/>
      <c r="L61" s="803"/>
      <c r="M61" s="803"/>
      <c r="N61" s="803"/>
      <c r="O61" s="810"/>
    </row>
    <row r="62" spans="2:15">
      <c r="B62" s="809"/>
      <c r="C62" s="803"/>
      <c r="D62" s="803"/>
      <c r="E62" s="803"/>
      <c r="F62" s="803"/>
      <c r="G62" s="803"/>
      <c r="H62" s="803"/>
      <c r="I62" s="803"/>
      <c r="J62" s="803"/>
      <c r="K62" s="803"/>
      <c r="L62" s="803"/>
      <c r="M62" s="803"/>
      <c r="N62" s="803"/>
      <c r="O62" s="810"/>
    </row>
    <row r="63" spans="2:15">
      <c r="B63" s="809"/>
      <c r="C63" s="803"/>
      <c r="D63" s="803"/>
      <c r="E63" s="803"/>
      <c r="F63" s="803"/>
      <c r="G63" s="803"/>
      <c r="H63" s="803"/>
      <c r="I63" s="803"/>
      <c r="J63" s="803"/>
      <c r="K63" s="803"/>
      <c r="L63" s="803"/>
      <c r="M63" s="803"/>
      <c r="N63" s="803"/>
      <c r="O63" s="810"/>
    </row>
    <row r="64" spans="2:15">
      <c r="B64" s="809"/>
      <c r="C64" s="803"/>
      <c r="D64" s="803"/>
      <c r="E64" s="803"/>
      <c r="F64" s="803"/>
      <c r="G64" s="803"/>
      <c r="H64" s="803"/>
      <c r="I64" s="803"/>
      <c r="J64" s="803"/>
      <c r="K64" s="803"/>
      <c r="L64" s="803"/>
      <c r="M64" s="803"/>
      <c r="N64" s="803"/>
      <c r="O64" s="810"/>
    </row>
    <row r="65" spans="2:15">
      <c r="B65" s="809"/>
      <c r="C65" s="803"/>
      <c r="D65" s="803"/>
      <c r="E65" s="803"/>
      <c r="F65" s="803"/>
      <c r="G65" s="803"/>
      <c r="H65" s="803"/>
      <c r="I65" s="803"/>
      <c r="J65" s="803"/>
      <c r="K65" s="803"/>
      <c r="L65" s="803"/>
      <c r="M65" s="803"/>
      <c r="N65" s="803"/>
      <c r="O65" s="810"/>
    </row>
    <row r="66" spans="2:15">
      <c r="B66" s="809"/>
      <c r="C66" s="803"/>
      <c r="D66" s="803"/>
      <c r="E66" s="803"/>
      <c r="F66" s="803"/>
      <c r="G66" s="803"/>
      <c r="H66" s="803"/>
      <c r="I66" s="803"/>
      <c r="J66" s="803"/>
      <c r="K66" s="803"/>
      <c r="L66" s="803"/>
      <c r="M66" s="803"/>
      <c r="N66" s="803"/>
      <c r="O66" s="810"/>
    </row>
    <row r="67" spans="2:15">
      <c r="B67" s="809"/>
      <c r="C67" s="803"/>
      <c r="D67" s="803"/>
      <c r="E67" s="803"/>
      <c r="F67" s="803"/>
      <c r="G67" s="803"/>
      <c r="H67" s="803"/>
      <c r="I67" s="803"/>
      <c r="J67" s="803"/>
      <c r="K67" s="803"/>
      <c r="L67" s="803"/>
      <c r="M67" s="803"/>
      <c r="N67" s="803"/>
      <c r="O67" s="810"/>
    </row>
    <row r="68" spans="2:15">
      <c r="B68" s="809"/>
      <c r="C68" s="803"/>
      <c r="D68" s="803"/>
      <c r="E68" s="803"/>
      <c r="F68" s="803"/>
      <c r="G68" s="803"/>
      <c r="H68" s="803"/>
      <c r="I68" s="803"/>
      <c r="J68" s="803"/>
      <c r="K68" s="803"/>
      <c r="L68" s="803"/>
      <c r="M68" s="803"/>
      <c r="N68" s="803"/>
      <c r="O68" s="810"/>
    </row>
    <row r="69" spans="2:15">
      <c r="B69" s="809"/>
      <c r="C69" s="803"/>
      <c r="D69" s="803"/>
      <c r="E69" s="803"/>
      <c r="F69" s="803"/>
      <c r="G69" s="803"/>
      <c r="H69" s="803"/>
      <c r="I69" s="803"/>
      <c r="J69" s="803"/>
      <c r="K69" s="803"/>
      <c r="L69" s="803"/>
      <c r="M69" s="803"/>
      <c r="N69" s="803"/>
      <c r="O69" s="810"/>
    </row>
    <row r="70" spans="2:15" ht="12.75" thickBot="1">
      <c r="B70" s="811"/>
      <c r="C70" s="812"/>
      <c r="D70" s="812"/>
      <c r="E70" s="812"/>
      <c r="F70" s="812"/>
      <c r="G70" s="812"/>
      <c r="H70" s="812"/>
      <c r="I70" s="812"/>
      <c r="J70" s="812"/>
      <c r="K70" s="812"/>
      <c r="L70" s="812"/>
      <c r="M70" s="812"/>
      <c r="N70" s="812"/>
      <c r="O70" s="813"/>
    </row>
  </sheetData>
  <mergeCells count="3">
    <mergeCell ref="B2:N2"/>
    <mergeCell ref="F8:G8"/>
    <mergeCell ref="J8:L8"/>
  </mergeCells>
  <printOptions horizontalCentered="1" verticalCentered="1"/>
  <pageMargins left="0.70866141732283472" right="0.70866141732283472" top="0.52" bottom="0.47" header="0.31496062992125984" footer="0.31496062992125984"/>
  <pageSetup paperSize="9" scale="60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B1:P71"/>
  <sheetViews>
    <sheetView workbookViewId="0">
      <selection activeCell="B2" sqref="B2:N70"/>
    </sheetView>
  </sheetViews>
  <sheetFormatPr baseColWidth="10" defaultColWidth="11.5703125" defaultRowHeight="12"/>
  <cols>
    <col min="1" max="1" width="2.7109375" style="804" customWidth="1"/>
    <col min="2" max="2" width="9" style="804" customWidth="1"/>
    <col min="3" max="3" width="21" style="804" customWidth="1"/>
    <col min="4" max="4" width="8.140625" style="804" customWidth="1"/>
    <col min="5" max="5" width="10.7109375" style="804" customWidth="1"/>
    <col min="6" max="6" width="12.28515625" style="804" customWidth="1"/>
    <col min="7" max="7" width="11.5703125" style="804" customWidth="1"/>
    <col min="8" max="8" width="15.28515625" style="804" customWidth="1"/>
    <col min="9" max="9" width="13.5703125" style="804" customWidth="1"/>
    <col min="10" max="11" width="15.7109375" style="804" customWidth="1"/>
    <col min="12" max="12" width="16.140625" style="804" customWidth="1"/>
    <col min="13" max="13" width="19.42578125" style="804" customWidth="1"/>
    <col min="14" max="14" width="15.85546875" style="804" customWidth="1"/>
    <col min="15" max="15" width="11.5703125" style="804"/>
    <col min="16" max="16" width="18.7109375" style="804" customWidth="1"/>
    <col min="17" max="16384" width="11.5703125" style="804"/>
  </cols>
  <sheetData>
    <row r="1" spans="2:16" ht="25.9" customHeight="1">
      <c r="P1" s="893"/>
    </row>
    <row r="2" spans="2:16" s="791" customFormat="1" ht="11.25">
      <c r="B2" s="1296" t="s">
        <v>741</v>
      </c>
      <c r="C2" s="1296"/>
      <c r="D2" s="1296"/>
      <c r="E2" s="1296"/>
      <c r="F2" s="1296"/>
      <c r="G2" s="1296"/>
      <c r="H2" s="1296"/>
      <c r="I2" s="1296"/>
      <c r="J2" s="1296"/>
      <c r="K2" s="1296"/>
      <c r="L2" s="1296"/>
      <c r="M2" s="1296"/>
      <c r="N2" s="790"/>
      <c r="O2" s="790"/>
      <c r="P2" s="790"/>
    </row>
    <row r="3" spans="2:16" s="792" customFormat="1" ht="11.25">
      <c r="P3" s="894"/>
    </row>
    <row r="4" spans="2:16" s="792" customFormat="1" ht="11.25">
      <c r="B4" s="793" t="s">
        <v>742</v>
      </c>
      <c r="C4" s="792" t="str">
        <f>'PD 2017 (Personal)'!C4</f>
        <v>INSTITUTO VOLCANOLOGICO DE CANARIAS</v>
      </c>
      <c r="P4" s="894"/>
    </row>
    <row r="5" spans="2:16" s="792" customFormat="1" ht="11.25">
      <c r="B5" s="793"/>
      <c r="P5" s="894"/>
    </row>
    <row r="6" spans="2:16" s="792" customFormat="1" ht="11.25">
      <c r="B6" s="790" t="s">
        <v>754</v>
      </c>
      <c r="C6" s="790"/>
      <c r="D6" s="790"/>
      <c r="E6" s="790"/>
      <c r="F6" s="790"/>
      <c r="G6" s="790"/>
      <c r="H6" s="790"/>
      <c r="I6" s="790"/>
      <c r="J6" s="790"/>
      <c r="K6" s="790"/>
      <c r="L6" s="790"/>
      <c r="M6" s="790"/>
      <c r="N6" s="794"/>
      <c r="O6" s="794"/>
      <c r="P6" s="794"/>
    </row>
    <row r="7" spans="2:16" s="792" customFormat="1" thickBot="1">
      <c r="B7" s="795"/>
      <c r="C7" s="795"/>
      <c r="D7" s="795"/>
      <c r="E7" s="795"/>
      <c r="F7" s="795"/>
      <c r="G7" s="795"/>
      <c r="H7" s="795"/>
      <c r="I7" s="795"/>
      <c r="J7" s="795"/>
      <c r="K7" s="795"/>
      <c r="L7" s="795"/>
      <c r="M7" s="795"/>
      <c r="N7" s="795"/>
      <c r="O7" s="795"/>
      <c r="P7" s="795"/>
    </row>
    <row r="8" spans="2:16" s="793" customFormat="1" ht="27" customHeight="1" thickBot="1">
      <c r="B8" s="796"/>
      <c r="C8" s="796"/>
      <c r="D8" s="796"/>
      <c r="E8" s="796"/>
      <c r="F8" s="1297" t="s">
        <v>744</v>
      </c>
      <c r="G8" s="1298"/>
      <c r="H8" s="796"/>
      <c r="I8" s="796"/>
      <c r="J8" s="1299" t="s">
        <v>745</v>
      </c>
      <c r="K8" s="1300"/>
      <c r="L8" s="796"/>
      <c r="M8" s="796"/>
      <c r="N8" s="796"/>
    </row>
    <row r="9" spans="2:16" s="801" customFormat="1" ht="27" customHeight="1">
      <c r="B9" s="797" t="s">
        <v>755</v>
      </c>
      <c r="C9" s="798" t="s">
        <v>747</v>
      </c>
      <c r="D9" s="799" t="s">
        <v>748</v>
      </c>
      <c r="E9" s="799" t="s">
        <v>749</v>
      </c>
      <c r="F9" s="805">
        <v>2016</v>
      </c>
      <c r="G9" s="806">
        <v>2017</v>
      </c>
      <c r="H9" s="799" t="s">
        <v>750</v>
      </c>
      <c r="I9" s="799" t="s">
        <v>751</v>
      </c>
      <c r="J9" s="799" t="s">
        <v>809</v>
      </c>
      <c r="K9" s="799" t="s">
        <v>810</v>
      </c>
      <c r="L9" s="799" t="s">
        <v>752</v>
      </c>
      <c r="M9" s="799" t="s">
        <v>145</v>
      </c>
      <c r="N9" s="800" t="s">
        <v>753</v>
      </c>
      <c r="P9" s="799" t="s">
        <v>812</v>
      </c>
    </row>
    <row r="10" spans="2:16" s="795" customFormat="1" ht="11.25">
      <c r="B10" s="872">
        <v>1</v>
      </c>
      <c r="C10" s="873" t="s">
        <v>800</v>
      </c>
      <c r="D10" s="872" t="s">
        <v>801</v>
      </c>
      <c r="E10" s="873">
        <f>1455.47*12</f>
        <v>17465.64</v>
      </c>
      <c r="F10" s="873"/>
      <c r="G10" s="873">
        <f>E10*3%</f>
        <v>523.9692</v>
      </c>
      <c r="H10" s="873">
        <f>(E10+G10)/6</f>
        <v>2998.2682</v>
      </c>
      <c r="I10" s="873"/>
      <c r="J10" s="873">
        <f>109.87*12</f>
        <v>1318.44</v>
      </c>
      <c r="K10" s="873">
        <f>15.59*12</f>
        <v>187.07999999999998</v>
      </c>
      <c r="L10" s="874">
        <f>M10*30.9%</f>
        <v>6950.4597965999992</v>
      </c>
      <c r="M10" s="874">
        <f>SUM(E10:K10)</f>
        <v>22493.397399999998</v>
      </c>
      <c r="N10" s="808"/>
      <c r="P10" s="874">
        <f>L10+M10</f>
        <v>29443.857196599998</v>
      </c>
    </row>
    <row r="11" spans="2:16">
      <c r="B11" s="809"/>
      <c r="C11" s="803"/>
      <c r="D11" s="803"/>
      <c r="E11" s="803"/>
      <c r="F11" s="803"/>
      <c r="G11" s="803"/>
      <c r="H11" s="803"/>
      <c r="I11" s="803"/>
      <c r="J11" s="803"/>
      <c r="K11" s="803"/>
      <c r="L11" s="803"/>
      <c r="M11" s="803"/>
      <c r="N11" s="810"/>
      <c r="P11" s="874"/>
    </row>
    <row r="12" spans="2:16">
      <c r="B12" s="809"/>
      <c r="C12" s="803"/>
      <c r="D12" s="803"/>
      <c r="E12" s="803"/>
      <c r="F12" s="803"/>
      <c r="G12" s="803"/>
      <c r="H12" s="803"/>
      <c r="I12" s="803"/>
      <c r="J12" s="803"/>
      <c r="K12" s="803"/>
      <c r="L12" s="803"/>
      <c r="M12" s="803"/>
      <c r="N12" s="810"/>
      <c r="P12" s="874"/>
    </row>
    <row r="13" spans="2:16">
      <c r="B13" s="809"/>
      <c r="C13" s="803"/>
      <c r="D13" s="803"/>
      <c r="E13" s="803"/>
      <c r="F13" s="803"/>
      <c r="G13" s="803"/>
      <c r="H13" s="803"/>
      <c r="I13" s="803"/>
      <c r="J13" s="803"/>
      <c r="K13" s="803"/>
      <c r="L13" s="803"/>
      <c r="M13" s="803"/>
      <c r="N13" s="810"/>
      <c r="P13" s="874"/>
    </row>
    <row r="14" spans="2:16">
      <c r="B14" s="809"/>
      <c r="C14" s="803"/>
      <c r="D14" s="803"/>
      <c r="E14" s="803"/>
      <c r="F14" s="803"/>
      <c r="G14" s="803"/>
      <c r="H14" s="803"/>
      <c r="I14" s="803"/>
      <c r="J14" s="803"/>
      <c r="K14" s="803"/>
      <c r="L14" s="803"/>
      <c r="M14" s="803"/>
      <c r="N14" s="810"/>
      <c r="P14" s="874"/>
    </row>
    <row r="15" spans="2:16">
      <c r="B15" s="809"/>
      <c r="C15" s="803"/>
      <c r="D15" s="803"/>
      <c r="E15" s="803"/>
      <c r="F15" s="803"/>
      <c r="G15" s="803"/>
      <c r="H15" s="803"/>
      <c r="I15" s="803"/>
      <c r="J15" s="803"/>
      <c r="K15" s="803"/>
      <c r="L15" s="803"/>
      <c r="M15" s="803"/>
      <c r="N15" s="810"/>
      <c r="P15" s="874"/>
    </row>
    <row r="16" spans="2:16">
      <c r="B16" s="809"/>
      <c r="C16" s="803"/>
      <c r="D16" s="803"/>
      <c r="E16" s="803"/>
      <c r="F16" s="803"/>
      <c r="G16" s="803"/>
      <c r="H16" s="803"/>
      <c r="I16" s="803"/>
      <c r="J16" s="803"/>
      <c r="K16" s="803"/>
      <c r="L16" s="803"/>
      <c r="M16" s="803"/>
      <c r="N16" s="810"/>
      <c r="P16" s="874"/>
    </row>
    <row r="17" spans="2:16">
      <c r="B17" s="809"/>
      <c r="C17" s="803"/>
      <c r="D17" s="803"/>
      <c r="E17" s="803"/>
      <c r="F17" s="803"/>
      <c r="G17" s="803"/>
      <c r="H17" s="803"/>
      <c r="I17" s="803"/>
      <c r="J17" s="803"/>
      <c r="K17" s="803"/>
      <c r="L17" s="803"/>
      <c r="M17" s="803"/>
      <c r="N17" s="810"/>
      <c r="P17" s="874"/>
    </row>
    <row r="18" spans="2:16">
      <c r="B18" s="809"/>
      <c r="C18" s="803"/>
      <c r="D18" s="803"/>
      <c r="E18" s="803"/>
      <c r="F18" s="803"/>
      <c r="G18" s="803"/>
      <c r="H18" s="803"/>
      <c r="I18" s="803"/>
      <c r="J18" s="803"/>
      <c r="K18" s="803"/>
      <c r="L18" s="803"/>
      <c r="M18" s="803"/>
      <c r="N18" s="810"/>
      <c r="P18" s="874"/>
    </row>
    <row r="19" spans="2:16">
      <c r="B19" s="809"/>
      <c r="C19" s="803"/>
      <c r="D19" s="803"/>
      <c r="E19" s="803"/>
      <c r="F19" s="803"/>
      <c r="G19" s="803"/>
      <c r="H19" s="803"/>
      <c r="I19" s="803"/>
      <c r="J19" s="803"/>
      <c r="K19" s="803"/>
      <c r="L19" s="803"/>
      <c r="M19" s="803"/>
      <c r="N19" s="810"/>
      <c r="P19" s="874"/>
    </row>
    <row r="20" spans="2:16">
      <c r="B20" s="809"/>
      <c r="C20" s="803"/>
      <c r="D20" s="803"/>
      <c r="E20" s="803"/>
      <c r="F20" s="803"/>
      <c r="G20" s="803"/>
      <c r="H20" s="803"/>
      <c r="I20" s="803"/>
      <c r="J20" s="803"/>
      <c r="K20" s="803"/>
      <c r="L20" s="803"/>
      <c r="M20" s="803"/>
      <c r="N20" s="810"/>
      <c r="P20" s="874"/>
    </row>
    <row r="21" spans="2:16">
      <c r="B21" s="809"/>
      <c r="C21" s="803"/>
      <c r="D21" s="803"/>
      <c r="E21" s="803"/>
      <c r="F21" s="803"/>
      <c r="G21" s="803"/>
      <c r="H21" s="803"/>
      <c r="I21" s="803"/>
      <c r="J21" s="803"/>
      <c r="K21" s="803"/>
      <c r="L21" s="803"/>
      <c r="M21" s="803"/>
      <c r="N21" s="810"/>
      <c r="P21" s="874"/>
    </row>
    <row r="22" spans="2:16">
      <c r="B22" s="809"/>
      <c r="C22" s="803"/>
      <c r="D22" s="803"/>
      <c r="E22" s="803"/>
      <c r="F22" s="803"/>
      <c r="G22" s="803"/>
      <c r="H22" s="803"/>
      <c r="I22" s="803"/>
      <c r="J22" s="803"/>
      <c r="K22" s="803"/>
      <c r="L22" s="803"/>
      <c r="M22" s="803"/>
      <c r="N22" s="810"/>
      <c r="P22" s="874"/>
    </row>
    <row r="23" spans="2:16">
      <c r="B23" s="809"/>
      <c r="C23" s="803"/>
      <c r="D23" s="803"/>
      <c r="E23" s="803"/>
      <c r="F23" s="803"/>
      <c r="G23" s="803"/>
      <c r="H23" s="803"/>
      <c r="I23" s="803"/>
      <c r="J23" s="803"/>
      <c r="K23" s="803"/>
      <c r="L23" s="803"/>
      <c r="M23" s="803"/>
      <c r="N23" s="810"/>
      <c r="P23" s="874"/>
    </row>
    <row r="24" spans="2:16">
      <c r="B24" s="809"/>
      <c r="C24" s="803"/>
      <c r="D24" s="803"/>
      <c r="E24" s="803"/>
      <c r="F24" s="803"/>
      <c r="G24" s="803"/>
      <c r="H24" s="803"/>
      <c r="I24" s="803"/>
      <c r="J24" s="803"/>
      <c r="K24" s="803"/>
      <c r="L24" s="803"/>
      <c r="M24" s="803"/>
      <c r="N24" s="810"/>
      <c r="P24" s="874"/>
    </row>
    <row r="25" spans="2:16">
      <c r="B25" s="809"/>
      <c r="C25" s="803"/>
      <c r="D25" s="803"/>
      <c r="E25" s="803"/>
      <c r="F25" s="803"/>
      <c r="G25" s="803"/>
      <c r="H25" s="803"/>
      <c r="I25" s="803"/>
      <c r="J25" s="803"/>
      <c r="K25" s="803"/>
      <c r="L25" s="803"/>
      <c r="M25" s="803"/>
      <c r="N25" s="810"/>
      <c r="P25" s="874"/>
    </row>
    <row r="26" spans="2:16">
      <c r="B26" s="809"/>
      <c r="C26" s="803"/>
      <c r="D26" s="803"/>
      <c r="E26" s="803"/>
      <c r="F26" s="803"/>
      <c r="G26" s="803"/>
      <c r="H26" s="803"/>
      <c r="I26" s="803"/>
      <c r="J26" s="803"/>
      <c r="K26" s="803"/>
      <c r="L26" s="803"/>
      <c r="M26" s="803"/>
      <c r="N26" s="810"/>
      <c r="P26" s="874"/>
    </row>
    <row r="27" spans="2:16">
      <c r="B27" s="809"/>
      <c r="C27" s="803"/>
      <c r="D27" s="803"/>
      <c r="E27" s="803"/>
      <c r="F27" s="803"/>
      <c r="G27" s="803"/>
      <c r="H27" s="803"/>
      <c r="I27" s="803"/>
      <c r="J27" s="803"/>
      <c r="K27" s="803"/>
      <c r="L27" s="803"/>
      <c r="M27" s="803"/>
      <c r="N27" s="810"/>
      <c r="P27" s="874"/>
    </row>
    <row r="28" spans="2:16">
      <c r="B28" s="809"/>
      <c r="C28" s="803"/>
      <c r="D28" s="803"/>
      <c r="E28" s="803"/>
      <c r="F28" s="803"/>
      <c r="G28" s="803"/>
      <c r="H28" s="803"/>
      <c r="I28" s="803"/>
      <c r="J28" s="803"/>
      <c r="K28" s="803"/>
      <c r="L28" s="803"/>
      <c r="M28" s="803"/>
      <c r="N28" s="810"/>
      <c r="P28" s="874"/>
    </row>
    <row r="29" spans="2:16">
      <c r="B29" s="809"/>
      <c r="C29" s="803"/>
      <c r="D29" s="803"/>
      <c r="E29" s="803"/>
      <c r="F29" s="803"/>
      <c r="G29" s="803"/>
      <c r="H29" s="803"/>
      <c r="I29" s="803"/>
      <c r="J29" s="803"/>
      <c r="K29" s="803"/>
      <c r="L29" s="803"/>
      <c r="M29" s="803"/>
      <c r="N29" s="810"/>
      <c r="P29" s="873"/>
    </row>
    <row r="30" spans="2:16">
      <c r="B30" s="809"/>
      <c r="C30" s="803"/>
      <c r="D30" s="803"/>
      <c r="E30" s="803"/>
      <c r="F30" s="803"/>
      <c r="G30" s="803"/>
      <c r="H30" s="803"/>
      <c r="I30" s="803"/>
      <c r="J30" s="803"/>
      <c r="K30" s="803"/>
      <c r="L30" s="803"/>
      <c r="M30" s="803"/>
      <c r="N30" s="810"/>
      <c r="P30" s="873"/>
    </row>
    <row r="31" spans="2:16">
      <c r="B31" s="809"/>
      <c r="C31" s="803"/>
      <c r="D31" s="803"/>
      <c r="E31" s="803"/>
      <c r="F31" s="803"/>
      <c r="G31" s="803"/>
      <c r="H31" s="803"/>
      <c r="I31" s="803"/>
      <c r="J31" s="803"/>
      <c r="K31" s="803"/>
      <c r="L31" s="803"/>
      <c r="M31" s="803"/>
      <c r="N31" s="810"/>
      <c r="P31" s="873"/>
    </row>
    <row r="32" spans="2:16">
      <c r="B32" s="809"/>
      <c r="C32" s="803"/>
      <c r="D32" s="803"/>
      <c r="E32" s="803"/>
      <c r="F32" s="803"/>
      <c r="G32" s="803"/>
      <c r="H32" s="803"/>
      <c r="I32" s="803"/>
      <c r="J32" s="803"/>
      <c r="K32" s="803"/>
      <c r="L32" s="803"/>
      <c r="M32" s="803"/>
      <c r="N32" s="810"/>
      <c r="P32" s="873"/>
    </row>
    <row r="33" spans="2:16">
      <c r="B33" s="809"/>
      <c r="C33" s="803"/>
      <c r="D33" s="803"/>
      <c r="E33" s="803"/>
      <c r="F33" s="803"/>
      <c r="G33" s="803"/>
      <c r="H33" s="803"/>
      <c r="I33" s="803"/>
      <c r="J33" s="803"/>
      <c r="K33" s="803"/>
      <c r="L33" s="803"/>
      <c r="M33" s="803"/>
      <c r="N33" s="810"/>
      <c r="P33" s="873"/>
    </row>
    <row r="34" spans="2:16">
      <c r="B34" s="809"/>
      <c r="C34" s="803"/>
      <c r="D34" s="803"/>
      <c r="E34" s="803"/>
      <c r="F34" s="803"/>
      <c r="G34" s="803"/>
      <c r="H34" s="803"/>
      <c r="I34" s="803"/>
      <c r="J34" s="803"/>
      <c r="K34" s="803"/>
      <c r="L34" s="803"/>
      <c r="M34" s="803"/>
      <c r="N34" s="810"/>
      <c r="P34" s="873"/>
    </row>
    <row r="35" spans="2:16">
      <c r="B35" s="809"/>
      <c r="C35" s="803"/>
      <c r="D35" s="803"/>
      <c r="E35" s="803"/>
      <c r="F35" s="803"/>
      <c r="G35" s="803"/>
      <c r="H35" s="803"/>
      <c r="I35" s="803"/>
      <c r="J35" s="803"/>
      <c r="K35" s="803"/>
      <c r="L35" s="803"/>
      <c r="M35" s="803"/>
      <c r="N35" s="810"/>
      <c r="P35" s="873"/>
    </row>
    <row r="36" spans="2:16">
      <c r="B36" s="809"/>
      <c r="C36" s="803"/>
      <c r="D36" s="803"/>
      <c r="E36" s="803"/>
      <c r="F36" s="803"/>
      <c r="G36" s="803"/>
      <c r="H36" s="803"/>
      <c r="I36" s="803"/>
      <c r="J36" s="803"/>
      <c r="K36" s="803"/>
      <c r="L36" s="803"/>
      <c r="M36" s="803"/>
      <c r="N36" s="810"/>
      <c r="P36" s="873"/>
    </row>
    <row r="37" spans="2:16">
      <c r="B37" s="809"/>
      <c r="C37" s="803"/>
      <c r="D37" s="803"/>
      <c r="E37" s="803"/>
      <c r="F37" s="803"/>
      <c r="G37" s="803"/>
      <c r="H37" s="803"/>
      <c r="I37" s="803"/>
      <c r="J37" s="803"/>
      <c r="K37" s="803"/>
      <c r="L37" s="803"/>
      <c r="M37" s="803"/>
      <c r="N37" s="810"/>
      <c r="P37" s="873"/>
    </row>
    <row r="38" spans="2:16">
      <c r="B38" s="809"/>
      <c r="C38" s="803"/>
      <c r="D38" s="803"/>
      <c r="E38" s="803"/>
      <c r="F38" s="803"/>
      <c r="G38" s="803"/>
      <c r="H38" s="803"/>
      <c r="I38" s="803"/>
      <c r="J38" s="803"/>
      <c r="K38" s="803"/>
      <c r="L38" s="803"/>
      <c r="M38" s="803"/>
      <c r="N38" s="810"/>
      <c r="P38" s="873"/>
    </row>
    <row r="39" spans="2:16">
      <c r="B39" s="809"/>
      <c r="C39" s="803"/>
      <c r="D39" s="803"/>
      <c r="E39" s="803"/>
      <c r="F39" s="803"/>
      <c r="G39" s="803"/>
      <c r="H39" s="803"/>
      <c r="I39" s="803"/>
      <c r="J39" s="803"/>
      <c r="K39" s="803"/>
      <c r="L39" s="803"/>
      <c r="M39" s="803"/>
      <c r="N39" s="810"/>
      <c r="P39" s="873"/>
    </row>
    <row r="40" spans="2:16">
      <c r="B40" s="809"/>
      <c r="C40" s="803"/>
      <c r="D40" s="803"/>
      <c r="E40" s="803"/>
      <c r="F40" s="803"/>
      <c r="G40" s="803"/>
      <c r="H40" s="803"/>
      <c r="I40" s="803"/>
      <c r="J40" s="803"/>
      <c r="K40" s="803"/>
      <c r="L40" s="803"/>
      <c r="M40" s="803"/>
      <c r="N40" s="810"/>
      <c r="P40" s="873"/>
    </row>
    <row r="41" spans="2:16">
      <c r="B41" s="809"/>
      <c r="C41" s="803"/>
      <c r="D41" s="803"/>
      <c r="E41" s="803"/>
      <c r="F41" s="803"/>
      <c r="G41" s="803"/>
      <c r="H41" s="803"/>
      <c r="I41" s="803"/>
      <c r="J41" s="803"/>
      <c r="K41" s="803"/>
      <c r="L41" s="803"/>
      <c r="M41" s="803"/>
      <c r="N41" s="810"/>
      <c r="P41" s="873"/>
    </row>
    <row r="42" spans="2:16">
      <c r="B42" s="809"/>
      <c r="C42" s="803"/>
      <c r="D42" s="803"/>
      <c r="E42" s="803"/>
      <c r="F42" s="803"/>
      <c r="G42" s="803"/>
      <c r="H42" s="803"/>
      <c r="I42" s="803"/>
      <c r="J42" s="803"/>
      <c r="K42" s="803"/>
      <c r="L42" s="803"/>
      <c r="M42" s="803"/>
      <c r="N42" s="810"/>
      <c r="P42" s="873"/>
    </row>
    <row r="43" spans="2:16">
      <c r="B43" s="809"/>
      <c r="C43" s="803"/>
      <c r="D43" s="803"/>
      <c r="E43" s="803"/>
      <c r="F43" s="803"/>
      <c r="G43" s="803"/>
      <c r="H43" s="803"/>
      <c r="I43" s="803"/>
      <c r="J43" s="803"/>
      <c r="K43" s="803"/>
      <c r="L43" s="803"/>
      <c r="M43" s="803"/>
      <c r="N43" s="810"/>
      <c r="P43" s="873"/>
    </row>
    <row r="44" spans="2:16">
      <c r="B44" s="809"/>
      <c r="C44" s="803"/>
      <c r="D44" s="803"/>
      <c r="E44" s="803"/>
      <c r="F44" s="803"/>
      <c r="G44" s="803"/>
      <c r="H44" s="803"/>
      <c r="I44" s="803"/>
      <c r="J44" s="803"/>
      <c r="K44" s="803"/>
      <c r="L44" s="803"/>
      <c r="M44" s="803"/>
      <c r="N44" s="810"/>
      <c r="P44" s="873"/>
    </row>
    <row r="45" spans="2:16">
      <c r="B45" s="809"/>
      <c r="C45" s="803"/>
      <c r="D45" s="803"/>
      <c r="E45" s="803"/>
      <c r="F45" s="803"/>
      <c r="G45" s="803"/>
      <c r="H45" s="803"/>
      <c r="I45" s="803"/>
      <c r="J45" s="803"/>
      <c r="K45" s="803"/>
      <c r="L45" s="803"/>
      <c r="M45" s="803"/>
      <c r="N45" s="810"/>
      <c r="P45" s="873"/>
    </row>
    <row r="46" spans="2:16">
      <c r="B46" s="809"/>
      <c r="C46" s="803"/>
      <c r="D46" s="803"/>
      <c r="E46" s="803"/>
      <c r="F46" s="803"/>
      <c r="G46" s="803"/>
      <c r="H46" s="803"/>
      <c r="I46" s="803"/>
      <c r="J46" s="803"/>
      <c r="K46" s="803"/>
      <c r="L46" s="803"/>
      <c r="M46" s="803"/>
      <c r="N46" s="810"/>
      <c r="P46" s="873"/>
    </row>
    <row r="47" spans="2:16">
      <c r="B47" s="809"/>
      <c r="C47" s="803"/>
      <c r="D47" s="803"/>
      <c r="E47" s="803"/>
      <c r="F47" s="803"/>
      <c r="G47" s="803"/>
      <c r="H47" s="803"/>
      <c r="I47" s="803"/>
      <c r="J47" s="803"/>
      <c r="K47" s="803"/>
      <c r="L47" s="803"/>
      <c r="M47" s="803"/>
      <c r="N47" s="810"/>
      <c r="P47" s="873"/>
    </row>
    <row r="48" spans="2:16">
      <c r="B48" s="809"/>
      <c r="C48" s="803"/>
      <c r="D48" s="803"/>
      <c r="E48" s="803"/>
      <c r="F48" s="803"/>
      <c r="G48" s="803"/>
      <c r="H48" s="803"/>
      <c r="I48" s="803"/>
      <c r="J48" s="803"/>
      <c r="K48" s="803"/>
      <c r="L48" s="803"/>
      <c r="M48" s="803"/>
      <c r="N48" s="810"/>
      <c r="P48" s="873"/>
    </row>
    <row r="49" spans="2:16">
      <c r="B49" s="809"/>
      <c r="C49" s="803"/>
      <c r="D49" s="803"/>
      <c r="E49" s="803"/>
      <c r="F49" s="803"/>
      <c r="G49" s="803"/>
      <c r="H49" s="803"/>
      <c r="I49" s="803"/>
      <c r="J49" s="803"/>
      <c r="K49" s="803"/>
      <c r="L49" s="803"/>
      <c r="M49" s="803"/>
      <c r="N49" s="810"/>
      <c r="P49" s="873"/>
    </row>
    <row r="50" spans="2:16">
      <c r="B50" s="809"/>
      <c r="C50" s="803"/>
      <c r="D50" s="803"/>
      <c r="E50" s="803"/>
      <c r="F50" s="803"/>
      <c r="G50" s="803"/>
      <c r="H50" s="803"/>
      <c r="I50" s="803"/>
      <c r="J50" s="803"/>
      <c r="K50" s="803"/>
      <c r="L50" s="803"/>
      <c r="M50" s="803"/>
      <c r="N50" s="810"/>
      <c r="P50" s="873"/>
    </row>
    <row r="51" spans="2:16">
      <c r="B51" s="809"/>
      <c r="C51" s="803"/>
      <c r="D51" s="803"/>
      <c r="E51" s="803"/>
      <c r="F51" s="803"/>
      <c r="G51" s="803"/>
      <c r="H51" s="803"/>
      <c r="I51" s="803"/>
      <c r="J51" s="803"/>
      <c r="K51" s="803"/>
      <c r="L51" s="803"/>
      <c r="M51" s="803"/>
      <c r="N51" s="810"/>
      <c r="P51" s="873"/>
    </row>
    <row r="52" spans="2:16">
      <c r="B52" s="809"/>
      <c r="C52" s="803"/>
      <c r="D52" s="803"/>
      <c r="E52" s="803"/>
      <c r="F52" s="803"/>
      <c r="G52" s="803"/>
      <c r="H52" s="803"/>
      <c r="I52" s="803"/>
      <c r="J52" s="803"/>
      <c r="K52" s="803"/>
      <c r="L52" s="803"/>
      <c r="M52" s="803"/>
      <c r="N52" s="810"/>
      <c r="P52" s="873"/>
    </row>
    <row r="53" spans="2:16">
      <c r="B53" s="809"/>
      <c r="C53" s="803"/>
      <c r="D53" s="803"/>
      <c r="E53" s="803"/>
      <c r="F53" s="803"/>
      <c r="G53" s="803"/>
      <c r="H53" s="803"/>
      <c r="I53" s="803"/>
      <c r="J53" s="803"/>
      <c r="K53" s="803"/>
      <c r="L53" s="803"/>
      <c r="M53" s="803"/>
      <c r="N53" s="810"/>
      <c r="P53" s="873"/>
    </row>
    <row r="54" spans="2:16">
      <c r="B54" s="809"/>
      <c r="C54" s="803"/>
      <c r="D54" s="803"/>
      <c r="E54" s="803"/>
      <c r="F54" s="803"/>
      <c r="G54" s="803"/>
      <c r="H54" s="803"/>
      <c r="I54" s="803"/>
      <c r="J54" s="803"/>
      <c r="K54" s="803"/>
      <c r="L54" s="803"/>
      <c r="M54" s="803"/>
      <c r="N54" s="810"/>
      <c r="P54" s="873"/>
    </row>
    <row r="55" spans="2:16">
      <c r="B55" s="809"/>
      <c r="C55" s="803"/>
      <c r="D55" s="803"/>
      <c r="E55" s="803"/>
      <c r="F55" s="803"/>
      <c r="G55" s="803"/>
      <c r="H55" s="803"/>
      <c r="I55" s="803"/>
      <c r="J55" s="803"/>
      <c r="K55" s="803"/>
      <c r="L55" s="803"/>
      <c r="M55" s="803"/>
      <c r="N55" s="810"/>
      <c r="P55" s="873"/>
    </row>
    <row r="56" spans="2:16">
      <c r="B56" s="809"/>
      <c r="C56" s="803"/>
      <c r="D56" s="803"/>
      <c r="E56" s="803"/>
      <c r="F56" s="803"/>
      <c r="G56" s="803"/>
      <c r="H56" s="803"/>
      <c r="I56" s="803"/>
      <c r="J56" s="803"/>
      <c r="K56" s="803"/>
      <c r="L56" s="803"/>
      <c r="M56" s="803"/>
      <c r="N56" s="810"/>
      <c r="P56" s="873"/>
    </row>
    <row r="57" spans="2:16">
      <c r="B57" s="809"/>
      <c r="C57" s="803"/>
      <c r="D57" s="803"/>
      <c r="E57" s="803"/>
      <c r="F57" s="803"/>
      <c r="G57" s="803"/>
      <c r="H57" s="803"/>
      <c r="I57" s="803"/>
      <c r="J57" s="803"/>
      <c r="K57" s="803"/>
      <c r="L57" s="803"/>
      <c r="M57" s="803"/>
      <c r="N57" s="810"/>
      <c r="P57" s="873"/>
    </row>
    <row r="58" spans="2:16">
      <c r="B58" s="809"/>
      <c r="C58" s="803"/>
      <c r="D58" s="803"/>
      <c r="E58" s="803"/>
      <c r="F58" s="803"/>
      <c r="G58" s="803"/>
      <c r="H58" s="803"/>
      <c r="I58" s="803"/>
      <c r="J58" s="803"/>
      <c r="K58" s="803"/>
      <c r="L58" s="803"/>
      <c r="M58" s="803"/>
      <c r="N58" s="810"/>
      <c r="P58" s="873"/>
    </row>
    <row r="59" spans="2:16">
      <c r="B59" s="809"/>
      <c r="C59" s="803"/>
      <c r="D59" s="803"/>
      <c r="E59" s="803"/>
      <c r="F59" s="803"/>
      <c r="G59" s="803"/>
      <c r="H59" s="803"/>
      <c r="I59" s="803"/>
      <c r="J59" s="803"/>
      <c r="K59" s="803"/>
      <c r="L59" s="803"/>
      <c r="M59" s="803"/>
      <c r="N59" s="810"/>
      <c r="P59" s="873"/>
    </row>
    <row r="60" spans="2:16">
      <c r="B60" s="809"/>
      <c r="C60" s="803"/>
      <c r="D60" s="803"/>
      <c r="E60" s="803"/>
      <c r="F60" s="803"/>
      <c r="G60" s="803"/>
      <c r="H60" s="803"/>
      <c r="I60" s="803"/>
      <c r="J60" s="803"/>
      <c r="K60" s="803"/>
      <c r="L60" s="803"/>
      <c r="M60" s="803"/>
      <c r="N60" s="810"/>
      <c r="P60" s="873"/>
    </row>
    <row r="61" spans="2:16">
      <c r="B61" s="809"/>
      <c r="C61" s="803"/>
      <c r="D61" s="803"/>
      <c r="E61" s="803"/>
      <c r="F61" s="803"/>
      <c r="G61" s="803"/>
      <c r="H61" s="803"/>
      <c r="I61" s="803"/>
      <c r="J61" s="803"/>
      <c r="K61" s="803"/>
      <c r="L61" s="803"/>
      <c r="M61" s="803"/>
      <c r="N61" s="810"/>
      <c r="P61" s="873"/>
    </row>
    <row r="62" spans="2:16">
      <c r="B62" s="809"/>
      <c r="C62" s="803"/>
      <c r="D62" s="803"/>
      <c r="E62" s="803"/>
      <c r="F62" s="803"/>
      <c r="G62" s="803"/>
      <c r="H62" s="803"/>
      <c r="I62" s="803"/>
      <c r="J62" s="803"/>
      <c r="K62" s="803"/>
      <c r="L62" s="803"/>
      <c r="M62" s="803"/>
      <c r="N62" s="810"/>
      <c r="P62" s="873"/>
    </row>
    <row r="63" spans="2:16">
      <c r="B63" s="809"/>
      <c r="C63" s="803"/>
      <c r="D63" s="803"/>
      <c r="E63" s="803"/>
      <c r="F63" s="803"/>
      <c r="G63" s="803"/>
      <c r="H63" s="803"/>
      <c r="I63" s="803"/>
      <c r="J63" s="803"/>
      <c r="K63" s="803"/>
      <c r="L63" s="803"/>
      <c r="M63" s="803"/>
      <c r="N63" s="810"/>
      <c r="P63" s="873"/>
    </row>
    <row r="64" spans="2:16">
      <c r="B64" s="809"/>
      <c r="C64" s="803"/>
      <c r="D64" s="803"/>
      <c r="E64" s="803"/>
      <c r="F64" s="803"/>
      <c r="G64" s="803"/>
      <c r="H64" s="803"/>
      <c r="I64" s="803"/>
      <c r="J64" s="803"/>
      <c r="K64" s="803"/>
      <c r="L64" s="803"/>
      <c r="M64" s="803"/>
      <c r="N64" s="810"/>
      <c r="P64" s="873"/>
    </row>
    <row r="65" spans="2:16">
      <c r="B65" s="809"/>
      <c r="C65" s="803"/>
      <c r="D65" s="803"/>
      <c r="E65" s="803"/>
      <c r="F65" s="803"/>
      <c r="G65" s="803"/>
      <c r="H65" s="803"/>
      <c r="I65" s="803"/>
      <c r="J65" s="803"/>
      <c r="K65" s="803"/>
      <c r="L65" s="803"/>
      <c r="M65" s="803"/>
      <c r="N65" s="810"/>
      <c r="P65" s="873"/>
    </row>
    <row r="66" spans="2:16">
      <c r="B66" s="809"/>
      <c r="C66" s="803"/>
      <c r="D66" s="803"/>
      <c r="E66" s="803"/>
      <c r="F66" s="803"/>
      <c r="G66" s="803"/>
      <c r="H66" s="803"/>
      <c r="I66" s="803"/>
      <c r="J66" s="803"/>
      <c r="K66" s="803"/>
      <c r="L66" s="803"/>
      <c r="M66" s="803"/>
      <c r="N66" s="810"/>
      <c r="P66" s="873"/>
    </row>
    <row r="67" spans="2:16">
      <c r="B67" s="809"/>
      <c r="C67" s="803"/>
      <c r="D67" s="803"/>
      <c r="E67" s="803"/>
      <c r="F67" s="803"/>
      <c r="G67" s="803"/>
      <c r="H67" s="803"/>
      <c r="I67" s="803"/>
      <c r="J67" s="803"/>
      <c r="K67" s="803"/>
      <c r="L67" s="803"/>
      <c r="M67" s="803"/>
      <c r="N67" s="810"/>
      <c r="P67" s="873"/>
    </row>
    <row r="68" spans="2:16">
      <c r="B68" s="809"/>
      <c r="C68" s="803"/>
      <c r="D68" s="803"/>
      <c r="E68" s="803"/>
      <c r="F68" s="803"/>
      <c r="G68" s="803"/>
      <c r="H68" s="803"/>
      <c r="I68" s="803"/>
      <c r="J68" s="803"/>
      <c r="K68" s="803"/>
      <c r="L68" s="803"/>
      <c r="M68" s="803"/>
      <c r="N68" s="810"/>
      <c r="P68" s="873"/>
    </row>
    <row r="69" spans="2:16">
      <c r="B69" s="809"/>
      <c r="C69" s="803"/>
      <c r="D69" s="803"/>
      <c r="E69" s="803"/>
      <c r="F69" s="803"/>
      <c r="G69" s="803"/>
      <c r="H69" s="803"/>
      <c r="I69" s="803"/>
      <c r="J69" s="803"/>
      <c r="K69" s="803"/>
      <c r="L69" s="803"/>
      <c r="M69" s="803"/>
      <c r="N69" s="810"/>
      <c r="P69" s="873"/>
    </row>
    <row r="70" spans="2:16" ht="12.75" thickBot="1">
      <c r="B70" s="811"/>
      <c r="C70" s="812"/>
      <c r="D70" s="812"/>
      <c r="E70" s="812"/>
      <c r="F70" s="812"/>
      <c r="G70" s="812"/>
      <c r="H70" s="812"/>
      <c r="I70" s="812"/>
      <c r="J70" s="812"/>
      <c r="K70" s="812"/>
      <c r="L70" s="812"/>
      <c r="M70" s="812"/>
      <c r="N70" s="813"/>
      <c r="P70" s="873"/>
    </row>
    <row r="71" spans="2:16">
      <c r="P71" s="873"/>
    </row>
  </sheetData>
  <mergeCells count="3">
    <mergeCell ref="B2:M2"/>
    <mergeCell ref="F8:G8"/>
    <mergeCell ref="J8:K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B1:Q72"/>
  <sheetViews>
    <sheetView topLeftCell="D40" zoomScale="85" zoomScaleNormal="85" workbookViewId="0">
      <selection activeCell="Q21" sqref="Q21"/>
    </sheetView>
  </sheetViews>
  <sheetFormatPr baseColWidth="10" defaultColWidth="11.5703125" defaultRowHeight="12"/>
  <cols>
    <col min="1" max="1" width="2.42578125" style="804" customWidth="1"/>
    <col min="2" max="2" width="9" style="804" customWidth="1"/>
    <col min="3" max="3" width="23.140625" style="804" customWidth="1"/>
    <col min="4" max="4" width="8.140625" style="804" customWidth="1"/>
    <col min="5" max="5" width="14.28515625" style="804" customWidth="1"/>
    <col min="6" max="6" width="12.28515625" style="804" customWidth="1"/>
    <col min="7" max="7" width="11.5703125" style="804" customWidth="1"/>
    <col min="8" max="8" width="15.7109375" style="804" customWidth="1"/>
    <col min="9" max="9" width="14" style="804" customWidth="1"/>
    <col min="10" max="11" width="15.7109375" style="804" customWidth="1"/>
    <col min="12" max="12" width="13.85546875" style="804" customWidth="1"/>
    <col min="13" max="13" width="17.5703125" style="804" customWidth="1"/>
    <col min="14" max="14" width="34.42578125" style="804" customWidth="1"/>
    <col min="15" max="15" width="18.7109375" style="804" customWidth="1"/>
    <col min="16" max="16" width="11.5703125" style="804"/>
    <col min="17" max="17" width="12.42578125" style="804" bestFit="1" customWidth="1"/>
    <col min="18" max="16384" width="11.5703125" style="804"/>
  </cols>
  <sheetData>
    <row r="1" spans="2:15" ht="22.9" customHeight="1">
      <c r="O1" s="893"/>
    </row>
    <row r="2" spans="2:15" s="791" customFormat="1" ht="11.25">
      <c r="B2" s="1296" t="s">
        <v>741</v>
      </c>
      <c r="C2" s="1296"/>
      <c r="D2" s="1296"/>
      <c r="E2" s="1296"/>
      <c r="F2" s="1296"/>
      <c r="G2" s="1296"/>
      <c r="H2" s="1296"/>
      <c r="I2" s="1296"/>
      <c r="J2" s="1296"/>
      <c r="K2" s="1296"/>
      <c r="L2" s="1296"/>
      <c r="M2" s="1296"/>
      <c r="N2" s="790"/>
      <c r="O2" s="790"/>
    </row>
    <row r="3" spans="2:15" s="792" customFormat="1" ht="11.25">
      <c r="O3" s="894"/>
    </row>
    <row r="4" spans="2:15" s="792" customFormat="1" ht="11.25">
      <c r="B4" s="793" t="s">
        <v>742</v>
      </c>
      <c r="C4" s="792" t="str">
        <f>'LF 2017 (Personal)'!C4</f>
        <v>INSTITUTO VOLCANOLOGICO DE CANARIAS</v>
      </c>
      <c r="O4" s="894"/>
    </row>
    <row r="5" spans="2:15" s="792" customFormat="1" ht="11.25">
      <c r="B5" s="793"/>
      <c r="O5" s="894"/>
    </row>
    <row r="6" spans="2:15" s="792" customFormat="1" ht="11.25">
      <c r="B6" s="790" t="s">
        <v>756</v>
      </c>
      <c r="C6" s="790"/>
      <c r="D6" s="790"/>
      <c r="E6" s="790"/>
      <c r="F6" s="790"/>
      <c r="G6" s="790"/>
      <c r="H6" s="790"/>
      <c r="I6" s="790"/>
      <c r="J6" s="790"/>
      <c r="K6" s="790"/>
      <c r="L6" s="790"/>
      <c r="M6" s="790"/>
      <c r="N6" s="794"/>
      <c r="O6" s="794"/>
    </row>
    <row r="7" spans="2:15" s="792" customFormat="1" thickBot="1">
      <c r="B7" s="795"/>
      <c r="C7" s="795"/>
      <c r="D7" s="795"/>
      <c r="E7" s="795"/>
      <c r="F7" s="795"/>
      <c r="G7" s="795"/>
      <c r="H7" s="795"/>
      <c r="I7" s="795"/>
      <c r="J7" s="795"/>
      <c r="K7" s="795"/>
      <c r="L7" s="795"/>
      <c r="M7" s="795"/>
      <c r="N7" s="795"/>
      <c r="O7" s="795"/>
    </row>
    <row r="8" spans="2:15" s="793" customFormat="1" ht="42" customHeight="1" thickBot="1">
      <c r="B8" s="796"/>
      <c r="C8" s="796"/>
      <c r="D8" s="796"/>
      <c r="E8" s="796"/>
      <c r="F8" s="1297" t="s">
        <v>744</v>
      </c>
      <c r="G8" s="1298"/>
      <c r="H8" s="796"/>
      <c r="I8" s="796"/>
      <c r="J8" s="1299" t="s">
        <v>745</v>
      </c>
      <c r="K8" s="1301"/>
      <c r="L8" s="796"/>
      <c r="M8" s="796"/>
      <c r="N8" s="796"/>
    </row>
    <row r="9" spans="2:15" s="801" customFormat="1" ht="27" customHeight="1">
      <c r="B9" s="797" t="s">
        <v>746</v>
      </c>
      <c r="C9" s="798" t="s">
        <v>747</v>
      </c>
      <c r="D9" s="799" t="s">
        <v>748</v>
      </c>
      <c r="E9" s="799" t="s">
        <v>749</v>
      </c>
      <c r="F9" s="805">
        <v>2016</v>
      </c>
      <c r="G9" s="806">
        <v>2017</v>
      </c>
      <c r="H9" s="799" t="s">
        <v>750</v>
      </c>
      <c r="I9" s="799" t="s">
        <v>751</v>
      </c>
      <c r="J9" s="799" t="s">
        <v>809</v>
      </c>
      <c r="K9" s="799" t="s">
        <v>810</v>
      </c>
      <c r="L9" s="799" t="s">
        <v>752</v>
      </c>
      <c r="M9" s="799" t="s">
        <v>145</v>
      </c>
      <c r="N9" s="800" t="s">
        <v>753</v>
      </c>
      <c r="O9" s="799" t="s">
        <v>812</v>
      </c>
    </row>
    <row r="10" spans="2:15" s="795" customFormat="1" ht="11.25">
      <c r="B10" s="876">
        <v>1</v>
      </c>
      <c r="C10" s="874" t="s">
        <v>802</v>
      </c>
      <c r="D10" s="910">
        <v>4</v>
      </c>
      <c r="E10" s="874">
        <f>1020.38*12*0.5</f>
        <v>6122.28</v>
      </c>
      <c r="F10" s="874"/>
      <c r="G10" s="874">
        <f>E10*3%</f>
        <v>183.66839999999999</v>
      </c>
      <c r="H10" s="874">
        <f>(E10+G10)/6</f>
        <v>1050.9913999999999</v>
      </c>
      <c r="I10" s="874"/>
      <c r="J10" s="873">
        <f>109.87*12*0.5</f>
        <v>659.22</v>
      </c>
      <c r="K10" s="874">
        <f>68.43*12*0.5</f>
        <v>410.58000000000004</v>
      </c>
      <c r="L10" s="874">
        <f>M10*32.1%</f>
        <v>2704.9834757999997</v>
      </c>
      <c r="M10" s="874">
        <f>SUM(E10:K10)</f>
        <v>8426.7397999999994</v>
      </c>
      <c r="N10" s="875" t="s">
        <v>811</v>
      </c>
      <c r="O10" s="874">
        <f>L10+M10</f>
        <v>11131.723275799999</v>
      </c>
    </row>
    <row r="11" spans="2:15">
      <c r="B11" s="876">
        <v>1</v>
      </c>
      <c r="C11" s="874" t="s">
        <v>802</v>
      </c>
      <c r="D11" s="910">
        <v>4</v>
      </c>
      <c r="E11" s="874">
        <f>1020.38*12</f>
        <v>12244.56</v>
      </c>
      <c r="F11" s="874"/>
      <c r="G11" s="874">
        <f>E11*3%</f>
        <v>367.33679999999998</v>
      </c>
      <c r="H11" s="874">
        <f>(E11+G11)/6</f>
        <v>2101.9827999999998</v>
      </c>
      <c r="I11" s="874"/>
      <c r="J11" s="873">
        <f>109.87*12</f>
        <v>1318.44</v>
      </c>
      <c r="K11" s="874">
        <f>68.43*12</f>
        <v>821.16000000000008</v>
      </c>
      <c r="L11" s="874">
        <f>M11*32.1%</f>
        <v>5409.9669515999994</v>
      </c>
      <c r="M11" s="874">
        <f>SUM(E11:K11)</f>
        <v>16853.479599999999</v>
      </c>
      <c r="N11" s="810"/>
      <c r="O11" s="874">
        <f>L11+M11</f>
        <v>22263.446551599998</v>
      </c>
    </row>
    <row r="12" spans="2:15">
      <c r="B12" s="876"/>
      <c r="C12" s="874"/>
      <c r="D12" s="910"/>
      <c r="E12" s="874"/>
      <c r="F12" s="874"/>
      <c r="G12" s="874"/>
      <c r="H12" s="874"/>
      <c r="I12" s="874"/>
      <c r="J12" s="874"/>
      <c r="K12" s="874"/>
      <c r="L12" s="874"/>
      <c r="M12" s="874"/>
      <c r="N12" s="810"/>
      <c r="O12" s="874"/>
    </row>
    <row r="13" spans="2:15">
      <c r="B13" s="876"/>
      <c r="C13" s="874"/>
      <c r="D13" s="910"/>
      <c r="E13" s="874"/>
      <c r="F13" s="874"/>
      <c r="G13" s="874"/>
      <c r="H13" s="874"/>
      <c r="I13" s="874"/>
      <c r="J13" s="874"/>
      <c r="K13" s="874"/>
      <c r="L13" s="874"/>
      <c r="M13" s="874"/>
      <c r="N13" s="810"/>
      <c r="O13" s="874"/>
    </row>
    <row r="14" spans="2:15">
      <c r="B14" s="876">
        <v>10</v>
      </c>
      <c r="C14" s="874" t="s">
        <v>803</v>
      </c>
      <c r="D14" s="910" t="s">
        <v>804</v>
      </c>
      <c r="E14" s="874">
        <f>12053.64*B14</f>
        <v>120536.4</v>
      </c>
      <c r="F14" s="874"/>
      <c r="G14" s="874"/>
      <c r="H14" s="874"/>
      <c r="I14" s="874"/>
      <c r="J14" s="873"/>
      <c r="K14" s="874"/>
      <c r="L14" s="874">
        <f>35.24*12*B14</f>
        <v>4228.8</v>
      </c>
      <c r="M14" s="874">
        <f>SUM(E14:K14)</f>
        <v>120536.4</v>
      </c>
      <c r="N14" s="810"/>
      <c r="O14" s="874">
        <f t="shared" ref="O14:O16" si="0">L14+M14</f>
        <v>124765.2</v>
      </c>
    </row>
    <row r="15" spans="2:15">
      <c r="B15" s="876">
        <v>1</v>
      </c>
      <c r="C15" s="874" t="s">
        <v>803</v>
      </c>
      <c r="D15" s="910" t="s">
        <v>805</v>
      </c>
      <c r="E15" s="874">
        <v>12885</v>
      </c>
      <c r="F15" s="874"/>
      <c r="G15" s="874"/>
      <c r="H15" s="874"/>
      <c r="I15" s="874"/>
      <c r="J15" s="873"/>
      <c r="K15" s="874"/>
      <c r="L15" s="874">
        <f>35.24*12*B15</f>
        <v>422.88</v>
      </c>
      <c r="M15" s="874">
        <f>SUM(E15:K15)</f>
        <v>12885</v>
      </c>
      <c r="N15" s="810"/>
      <c r="O15" s="874">
        <f t="shared" si="0"/>
        <v>13307.88</v>
      </c>
    </row>
    <row r="16" spans="2:15">
      <c r="B16" s="876">
        <v>3</v>
      </c>
      <c r="C16" s="874" t="s">
        <v>806</v>
      </c>
      <c r="D16" s="910" t="s">
        <v>807</v>
      </c>
      <c r="E16" s="874">
        <f>(26000*B16)-L16</f>
        <v>76731.360000000001</v>
      </c>
      <c r="F16" s="874"/>
      <c r="G16" s="874"/>
      <c r="H16" s="874"/>
      <c r="I16" s="874"/>
      <c r="J16" s="873"/>
      <c r="K16" s="874"/>
      <c r="L16" s="874">
        <f>35.24*12*B16</f>
        <v>1268.6399999999999</v>
      </c>
      <c r="M16" s="874">
        <f>SUM(E16:K16)</f>
        <v>76731.360000000001</v>
      </c>
      <c r="N16" s="810"/>
      <c r="O16" s="874">
        <f t="shared" si="0"/>
        <v>78000</v>
      </c>
    </row>
    <row r="17" spans="2:17">
      <c r="B17" s="809"/>
      <c r="C17" s="803"/>
      <c r="D17" s="803"/>
      <c r="E17" s="803"/>
      <c r="F17" s="803"/>
      <c r="G17" s="803"/>
      <c r="H17" s="803"/>
      <c r="I17" s="803"/>
      <c r="J17" s="803"/>
      <c r="K17" s="803"/>
      <c r="L17" s="803"/>
      <c r="M17" s="803"/>
      <c r="N17" s="810"/>
      <c r="O17" s="874"/>
      <c r="Q17" s="891"/>
    </row>
    <row r="18" spans="2:17">
      <c r="B18" s="809"/>
      <c r="C18" s="803"/>
      <c r="D18" s="803"/>
      <c r="E18" s="803"/>
      <c r="F18" s="803"/>
      <c r="G18" s="803"/>
      <c r="H18" s="803"/>
      <c r="I18" s="803"/>
      <c r="J18" s="803"/>
      <c r="K18" s="803"/>
      <c r="L18" s="803"/>
      <c r="M18" s="892"/>
      <c r="N18" s="810"/>
      <c r="O18" s="874"/>
      <c r="Q18" s="891"/>
    </row>
    <row r="19" spans="2:17">
      <c r="B19" s="809"/>
      <c r="C19" s="803"/>
      <c r="D19" s="803"/>
      <c r="E19" s="803"/>
      <c r="F19" s="803"/>
      <c r="G19" s="803"/>
      <c r="H19" s="803"/>
      <c r="I19" s="803"/>
      <c r="J19" s="803"/>
      <c r="K19" s="803"/>
      <c r="L19" s="803"/>
      <c r="M19" s="803"/>
      <c r="N19" s="810"/>
      <c r="O19" s="874"/>
      <c r="Q19" s="891"/>
    </row>
    <row r="20" spans="2:17">
      <c r="B20" s="809"/>
      <c r="C20" s="803"/>
      <c r="D20" s="803"/>
      <c r="E20" s="803"/>
      <c r="F20" s="803"/>
      <c r="G20" s="803"/>
      <c r="H20" s="803"/>
      <c r="I20" s="803"/>
      <c r="J20" s="803"/>
      <c r="K20" s="803"/>
      <c r="L20" s="803"/>
      <c r="M20" s="803"/>
      <c r="N20" s="810"/>
      <c r="O20" s="874"/>
    </row>
    <row r="21" spans="2:17">
      <c r="B21" s="809"/>
      <c r="C21" s="803"/>
      <c r="D21" s="803"/>
      <c r="E21" s="803"/>
      <c r="F21" s="803"/>
      <c r="G21" s="803"/>
      <c r="H21" s="803"/>
      <c r="I21" s="803"/>
      <c r="J21" s="803"/>
      <c r="K21" s="803"/>
      <c r="L21" s="803"/>
      <c r="M21" s="803"/>
      <c r="N21" s="810"/>
      <c r="O21" s="874"/>
    </row>
    <row r="22" spans="2:17">
      <c r="B22" s="809"/>
      <c r="C22" s="803"/>
      <c r="D22" s="803"/>
      <c r="E22" s="803"/>
      <c r="F22" s="803"/>
      <c r="G22" s="803"/>
      <c r="H22" s="803"/>
      <c r="I22" s="803"/>
      <c r="J22" s="803"/>
      <c r="K22" s="803"/>
      <c r="L22" s="803"/>
      <c r="M22" s="803"/>
      <c r="N22" s="810"/>
      <c r="O22" s="874"/>
    </row>
    <row r="23" spans="2:17">
      <c r="B23" s="809"/>
      <c r="C23" s="803"/>
      <c r="D23" s="803"/>
      <c r="E23" s="803"/>
      <c r="F23" s="803"/>
      <c r="G23" s="803"/>
      <c r="H23" s="803"/>
      <c r="I23" s="803"/>
      <c r="J23" s="803"/>
      <c r="K23" s="803"/>
      <c r="L23" s="803"/>
      <c r="M23" s="803"/>
      <c r="N23" s="810"/>
      <c r="O23" s="874"/>
    </row>
    <row r="24" spans="2:17">
      <c r="B24" s="809"/>
      <c r="C24" s="803"/>
      <c r="D24" s="803"/>
      <c r="E24" s="803"/>
      <c r="F24" s="803"/>
      <c r="G24" s="803"/>
      <c r="H24" s="803"/>
      <c r="I24" s="803"/>
      <c r="J24" s="803"/>
      <c r="K24" s="803"/>
      <c r="L24" s="803"/>
      <c r="M24" s="803"/>
      <c r="N24" s="810"/>
      <c r="O24" s="874"/>
    </row>
    <row r="25" spans="2:17">
      <c r="B25" s="809"/>
      <c r="C25" s="803"/>
      <c r="D25" s="803"/>
      <c r="E25" s="803"/>
      <c r="F25" s="803"/>
      <c r="G25" s="803"/>
      <c r="H25" s="803"/>
      <c r="I25" s="803"/>
      <c r="J25" s="803"/>
      <c r="K25" s="803"/>
      <c r="L25" s="803"/>
      <c r="M25" s="803"/>
      <c r="N25" s="810"/>
      <c r="O25" s="874"/>
    </row>
    <row r="26" spans="2:17">
      <c r="B26" s="809"/>
      <c r="C26" s="803"/>
      <c r="D26" s="803"/>
      <c r="E26" s="803"/>
      <c r="F26" s="803"/>
      <c r="G26" s="803"/>
      <c r="H26" s="803"/>
      <c r="I26" s="803"/>
      <c r="J26" s="803"/>
      <c r="K26" s="803"/>
      <c r="L26" s="803"/>
      <c r="M26" s="803"/>
      <c r="N26" s="810"/>
      <c r="O26" s="874"/>
    </row>
    <row r="27" spans="2:17">
      <c r="B27" s="809"/>
      <c r="C27" s="803"/>
      <c r="D27" s="803"/>
      <c r="E27" s="803"/>
      <c r="F27" s="803"/>
      <c r="G27" s="803"/>
      <c r="H27" s="803"/>
      <c r="I27" s="803"/>
      <c r="J27" s="803"/>
      <c r="K27" s="803"/>
      <c r="L27" s="803"/>
      <c r="M27" s="803"/>
      <c r="N27" s="810"/>
      <c r="O27" s="874"/>
    </row>
    <row r="28" spans="2:17">
      <c r="B28" s="809"/>
      <c r="C28" s="803"/>
      <c r="D28" s="803"/>
      <c r="E28" s="803"/>
      <c r="F28" s="803"/>
      <c r="G28" s="803"/>
      <c r="H28" s="803"/>
      <c r="I28" s="803"/>
      <c r="J28" s="803"/>
      <c r="K28" s="803"/>
      <c r="L28" s="803"/>
      <c r="M28" s="803"/>
      <c r="N28" s="810"/>
      <c r="O28" s="874"/>
    </row>
    <row r="29" spans="2:17">
      <c r="B29" s="809"/>
      <c r="C29" s="803"/>
      <c r="D29" s="803"/>
      <c r="E29" s="803"/>
      <c r="F29" s="803"/>
      <c r="G29" s="803"/>
      <c r="H29" s="803"/>
      <c r="I29" s="803"/>
      <c r="J29" s="803"/>
      <c r="K29" s="803"/>
      <c r="L29" s="803"/>
      <c r="M29" s="803"/>
      <c r="N29" s="810"/>
      <c r="O29" s="874"/>
    </row>
    <row r="30" spans="2:17">
      <c r="B30" s="809"/>
      <c r="C30" s="803"/>
      <c r="D30" s="803"/>
      <c r="E30" s="803"/>
      <c r="F30" s="803"/>
      <c r="G30" s="803"/>
      <c r="H30" s="803"/>
      <c r="I30" s="803"/>
      <c r="J30" s="803"/>
      <c r="K30" s="803"/>
      <c r="L30" s="803"/>
      <c r="M30" s="803"/>
      <c r="N30" s="810"/>
      <c r="O30" s="873"/>
    </row>
    <row r="31" spans="2:17">
      <c r="B31" s="809"/>
      <c r="C31" s="803"/>
      <c r="D31" s="803"/>
      <c r="E31" s="803"/>
      <c r="F31" s="803"/>
      <c r="G31" s="803"/>
      <c r="H31" s="803"/>
      <c r="I31" s="803"/>
      <c r="J31" s="803"/>
      <c r="K31" s="803"/>
      <c r="L31" s="803"/>
      <c r="M31" s="803"/>
      <c r="N31" s="810"/>
      <c r="O31" s="873"/>
    </row>
    <row r="32" spans="2:17">
      <c r="B32" s="809"/>
      <c r="C32" s="803"/>
      <c r="D32" s="803"/>
      <c r="E32" s="803"/>
      <c r="F32" s="803"/>
      <c r="G32" s="803"/>
      <c r="H32" s="803"/>
      <c r="I32" s="803"/>
      <c r="J32" s="803"/>
      <c r="K32" s="803"/>
      <c r="L32" s="803"/>
      <c r="M32" s="803"/>
      <c r="N32" s="810"/>
      <c r="O32" s="873"/>
    </row>
    <row r="33" spans="2:15">
      <c r="B33" s="809"/>
      <c r="C33" s="803"/>
      <c r="D33" s="803"/>
      <c r="E33" s="803"/>
      <c r="F33" s="803"/>
      <c r="G33" s="803"/>
      <c r="H33" s="803"/>
      <c r="I33" s="803"/>
      <c r="J33" s="803"/>
      <c r="K33" s="803"/>
      <c r="L33" s="803"/>
      <c r="M33" s="803"/>
      <c r="N33" s="810"/>
      <c r="O33" s="873"/>
    </row>
    <row r="34" spans="2:15">
      <c r="B34" s="809"/>
      <c r="C34" s="803"/>
      <c r="D34" s="803"/>
      <c r="E34" s="803"/>
      <c r="F34" s="803"/>
      <c r="G34" s="803"/>
      <c r="H34" s="803"/>
      <c r="I34" s="803"/>
      <c r="J34" s="803"/>
      <c r="K34" s="803"/>
      <c r="L34" s="803"/>
      <c r="M34" s="803"/>
      <c r="N34" s="810"/>
      <c r="O34" s="873"/>
    </row>
    <row r="35" spans="2:15">
      <c r="B35" s="809"/>
      <c r="C35" s="803"/>
      <c r="D35" s="803"/>
      <c r="E35" s="803"/>
      <c r="F35" s="803"/>
      <c r="G35" s="803"/>
      <c r="H35" s="803"/>
      <c r="I35" s="803"/>
      <c r="J35" s="803"/>
      <c r="K35" s="803"/>
      <c r="L35" s="803"/>
      <c r="M35" s="803"/>
      <c r="N35" s="810"/>
      <c r="O35" s="873"/>
    </row>
    <row r="36" spans="2:15">
      <c r="B36" s="809"/>
      <c r="C36" s="803"/>
      <c r="D36" s="803"/>
      <c r="E36" s="803"/>
      <c r="F36" s="803"/>
      <c r="G36" s="803"/>
      <c r="H36" s="803"/>
      <c r="I36" s="803"/>
      <c r="J36" s="803"/>
      <c r="K36" s="803"/>
      <c r="L36" s="803"/>
      <c r="M36" s="803"/>
      <c r="N36" s="810"/>
      <c r="O36" s="873"/>
    </row>
    <row r="37" spans="2:15">
      <c r="B37" s="809"/>
      <c r="C37" s="803"/>
      <c r="D37" s="803"/>
      <c r="E37" s="803"/>
      <c r="F37" s="803"/>
      <c r="G37" s="803"/>
      <c r="H37" s="803"/>
      <c r="I37" s="803"/>
      <c r="J37" s="803"/>
      <c r="K37" s="803"/>
      <c r="L37" s="803"/>
      <c r="M37" s="803"/>
      <c r="N37" s="810"/>
      <c r="O37" s="873"/>
    </row>
    <row r="38" spans="2:15">
      <c r="B38" s="809"/>
      <c r="C38" s="803"/>
      <c r="D38" s="803"/>
      <c r="E38" s="803"/>
      <c r="F38" s="803"/>
      <c r="G38" s="803"/>
      <c r="H38" s="803"/>
      <c r="I38" s="803"/>
      <c r="J38" s="803"/>
      <c r="K38" s="803"/>
      <c r="L38" s="803"/>
      <c r="M38" s="803"/>
      <c r="N38" s="810"/>
      <c r="O38" s="873"/>
    </row>
    <row r="39" spans="2:15">
      <c r="B39" s="809"/>
      <c r="C39" s="803"/>
      <c r="D39" s="803"/>
      <c r="E39" s="803"/>
      <c r="F39" s="803"/>
      <c r="G39" s="803"/>
      <c r="H39" s="803"/>
      <c r="I39" s="803"/>
      <c r="J39" s="803"/>
      <c r="K39" s="803"/>
      <c r="L39" s="803"/>
      <c r="M39" s="803"/>
      <c r="N39" s="810"/>
      <c r="O39" s="873"/>
    </row>
    <row r="40" spans="2:15">
      <c r="B40" s="809"/>
      <c r="C40" s="803"/>
      <c r="D40" s="803"/>
      <c r="E40" s="803"/>
      <c r="F40" s="803"/>
      <c r="G40" s="803"/>
      <c r="H40" s="803"/>
      <c r="I40" s="803"/>
      <c r="J40" s="803"/>
      <c r="K40" s="803"/>
      <c r="L40" s="803"/>
      <c r="M40" s="803"/>
      <c r="N40" s="810"/>
      <c r="O40" s="873"/>
    </row>
    <row r="41" spans="2:15">
      <c r="B41" s="809"/>
      <c r="C41" s="803"/>
      <c r="D41" s="803"/>
      <c r="E41" s="803"/>
      <c r="F41" s="803"/>
      <c r="G41" s="803"/>
      <c r="H41" s="803"/>
      <c r="I41" s="803"/>
      <c r="J41" s="803"/>
      <c r="K41" s="803"/>
      <c r="L41" s="803"/>
      <c r="M41" s="803"/>
      <c r="N41" s="810"/>
      <c r="O41" s="873"/>
    </row>
    <row r="42" spans="2:15">
      <c r="B42" s="809"/>
      <c r="C42" s="803"/>
      <c r="D42" s="803"/>
      <c r="E42" s="803"/>
      <c r="F42" s="803"/>
      <c r="G42" s="803"/>
      <c r="H42" s="803"/>
      <c r="I42" s="803"/>
      <c r="J42" s="803"/>
      <c r="K42" s="803"/>
      <c r="L42" s="803"/>
      <c r="M42" s="803"/>
      <c r="N42" s="810"/>
      <c r="O42" s="873"/>
    </row>
    <row r="43" spans="2:15">
      <c r="B43" s="809"/>
      <c r="C43" s="803"/>
      <c r="D43" s="803"/>
      <c r="E43" s="803"/>
      <c r="F43" s="803"/>
      <c r="G43" s="803"/>
      <c r="H43" s="803"/>
      <c r="I43" s="803"/>
      <c r="J43" s="803"/>
      <c r="K43" s="803"/>
      <c r="L43" s="803"/>
      <c r="M43" s="803"/>
      <c r="N43" s="810"/>
      <c r="O43" s="873"/>
    </row>
    <row r="44" spans="2:15">
      <c r="B44" s="809"/>
      <c r="C44" s="803"/>
      <c r="D44" s="803"/>
      <c r="E44" s="803"/>
      <c r="F44" s="803"/>
      <c r="G44" s="803"/>
      <c r="H44" s="803"/>
      <c r="I44" s="803"/>
      <c r="J44" s="803"/>
      <c r="K44" s="803"/>
      <c r="L44" s="803"/>
      <c r="M44" s="803"/>
      <c r="N44" s="810"/>
      <c r="O44" s="873"/>
    </row>
    <row r="45" spans="2:15">
      <c r="B45" s="809"/>
      <c r="C45" s="803"/>
      <c r="D45" s="803"/>
      <c r="E45" s="803"/>
      <c r="F45" s="803"/>
      <c r="G45" s="803"/>
      <c r="H45" s="803"/>
      <c r="I45" s="803"/>
      <c r="J45" s="803"/>
      <c r="K45" s="803"/>
      <c r="L45" s="803"/>
      <c r="M45" s="803"/>
      <c r="N45" s="810"/>
      <c r="O45" s="873"/>
    </row>
    <row r="46" spans="2:15">
      <c r="B46" s="809"/>
      <c r="C46" s="803"/>
      <c r="D46" s="803"/>
      <c r="E46" s="803"/>
      <c r="F46" s="803"/>
      <c r="G46" s="803"/>
      <c r="H46" s="803"/>
      <c r="I46" s="803"/>
      <c r="J46" s="803"/>
      <c r="K46" s="803"/>
      <c r="L46" s="803"/>
      <c r="M46" s="803"/>
      <c r="N46" s="810"/>
      <c r="O46" s="873"/>
    </row>
    <row r="47" spans="2:15">
      <c r="B47" s="809"/>
      <c r="C47" s="803"/>
      <c r="D47" s="803"/>
      <c r="E47" s="803"/>
      <c r="F47" s="803"/>
      <c r="G47" s="803"/>
      <c r="H47" s="803"/>
      <c r="I47" s="803"/>
      <c r="J47" s="803"/>
      <c r="K47" s="803"/>
      <c r="L47" s="803"/>
      <c r="M47" s="803"/>
      <c r="N47" s="810"/>
      <c r="O47" s="873"/>
    </row>
    <row r="48" spans="2:15">
      <c r="B48" s="809"/>
      <c r="C48" s="803"/>
      <c r="D48" s="803"/>
      <c r="E48" s="803"/>
      <c r="F48" s="803"/>
      <c r="G48" s="803"/>
      <c r="H48" s="803"/>
      <c r="I48" s="803"/>
      <c r="J48" s="803"/>
      <c r="K48" s="803"/>
      <c r="L48" s="803"/>
      <c r="M48" s="803"/>
      <c r="N48" s="810"/>
      <c r="O48" s="873"/>
    </row>
    <row r="49" spans="2:15">
      <c r="B49" s="809"/>
      <c r="C49" s="803"/>
      <c r="D49" s="803"/>
      <c r="E49" s="803"/>
      <c r="F49" s="803"/>
      <c r="G49" s="803"/>
      <c r="H49" s="803"/>
      <c r="I49" s="803"/>
      <c r="J49" s="803"/>
      <c r="K49" s="803"/>
      <c r="L49" s="803"/>
      <c r="M49" s="803"/>
      <c r="N49" s="810"/>
      <c r="O49" s="873"/>
    </row>
    <row r="50" spans="2:15">
      <c r="B50" s="809"/>
      <c r="C50" s="803"/>
      <c r="D50" s="803"/>
      <c r="E50" s="803"/>
      <c r="F50" s="803"/>
      <c r="G50" s="803"/>
      <c r="H50" s="803"/>
      <c r="I50" s="803"/>
      <c r="J50" s="803"/>
      <c r="K50" s="803"/>
      <c r="L50" s="803"/>
      <c r="M50" s="803"/>
      <c r="N50" s="810"/>
      <c r="O50" s="873"/>
    </row>
    <row r="51" spans="2:15">
      <c r="B51" s="809"/>
      <c r="C51" s="803"/>
      <c r="D51" s="803"/>
      <c r="E51" s="803"/>
      <c r="F51" s="803"/>
      <c r="G51" s="803"/>
      <c r="H51" s="803"/>
      <c r="I51" s="803"/>
      <c r="J51" s="803"/>
      <c r="K51" s="803"/>
      <c r="L51" s="803"/>
      <c r="M51" s="803"/>
      <c r="N51" s="810"/>
      <c r="O51" s="873"/>
    </row>
    <row r="52" spans="2:15">
      <c r="B52" s="809"/>
      <c r="C52" s="803"/>
      <c r="D52" s="803"/>
      <c r="E52" s="803"/>
      <c r="F52" s="803"/>
      <c r="G52" s="803"/>
      <c r="H52" s="803"/>
      <c r="I52" s="803"/>
      <c r="J52" s="803"/>
      <c r="K52" s="803"/>
      <c r="L52" s="803"/>
      <c r="M52" s="803"/>
      <c r="N52" s="810"/>
      <c r="O52" s="873"/>
    </row>
    <row r="53" spans="2:15">
      <c r="B53" s="809"/>
      <c r="C53" s="803"/>
      <c r="D53" s="803"/>
      <c r="E53" s="803"/>
      <c r="F53" s="803"/>
      <c r="G53" s="803"/>
      <c r="H53" s="803"/>
      <c r="I53" s="803"/>
      <c r="J53" s="803"/>
      <c r="K53" s="803"/>
      <c r="L53" s="803"/>
      <c r="M53" s="803"/>
      <c r="N53" s="810"/>
      <c r="O53" s="873"/>
    </row>
    <row r="54" spans="2:15">
      <c r="B54" s="809"/>
      <c r="C54" s="803"/>
      <c r="D54" s="803"/>
      <c r="E54" s="803"/>
      <c r="F54" s="803"/>
      <c r="G54" s="803"/>
      <c r="H54" s="803"/>
      <c r="I54" s="803"/>
      <c r="J54" s="803"/>
      <c r="K54" s="803"/>
      <c r="L54" s="803"/>
      <c r="M54" s="803"/>
      <c r="N54" s="810"/>
      <c r="O54" s="873"/>
    </row>
    <row r="55" spans="2:15">
      <c r="B55" s="809"/>
      <c r="C55" s="803"/>
      <c r="D55" s="803"/>
      <c r="E55" s="803"/>
      <c r="F55" s="803"/>
      <c r="G55" s="803"/>
      <c r="H55" s="803"/>
      <c r="I55" s="803"/>
      <c r="J55" s="803"/>
      <c r="K55" s="803"/>
      <c r="L55" s="803"/>
      <c r="M55" s="803"/>
      <c r="N55" s="810"/>
      <c r="O55" s="873"/>
    </row>
    <row r="56" spans="2:15">
      <c r="B56" s="809"/>
      <c r="C56" s="803"/>
      <c r="D56" s="803"/>
      <c r="E56" s="803"/>
      <c r="F56" s="803"/>
      <c r="G56" s="803"/>
      <c r="H56" s="803"/>
      <c r="I56" s="803"/>
      <c r="J56" s="803"/>
      <c r="K56" s="803"/>
      <c r="L56" s="803"/>
      <c r="M56" s="803"/>
      <c r="N56" s="810"/>
      <c r="O56" s="873"/>
    </row>
    <row r="57" spans="2:15">
      <c r="B57" s="809"/>
      <c r="C57" s="803"/>
      <c r="D57" s="803"/>
      <c r="E57" s="803"/>
      <c r="F57" s="803"/>
      <c r="G57" s="803"/>
      <c r="H57" s="803"/>
      <c r="I57" s="803"/>
      <c r="J57" s="803"/>
      <c r="K57" s="803"/>
      <c r="L57" s="803"/>
      <c r="M57" s="803"/>
      <c r="N57" s="810"/>
      <c r="O57" s="873"/>
    </row>
    <row r="58" spans="2:15">
      <c r="B58" s="809"/>
      <c r="C58" s="803"/>
      <c r="D58" s="803"/>
      <c r="E58" s="803"/>
      <c r="F58" s="803"/>
      <c r="G58" s="803"/>
      <c r="H58" s="803"/>
      <c r="I58" s="803"/>
      <c r="J58" s="803"/>
      <c r="K58" s="803"/>
      <c r="L58" s="803"/>
      <c r="M58" s="803"/>
      <c r="N58" s="810"/>
      <c r="O58" s="873"/>
    </row>
    <row r="59" spans="2:15">
      <c r="B59" s="809"/>
      <c r="C59" s="803"/>
      <c r="D59" s="803"/>
      <c r="E59" s="803"/>
      <c r="F59" s="803"/>
      <c r="G59" s="803"/>
      <c r="H59" s="803"/>
      <c r="I59" s="803"/>
      <c r="J59" s="803"/>
      <c r="K59" s="803"/>
      <c r="L59" s="803"/>
      <c r="M59" s="803"/>
      <c r="N59" s="810"/>
      <c r="O59" s="873"/>
    </row>
    <row r="60" spans="2:15">
      <c r="B60" s="809"/>
      <c r="C60" s="803"/>
      <c r="D60" s="803"/>
      <c r="E60" s="803"/>
      <c r="F60" s="803"/>
      <c r="G60" s="803"/>
      <c r="H60" s="803"/>
      <c r="I60" s="803"/>
      <c r="J60" s="803"/>
      <c r="K60" s="803"/>
      <c r="L60" s="803"/>
      <c r="M60" s="803"/>
      <c r="N60" s="810"/>
      <c r="O60" s="873"/>
    </row>
    <row r="61" spans="2:15">
      <c r="B61" s="809"/>
      <c r="C61" s="803"/>
      <c r="D61" s="803"/>
      <c r="E61" s="803"/>
      <c r="F61" s="803"/>
      <c r="G61" s="803"/>
      <c r="H61" s="803"/>
      <c r="I61" s="803"/>
      <c r="J61" s="803"/>
      <c r="K61" s="803"/>
      <c r="L61" s="803"/>
      <c r="M61" s="803"/>
      <c r="N61" s="810"/>
      <c r="O61" s="873"/>
    </row>
    <row r="62" spans="2:15">
      <c r="B62" s="809"/>
      <c r="C62" s="803"/>
      <c r="D62" s="803"/>
      <c r="E62" s="803"/>
      <c r="F62" s="803"/>
      <c r="G62" s="803"/>
      <c r="H62" s="803"/>
      <c r="I62" s="803"/>
      <c r="J62" s="803"/>
      <c r="K62" s="803"/>
      <c r="L62" s="803"/>
      <c r="M62" s="803"/>
      <c r="N62" s="810"/>
      <c r="O62" s="873"/>
    </row>
    <row r="63" spans="2:15">
      <c r="B63" s="809"/>
      <c r="C63" s="803"/>
      <c r="D63" s="803"/>
      <c r="E63" s="803"/>
      <c r="F63" s="803"/>
      <c r="G63" s="803"/>
      <c r="H63" s="803"/>
      <c r="I63" s="803"/>
      <c r="J63" s="803"/>
      <c r="K63" s="803"/>
      <c r="L63" s="803"/>
      <c r="M63" s="803"/>
      <c r="N63" s="810"/>
      <c r="O63" s="873"/>
    </row>
    <row r="64" spans="2:15">
      <c r="B64" s="809"/>
      <c r="C64" s="803"/>
      <c r="D64" s="803"/>
      <c r="E64" s="803"/>
      <c r="F64" s="803"/>
      <c r="G64" s="803"/>
      <c r="H64" s="803"/>
      <c r="I64" s="803"/>
      <c r="J64" s="803"/>
      <c r="K64" s="803"/>
      <c r="L64" s="803"/>
      <c r="M64" s="803"/>
      <c r="N64" s="810"/>
      <c r="O64" s="873"/>
    </row>
    <row r="65" spans="2:15">
      <c r="B65" s="809"/>
      <c r="C65" s="803"/>
      <c r="D65" s="803"/>
      <c r="E65" s="803"/>
      <c r="F65" s="803"/>
      <c r="G65" s="803"/>
      <c r="H65" s="803"/>
      <c r="I65" s="803"/>
      <c r="J65" s="803"/>
      <c r="K65" s="803"/>
      <c r="L65" s="803"/>
      <c r="M65" s="803"/>
      <c r="N65" s="810"/>
      <c r="O65" s="873"/>
    </row>
    <row r="66" spans="2:15">
      <c r="B66" s="809"/>
      <c r="C66" s="803"/>
      <c r="D66" s="803"/>
      <c r="E66" s="803"/>
      <c r="F66" s="803"/>
      <c r="G66" s="803"/>
      <c r="H66" s="803"/>
      <c r="I66" s="803"/>
      <c r="J66" s="803"/>
      <c r="K66" s="803"/>
      <c r="L66" s="803"/>
      <c r="M66" s="803"/>
      <c r="N66" s="810"/>
      <c r="O66" s="873"/>
    </row>
    <row r="67" spans="2:15">
      <c r="B67" s="809"/>
      <c r="C67" s="803"/>
      <c r="D67" s="803"/>
      <c r="E67" s="803"/>
      <c r="F67" s="803"/>
      <c r="G67" s="803"/>
      <c r="H67" s="803"/>
      <c r="I67" s="803"/>
      <c r="J67" s="803"/>
      <c r="K67" s="803"/>
      <c r="L67" s="803"/>
      <c r="M67" s="803"/>
      <c r="N67" s="810"/>
      <c r="O67" s="873"/>
    </row>
    <row r="68" spans="2:15">
      <c r="B68" s="809"/>
      <c r="C68" s="803"/>
      <c r="D68" s="803"/>
      <c r="E68" s="803"/>
      <c r="F68" s="803"/>
      <c r="G68" s="803"/>
      <c r="H68" s="803"/>
      <c r="I68" s="803"/>
      <c r="J68" s="803"/>
      <c r="K68" s="803"/>
      <c r="L68" s="803"/>
      <c r="M68" s="803"/>
      <c r="N68" s="810"/>
      <c r="O68" s="873"/>
    </row>
    <row r="69" spans="2:15">
      <c r="B69" s="809"/>
      <c r="C69" s="803"/>
      <c r="D69" s="803"/>
      <c r="E69" s="803"/>
      <c r="F69" s="803"/>
      <c r="G69" s="803"/>
      <c r="H69" s="803"/>
      <c r="I69" s="803"/>
      <c r="J69" s="803"/>
      <c r="K69" s="803"/>
      <c r="L69" s="803"/>
      <c r="M69" s="803"/>
      <c r="N69" s="810"/>
      <c r="O69" s="873"/>
    </row>
    <row r="70" spans="2:15" ht="12.75" thickBot="1">
      <c r="B70" s="811"/>
      <c r="C70" s="812"/>
      <c r="D70" s="812"/>
      <c r="E70" s="812"/>
      <c r="F70" s="812"/>
      <c r="G70" s="812"/>
      <c r="H70" s="812"/>
      <c r="I70" s="812"/>
      <c r="J70" s="812"/>
      <c r="K70" s="812"/>
      <c r="L70" s="812"/>
      <c r="M70" s="812"/>
      <c r="N70" s="813"/>
      <c r="O70" s="873"/>
    </row>
    <row r="71" spans="2:15">
      <c r="O71" s="873"/>
    </row>
    <row r="72" spans="2:15">
      <c r="O72" s="873"/>
    </row>
  </sheetData>
  <mergeCells count="3">
    <mergeCell ref="B2:M2"/>
    <mergeCell ref="F8:G8"/>
    <mergeCell ref="J8:K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B2:D17"/>
  <sheetViews>
    <sheetView workbookViewId="0">
      <selection activeCell="B2" sqref="B2:D17"/>
    </sheetView>
  </sheetViews>
  <sheetFormatPr baseColWidth="10" defaultRowHeight="12.75"/>
  <cols>
    <col min="1" max="1" width="2.140625" customWidth="1"/>
    <col min="2" max="2" width="53.28515625" customWidth="1"/>
  </cols>
  <sheetData>
    <row r="2" spans="2:4" ht="15">
      <c r="B2" s="814" t="s">
        <v>757</v>
      </c>
    </row>
    <row r="3" spans="2:4">
      <c r="B3" s="911" t="s">
        <v>824</v>
      </c>
    </row>
    <row r="4" spans="2:4" s="816" customFormat="1" ht="15">
      <c r="B4" s="815" t="s">
        <v>758</v>
      </c>
      <c r="C4" s="815">
        <v>2016</v>
      </c>
      <c r="D4" s="815">
        <v>2017</v>
      </c>
    </row>
    <row r="5" spans="2:4">
      <c r="B5" s="817" t="s">
        <v>759</v>
      </c>
      <c r="C5" s="818"/>
      <c r="D5" s="818"/>
    </row>
    <row r="6" spans="2:4" ht="15">
      <c r="B6" s="819" t="s">
        <v>760</v>
      </c>
      <c r="C6" s="818"/>
      <c r="D6" s="818"/>
    </row>
    <row r="7" spans="2:4" ht="15">
      <c r="B7" s="820" t="s">
        <v>145</v>
      </c>
      <c r="C7" s="821">
        <f>SUM(C5:C6)</f>
        <v>0</v>
      </c>
      <c r="D7" s="821">
        <f>SUM(D5:D6)</f>
        <v>0</v>
      </c>
    </row>
    <row r="8" spans="2:4" ht="15">
      <c r="B8" s="822"/>
      <c r="C8" s="823"/>
      <c r="D8" s="823"/>
    </row>
    <row r="11" spans="2:4" s="825" customFormat="1" ht="15">
      <c r="B11" s="824" t="s">
        <v>761</v>
      </c>
      <c r="C11" s="824">
        <v>2016</v>
      </c>
      <c r="D11" s="824">
        <v>2017</v>
      </c>
    </row>
    <row r="12" spans="2:4">
      <c r="B12" s="826" t="s">
        <v>762</v>
      </c>
      <c r="C12" s="827"/>
      <c r="D12" s="827"/>
    </row>
    <row r="13" spans="2:4">
      <c r="B13" s="826" t="s">
        <v>763</v>
      </c>
      <c r="C13" s="827"/>
      <c r="D13" s="827"/>
    </row>
    <row r="14" spans="2:4" ht="15">
      <c r="B14" s="826" t="s">
        <v>764</v>
      </c>
      <c r="C14" s="827"/>
      <c r="D14" s="827"/>
    </row>
    <row r="15" spans="2:4">
      <c r="B15" s="826" t="s">
        <v>765</v>
      </c>
      <c r="C15" s="827"/>
      <c r="D15" s="827"/>
    </row>
    <row r="16" spans="2:4" ht="30">
      <c r="B16" s="817" t="s">
        <v>766</v>
      </c>
      <c r="C16" s="827"/>
      <c r="D16" s="827"/>
    </row>
    <row r="17" spans="2:4" ht="15">
      <c r="B17" s="820" t="s">
        <v>145</v>
      </c>
      <c r="C17" s="821">
        <f>SUM(C12:C16)</f>
        <v>0</v>
      </c>
      <c r="D17" s="821">
        <f>SUM(D12:D16)</f>
        <v>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B2:F20"/>
  <sheetViews>
    <sheetView workbookViewId="0">
      <selection activeCell="E28" sqref="E28"/>
    </sheetView>
  </sheetViews>
  <sheetFormatPr baseColWidth="10" defaultRowHeight="12.75"/>
  <cols>
    <col min="1" max="1" width="2.140625" customWidth="1"/>
    <col min="2" max="2" width="18.7109375" customWidth="1"/>
    <col min="4" max="4" width="13.140625" customWidth="1"/>
    <col min="6" max="6" width="38.42578125" customWidth="1"/>
  </cols>
  <sheetData>
    <row r="2" spans="2:6" ht="13.5" thickBot="1"/>
    <row r="3" spans="2:6" ht="15.75" thickBot="1">
      <c r="B3" s="828" t="s">
        <v>767</v>
      </c>
      <c r="C3" s="829"/>
      <c r="D3" s="829"/>
      <c r="E3" s="829"/>
      <c r="F3" s="830"/>
    </row>
    <row r="4" spans="2:6">
      <c r="B4" s="911" t="s">
        <v>824</v>
      </c>
    </row>
    <row r="5" spans="2:6" ht="13.5" thickBot="1"/>
    <row r="6" spans="2:6" s="825" customFormat="1" ht="15.75" thickBot="1">
      <c r="D6" s="831">
        <v>2017</v>
      </c>
      <c r="E6" s="832">
        <v>2016</v>
      </c>
      <c r="F6" s="833" t="s">
        <v>345</v>
      </c>
    </row>
    <row r="7" spans="2:6" ht="15">
      <c r="B7" s="834" t="s">
        <v>768</v>
      </c>
      <c r="C7" s="835"/>
      <c r="D7" s="888">
        <v>256851.40239999996</v>
      </c>
      <c r="E7" s="888">
        <v>62579.595599999993</v>
      </c>
      <c r="F7" s="877" t="s">
        <v>808</v>
      </c>
    </row>
    <row r="8" spans="2:6" ht="15">
      <c r="B8" s="836" t="s">
        <v>744</v>
      </c>
      <c r="C8" s="837"/>
      <c r="D8" s="889">
        <v>1074.9744000000001</v>
      </c>
      <c r="E8" s="889">
        <v>1074.9744000000001</v>
      </c>
      <c r="F8" s="878"/>
    </row>
    <row r="9" spans="2:6" ht="15">
      <c r="B9" s="836" t="s">
        <v>751</v>
      </c>
      <c r="C9" s="837"/>
      <c r="D9" s="889">
        <v>0</v>
      </c>
      <c r="E9" s="889">
        <v>0</v>
      </c>
      <c r="F9" s="878"/>
    </row>
    <row r="10" spans="2:6" ht="15">
      <c r="B10" s="838" t="s">
        <v>769</v>
      </c>
      <c r="C10" s="839"/>
      <c r="D10" s="890"/>
      <c r="E10" s="890"/>
      <c r="F10" s="879"/>
    </row>
    <row r="11" spans="2:6" ht="15.75" thickBot="1">
      <c r="B11" s="840" t="s">
        <v>770</v>
      </c>
      <c r="C11" s="839"/>
      <c r="D11" s="890">
        <v>20985.730223999999</v>
      </c>
      <c r="E11" s="890">
        <v>15558.74</v>
      </c>
      <c r="F11" s="880"/>
    </row>
    <row r="12" spans="2:6" ht="15.75" thickBot="1">
      <c r="B12" s="814"/>
      <c r="C12" s="841" t="s">
        <v>145</v>
      </c>
      <c r="D12" s="881">
        <f>SUM(D7:D11)</f>
        <v>278912.10702399997</v>
      </c>
      <c r="E12" s="882">
        <f>SUM(E7:E11)</f>
        <v>79213.31</v>
      </c>
    </row>
    <row r="13" spans="2:6" ht="15.75" thickBot="1">
      <c r="B13" s="814"/>
      <c r="C13" s="814"/>
    </row>
    <row r="14" spans="2:6" ht="13.5" thickBot="1">
      <c r="B14" s="903" t="s">
        <v>822</v>
      </c>
      <c r="C14" s="829"/>
      <c r="D14" s="830"/>
      <c r="E14" s="904">
        <f>(D12-E12)/E12</f>
        <v>2.5210257849848716</v>
      </c>
    </row>
    <row r="15" spans="2:6" ht="15">
      <c r="B15" s="814"/>
      <c r="C15" s="814"/>
    </row>
    <row r="18" spans="5:6">
      <c r="F18" s="695"/>
    </row>
    <row r="20" spans="5:6">
      <c r="E20" s="69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B1:G66"/>
  <sheetViews>
    <sheetView zoomScale="75" zoomScaleNormal="75" workbookViewId="0">
      <selection activeCell="B2" sqref="B2:E63"/>
    </sheetView>
  </sheetViews>
  <sheetFormatPr baseColWidth="10" defaultColWidth="11.5703125" defaultRowHeight="12.75"/>
  <cols>
    <col min="1" max="1" width="11.5703125" style="214"/>
    <col min="2" max="2" width="75" style="214" customWidth="1"/>
    <col min="3" max="3" width="15.7109375" style="214" customWidth="1"/>
    <col min="4" max="4" width="72.140625" style="214" customWidth="1"/>
    <col min="5" max="5" width="20" style="214" customWidth="1"/>
    <col min="6" max="6" width="11.5703125" style="214"/>
    <col min="7" max="7" width="11.85546875" style="214" bestFit="1" customWidth="1"/>
    <col min="8" max="16384" width="11.5703125" style="214"/>
  </cols>
  <sheetData>
    <row r="1" spans="2:7" ht="13.5" thickBot="1"/>
    <row r="2" spans="2:7" ht="49.9" customHeight="1">
      <c r="B2" s="1305" t="s">
        <v>530</v>
      </c>
      <c r="C2" s="1306"/>
      <c r="D2" s="1307"/>
      <c r="E2" s="236">
        <f>CPYG!E2</f>
        <v>2017</v>
      </c>
    </row>
    <row r="3" spans="2:7" ht="43.15" customHeight="1">
      <c r="B3" s="1308" t="str">
        <f>CPYG!B3</f>
        <v>ENTIDAD: INSTITUTO VOLCANOLOGICO DE CANARIAS</v>
      </c>
      <c r="C3" s="1309"/>
      <c r="D3" s="1310"/>
      <c r="E3" s="326" t="s">
        <v>205</v>
      </c>
    </row>
    <row r="4" spans="2:7" s="133" customFormat="1" ht="25.15" customHeight="1">
      <c r="B4" s="1311" t="s">
        <v>721</v>
      </c>
      <c r="C4" s="1312"/>
      <c r="D4" s="1312"/>
      <c r="E4" s="1313"/>
    </row>
    <row r="5" spans="2:7" s="133" customFormat="1" ht="16.899999999999999" customHeight="1">
      <c r="B5" s="1314" t="s">
        <v>122</v>
      </c>
      <c r="C5" s="1315"/>
      <c r="D5" s="1316" t="s">
        <v>124</v>
      </c>
      <c r="E5" s="1317"/>
    </row>
    <row r="6" spans="2:7" s="133" customFormat="1" ht="19.899999999999999" customHeight="1">
      <c r="B6" s="664" t="s">
        <v>123</v>
      </c>
      <c r="C6" s="320" t="s">
        <v>120</v>
      </c>
      <c r="D6" s="320" t="s">
        <v>123</v>
      </c>
      <c r="E6" s="665" t="s">
        <v>120</v>
      </c>
    </row>
    <row r="7" spans="2:7" s="133" customFormat="1" ht="19.899999999999999" customHeight="1">
      <c r="B7" s="329" t="s">
        <v>147</v>
      </c>
      <c r="C7" s="321"/>
      <c r="D7" s="322" t="s">
        <v>147</v>
      </c>
      <c r="E7" s="331"/>
    </row>
    <row r="8" spans="2:7" s="230" customFormat="1" ht="19.899999999999999" customHeight="1">
      <c r="B8" s="660" t="s">
        <v>148</v>
      </c>
      <c r="C8" s="323"/>
      <c r="D8" s="852" t="s">
        <v>148</v>
      </c>
      <c r="E8" s="663"/>
    </row>
    <row r="9" spans="2:7" s="230" customFormat="1" ht="19.899999999999999" customHeight="1">
      <c r="B9" s="660" t="s">
        <v>149</v>
      </c>
      <c r="C9" s="323"/>
      <c r="D9" s="852" t="s">
        <v>149</v>
      </c>
      <c r="E9" s="663"/>
    </row>
    <row r="10" spans="2:7" s="230" customFormat="1" ht="19.899999999999999" customHeight="1">
      <c r="B10" s="660" t="s">
        <v>150</v>
      </c>
      <c r="C10" s="323"/>
      <c r="D10" s="852" t="s">
        <v>150</v>
      </c>
      <c r="E10" s="663"/>
    </row>
    <row r="11" spans="2:7" s="230" customFormat="1" ht="19.899999999999999" customHeight="1">
      <c r="B11" s="660" t="s">
        <v>151</v>
      </c>
      <c r="C11" s="323"/>
      <c r="D11" s="852" t="s">
        <v>151</v>
      </c>
      <c r="E11" s="663"/>
    </row>
    <row r="12" spans="2:7" s="230" customFormat="1" ht="19.899999999999999" customHeight="1">
      <c r="B12" s="660" t="s">
        <v>529</v>
      </c>
      <c r="C12" s="323"/>
      <c r="D12" s="852" t="s">
        <v>529</v>
      </c>
      <c r="E12" s="663"/>
    </row>
    <row r="13" spans="2:7" s="230" customFormat="1" ht="19.899999999999999" customHeight="1">
      <c r="B13" s="660" t="s">
        <v>722</v>
      </c>
      <c r="C13" s="323"/>
      <c r="D13" s="852" t="s">
        <v>722</v>
      </c>
      <c r="E13" s="663"/>
    </row>
    <row r="14" spans="2:7" s="230" customFormat="1" ht="19.899999999999999" customHeight="1">
      <c r="B14" s="660" t="s">
        <v>184</v>
      </c>
      <c r="C14" s="323"/>
      <c r="D14" s="852" t="s">
        <v>184</v>
      </c>
      <c r="E14" s="663"/>
    </row>
    <row r="15" spans="2:7" s="230" customFormat="1" ht="19.899999999999999" customHeight="1">
      <c r="B15" s="660" t="s">
        <v>152</v>
      </c>
      <c r="C15" s="842"/>
      <c r="D15" s="852" t="s">
        <v>152</v>
      </c>
      <c r="E15" s="848"/>
      <c r="G15" s="843"/>
    </row>
    <row r="16" spans="2:7" s="230" customFormat="1" ht="19.899999999999999" customHeight="1">
      <c r="B16" s="660" t="s">
        <v>153</v>
      </c>
      <c r="C16" s="842"/>
      <c r="D16" s="852" t="s">
        <v>153</v>
      </c>
      <c r="E16" s="848"/>
    </row>
    <row r="17" spans="2:5" s="230" customFormat="1" ht="19.899999999999999" customHeight="1">
      <c r="B17" s="660" t="s">
        <v>154</v>
      </c>
      <c r="C17" s="842"/>
      <c r="D17" s="852" t="s">
        <v>154</v>
      </c>
      <c r="E17" s="848"/>
    </row>
    <row r="18" spans="2:5" s="230" customFormat="1" ht="19.899999999999999" customHeight="1">
      <c r="B18" s="660" t="s">
        <v>156</v>
      </c>
      <c r="C18" s="842"/>
      <c r="D18" s="852" t="s">
        <v>156</v>
      </c>
      <c r="E18" s="663"/>
    </row>
    <row r="19" spans="2:5" s="230" customFormat="1" ht="19.899999999999999" customHeight="1">
      <c r="B19" s="660" t="s">
        <v>155</v>
      </c>
      <c r="C19" s="323"/>
      <c r="D19" s="852" t="s">
        <v>155</v>
      </c>
      <c r="E19" s="663"/>
    </row>
    <row r="20" spans="2:5" s="230" customFormat="1" ht="19.899999999999999" customHeight="1">
      <c r="B20" s="660" t="s">
        <v>723</v>
      </c>
      <c r="C20" s="323"/>
      <c r="D20" s="852" t="s">
        <v>724</v>
      </c>
      <c r="E20" s="663"/>
    </row>
    <row r="21" spans="2:5" s="230" customFormat="1" ht="19.899999999999999" customHeight="1">
      <c r="B21" s="660" t="s">
        <v>157</v>
      </c>
      <c r="C21" s="323"/>
      <c r="D21" s="852" t="s">
        <v>157</v>
      </c>
      <c r="E21" s="663"/>
    </row>
    <row r="22" spans="2:5" s="230" customFormat="1" ht="19.899999999999999" customHeight="1">
      <c r="B22" s="660" t="s">
        <v>725</v>
      </c>
      <c r="C22" s="323"/>
      <c r="D22" s="852" t="s">
        <v>725</v>
      </c>
      <c r="E22" s="663"/>
    </row>
    <row r="23" spans="2:5" s="230" customFormat="1" ht="19.899999999999999" customHeight="1">
      <c r="B23" s="660" t="s">
        <v>160</v>
      </c>
      <c r="C23" s="323"/>
      <c r="D23" s="852" t="s">
        <v>160</v>
      </c>
      <c r="E23" s="663"/>
    </row>
    <row r="24" spans="2:5" s="230" customFormat="1" ht="19.899999999999999" customHeight="1">
      <c r="B24" s="660" t="s">
        <v>726</v>
      </c>
      <c r="C24" s="323"/>
      <c r="D24" s="852" t="s">
        <v>726</v>
      </c>
      <c r="E24" s="663"/>
    </row>
    <row r="25" spans="2:5" s="230" customFormat="1" ht="19.899999999999999" customHeight="1">
      <c r="B25" s="660" t="s">
        <v>727</v>
      </c>
      <c r="C25" s="323"/>
      <c r="D25" s="852" t="s">
        <v>727</v>
      </c>
      <c r="E25" s="663"/>
    </row>
    <row r="26" spans="2:5" s="230" customFormat="1" ht="19.5" customHeight="1">
      <c r="B26" s="660" t="s">
        <v>159</v>
      </c>
      <c r="C26" s="323"/>
      <c r="D26" s="852" t="s">
        <v>159</v>
      </c>
      <c r="E26" s="663"/>
    </row>
    <row r="27" spans="2:5" s="230" customFormat="1" ht="19.899999999999999" customHeight="1">
      <c r="B27" s="660" t="s">
        <v>728</v>
      </c>
      <c r="C27" s="323"/>
      <c r="D27" s="852" t="s">
        <v>728</v>
      </c>
      <c r="E27" s="663">
        <f>21704+120000</f>
        <v>141704</v>
      </c>
    </row>
    <row r="28" spans="2:5" s="230" customFormat="1" ht="19.899999999999999" customHeight="1">
      <c r="B28" s="660" t="s">
        <v>729</v>
      </c>
      <c r="C28" s="323"/>
      <c r="D28" s="852" t="s">
        <v>729</v>
      </c>
      <c r="E28" s="663"/>
    </row>
    <row r="29" spans="2:5" s="230" customFormat="1" ht="19.899999999999999" customHeight="1">
      <c r="B29" s="660" t="s">
        <v>730</v>
      </c>
      <c r="C29" s="323"/>
      <c r="D29" s="852" t="s">
        <v>730</v>
      </c>
      <c r="E29" s="663"/>
    </row>
    <row r="30" spans="2:5" s="230" customFormat="1" ht="19.899999999999999" customHeight="1">
      <c r="B30" s="660" t="s">
        <v>731</v>
      </c>
      <c r="C30" s="323">
        <v>7000</v>
      </c>
      <c r="D30" s="852" t="s">
        <v>731</v>
      </c>
      <c r="E30" s="663"/>
    </row>
    <row r="31" spans="2:5" s="230" customFormat="1" ht="29.45" customHeight="1">
      <c r="B31" s="849" t="s">
        <v>373</v>
      </c>
      <c r="C31" s="323"/>
      <c r="D31" s="852" t="s">
        <v>373</v>
      </c>
      <c r="E31" s="663"/>
    </row>
    <row r="32" spans="2:5" s="230" customFormat="1" ht="29.45" customHeight="1">
      <c r="B32" s="849" t="s">
        <v>185</v>
      </c>
      <c r="C32" s="323"/>
      <c r="D32" s="852" t="s">
        <v>185</v>
      </c>
      <c r="E32" s="663"/>
    </row>
    <row r="33" spans="2:5" s="230" customFormat="1" ht="29.45" customHeight="1">
      <c r="B33" s="849" t="s">
        <v>191</v>
      </c>
      <c r="C33" s="323"/>
      <c r="D33" s="852" t="s">
        <v>191</v>
      </c>
      <c r="E33" s="663"/>
    </row>
    <row r="34" spans="2:5" s="230" customFormat="1" ht="29.45" customHeight="1">
      <c r="B34" s="849" t="s">
        <v>772</v>
      </c>
      <c r="C34" s="323"/>
      <c r="D34" s="853" t="s">
        <v>772</v>
      </c>
      <c r="E34" s="663"/>
    </row>
    <row r="35" spans="2:5" s="230" customFormat="1" ht="29.45" customHeight="1">
      <c r="B35" s="849" t="s">
        <v>773</v>
      </c>
      <c r="C35" s="323"/>
      <c r="D35" s="853" t="s">
        <v>773</v>
      </c>
      <c r="E35" s="663"/>
    </row>
    <row r="36" spans="2:5" s="230" customFormat="1" ht="29.45" customHeight="1">
      <c r="B36" s="849" t="s">
        <v>771</v>
      </c>
      <c r="C36" s="323"/>
      <c r="D36" s="853" t="s">
        <v>771</v>
      </c>
      <c r="E36" s="663"/>
    </row>
    <row r="37" spans="2:5" s="230" customFormat="1" ht="29.45" customHeight="1">
      <c r="B37" s="849" t="s">
        <v>679</v>
      </c>
      <c r="C37" s="323"/>
      <c r="D37" s="852" t="str">
        <f>B37</f>
        <v>FUNDACION TENERIFE RURAL</v>
      </c>
      <c r="E37" s="663"/>
    </row>
    <row r="38" spans="2:5" s="230" customFormat="1" ht="29.45" customHeight="1">
      <c r="B38" s="849" t="s">
        <v>187</v>
      </c>
      <c r="C38" s="323"/>
      <c r="D38" s="852" t="s">
        <v>187</v>
      </c>
      <c r="E38" s="663"/>
    </row>
    <row r="39" spans="2:5" s="230" customFormat="1" ht="22.9" customHeight="1">
      <c r="B39" s="849" t="s">
        <v>186</v>
      </c>
      <c r="C39" s="323"/>
      <c r="D39" s="852" t="s">
        <v>186</v>
      </c>
      <c r="E39" s="663"/>
    </row>
    <row r="40" spans="2:5" s="230" customFormat="1" ht="29.45" customHeight="1">
      <c r="B40" s="849" t="s">
        <v>188</v>
      </c>
      <c r="C40" s="323"/>
      <c r="D40" s="852" t="s">
        <v>188</v>
      </c>
      <c r="E40" s="663"/>
    </row>
    <row r="41" spans="2:5" s="133" customFormat="1" ht="29.45" customHeight="1">
      <c r="B41" s="666" t="s">
        <v>774</v>
      </c>
      <c r="C41" s="321"/>
      <c r="D41" s="851" t="s">
        <v>774</v>
      </c>
      <c r="E41" s="331"/>
    </row>
    <row r="42" spans="2:5" s="133" customFormat="1" ht="29.45" customHeight="1">
      <c r="B42" s="666" t="s">
        <v>780</v>
      </c>
      <c r="C42" s="321"/>
      <c r="D42" s="851" t="s">
        <v>780</v>
      </c>
      <c r="E42" s="331"/>
    </row>
    <row r="43" spans="2:5" s="133" customFormat="1" ht="29.45" customHeight="1">
      <c r="B43" s="666" t="s">
        <v>781</v>
      </c>
      <c r="C43" s="321"/>
      <c r="D43" s="851" t="s">
        <v>781</v>
      </c>
      <c r="E43" s="331"/>
    </row>
    <row r="44" spans="2:5" s="133" customFormat="1" ht="29.45" customHeight="1">
      <c r="B44" s="666" t="s">
        <v>782</v>
      </c>
      <c r="C44" s="321"/>
      <c r="D44" s="851" t="s">
        <v>782</v>
      </c>
      <c r="E44" s="331"/>
    </row>
    <row r="45" spans="2:5" s="133" customFormat="1" ht="29.45" customHeight="1" thickBot="1">
      <c r="B45" s="844" t="s">
        <v>783</v>
      </c>
      <c r="C45" s="845"/>
      <c r="D45" s="847" t="s">
        <v>783</v>
      </c>
      <c r="E45" s="846"/>
    </row>
    <row r="46" spans="2:5" s="133" customFormat="1" ht="33.6" customHeight="1" thickBot="1">
      <c r="B46" s="854" t="s">
        <v>145</v>
      </c>
      <c r="C46" s="855">
        <f>SUM(C7:C45)</f>
        <v>7000</v>
      </c>
      <c r="D46" s="856" t="s">
        <v>145</v>
      </c>
      <c r="E46" s="857">
        <f>SUM(E7:E45)</f>
        <v>141704</v>
      </c>
    </row>
    <row r="47" spans="2:5">
      <c r="C47" s="324"/>
    </row>
    <row r="48" spans="2:5" ht="13.5" thickBot="1"/>
    <row r="49" spans="2:5" ht="25.15" customHeight="1" thickBot="1">
      <c r="B49" s="1302" t="s">
        <v>189</v>
      </c>
      <c r="C49" s="1303"/>
      <c r="D49" s="1303"/>
      <c r="E49" s="1304"/>
    </row>
    <row r="50" spans="2:5" ht="20.45" customHeight="1" thickBot="1">
      <c r="B50" s="1302" t="s">
        <v>721</v>
      </c>
      <c r="C50" s="1303"/>
      <c r="D50" s="1303"/>
      <c r="E50" s="1304"/>
    </row>
    <row r="51" spans="2:5" ht="18.600000000000001" customHeight="1">
      <c r="B51" s="1319" t="s">
        <v>122</v>
      </c>
      <c r="C51" s="1320"/>
      <c r="D51" s="1321" t="s">
        <v>124</v>
      </c>
      <c r="E51" s="1322"/>
    </row>
    <row r="52" spans="2:5" ht="19.899999999999999" customHeight="1">
      <c r="B52" s="664" t="s">
        <v>123</v>
      </c>
      <c r="C52" s="320" t="s">
        <v>120</v>
      </c>
      <c r="D52" s="320" t="s">
        <v>123</v>
      </c>
      <c r="E52" s="665" t="s">
        <v>120</v>
      </c>
    </row>
    <row r="53" spans="2:5" ht="23.45" customHeight="1">
      <c r="B53" s="329" t="s">
        <v>775</v>
      </c>
      <c r="C53" s="320"/>
      <c r="D53" s="850" t="s">
        <v>775</v>
      </c>
      <c r="E53" s="665"/>
    </row>
    <row r="54" spans="2:5" ht="23.45" customHeight="1">
      <c r="B54" s="666" t="s">
        <v>190</v>
      </c>
      <c r="C54" s="320"/>
      <c r="D54" s="851" t="s">
        <v>190</v>
      </c>
      <c r="E54" s="665"/>
    </row>
    <row r="55" spans="2:5" ht="25.9" customHeight="1">
      <c r="B55" s="666" t="s">
        <v>776</v>
      </c>
      <c r="C55" s="320"/>
      <c r="D55" s="851" t="s">
        <v>776</v>
      </c>
      <c r="E55" s="665"/>
    </row>
    <row r="56" spans="2:5" s="133" customFormat="1" ht="29.45" customHeight="1">
      <c r="B56" s="666" t="s">
        <v>777</v>
      </c>
      <c r="C56" s="321"/>
      <c r="D56" s="851" t="s">
        <v>777</v>
      </c>
      <c r="E56" s="331"/>
    </row>
    <row r="57" spans="2:5" s="133" customFormat="1" ht="29.45" customHeight="1">
      <c r="B57" s="844" t="s">
        <v>778</v>
      </c>
      <c r="C57" s="321"/>
      <c r="D57" s="847" t="s">
        <v>778</v>
      </c>
      <c r="E57" s="846"/>
    </row>
    <row r="58" spans="2:5" s="133" customFormat="1" ht="29.45" customHeight="1" thickBot="1">
      <c r="B58" s="844" t="s">
        <v>779</v>
      </c>
      <c r="C58" s="845"/>
      <c r="D58" s="847" t="s">
        <v>779</v>
      </c>
      <c r="E58" s="846"/>
    </row>
    <row r="59" spans="2:5" s="133" customFormat="1" ht="34.9" customHeight="1" thickBot="1">
      <c r="B59" s="854" t="s">
        <v>145</v>
      </c>
      <c r="C59" s="855">
        <f>SUM(C53:C58)</f>
        <v>0</v>
      </c>
      <c r="D59" s="856" t="s">
        <v>145</v>
      </c>
      <c r="E59" s="857">
        <f>SUM(E53:E58)</f>
        <v>0</v>
      </c>
    </row>
    <row r="60" spans="2:5">
      <c r="B60" s="325"/>
      <c r="C60" s="324"/>
    </row>
    <row r="61" spans="2:5">
      <c r="C61" s="324"/>
    </row>
    <row r="62" spans="2:5">
      <c r="B62" s="1318" t="s">
        <v>158</v>
      </c>
      <c r="C62" s="1318"/>
      <c r="D62" s="1318"/>
      <c r="E62" s="1318"/>
    </row>
    <row r="63" spans="2:5">
      <c r="B63" s="1318" t="s">
        <v>161</v>
      </c>
      <c r="C63" s="1318"/>
      <c r="D63" s="1318"/>
      <c r="E63" s="1318"/>
    </row>
    <row r="64" spans="2:5">
      <c r="C64" s="324"/>
    </row>
    <row r="65" spans="3:3">
      <c r="C65" s="324"/>
    </row>
    <row r="66" spans="3:3">
      <c r="C66" s="324"/>
    </row>
  </sheetData>
  <mergeCells count="11">
    <mergeCell ref="B63:E63"/>
    <mergeCell ref="B62:E62"/>
    <mergeCell ref="B50:E50"/>
    <mergeCell ref="B51:C51"/>
    <mergeCell ref="D51:E51"/>
    <mergeCell ref="B49:E49"/>
    <mergeCell ref="B2:D2"/>
    <mergeCell ref="B3:D3"/>
    <mergeCell ref="B4:E4"/>
    <mergeCell ref="B5:C5"/>
    <mergeCell ref="D5:E5"/>
  </mergeCells>
  <phoneticPr fontId="0" type="noConversion"/>
  <printOptions horizontalCentered="1" verticalCentered="1"/>
  <pageMargins left="0.35433070866141736" right="0.35433070866141736" top="1.1811023622047245" bottom="0.98425196850393704" header="0.51181102362204722" footer="0.51181102362204722"/>
  <pageSetup paperSize="9" scale="48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enableFormatConditionsCalculation="0">
    <tabColor theme="0"/>
    <pageSetUpPr fitToPage="1"/>
  </sheetPr>
  <dimension ref="B1:F49"/>
  <sheetViews>
    <sheetView workbookViewId="0">
      <selection activeCell="B2" sqref="B2:F23"/>
    </sheetView>
  </sheetViews>
  <sheetFormatPr baseColWidth="10" defaultColWidth="11.5703125" defaultRowHeight="12.75"/>
  <cols>
    <col min="1" max="1" width="4" style="133" customWidth="1"/>
    <col min="2" max="2" width="17.7109375" style="133" customWidth="1"/>
    <col min="3" max="3" width="56.28515625" style="133" customWidth="1"/>
    <col min="4" max="4" width="18.28515625" style="133" customWidth="1"/>
    <col min="5" max="5" width="17.7109375" style="133" customWidth="1"/>
    <col min="6" max="6" width="17.28515625" style="133" customWidth="1"/>
    <col min="7" max="16384" width="11.5703125" style="133"/>
  </cols>
  <sheetData>
    <row r="1" spans="2:6" ht="13.5" thickBot="1"/>
    <row r="2" spans="2:6" ht="49.9" customHeight="1">
      <c r="B2" s="1090" t="s">
        <v>530</v>
      </c>
      <c r="C2" s="1091"/>
      <c r="D2" s="1091"/>
      <c r="E2" s="1091"/>
      <c r="F2" s="236">
        <f>CPYG!E2</f>
        <v>2017</v>
      </c>
    </row>
    <row r="3" spans="2:6" ht="44.45" customHeight="1">
      <c r="B3" s="1308" t="str">
        <f>CPYG!B3</f>
        <v>ENTIDAD: INSTITUTO VOLCANOLOGICO DE CANARIAS</v>
      </c>
      <c r="C3" s="1323"/>
      <c r="D3" s="1323"/>
      <c r="E3" s="1324"/>
      <c r="F3" s="326" t="s">
        <v>204</v>
      </c>
    </row>
    <row r="4" spans="2:6" ht="25.15" customHeight="1">
      <c r="B4" s="1311" t="s">
        <v>732</v>
      </c>
      <c r="C4" s="1325"/>
      <c r="D4" s="1325"/>
      <c r="E4" s="1325"/>
      <c r="F4" s="1326"/>
    </row>
    <row r="5" spans="2:6" ht="30" customHeight="1">
      <c r="B5" s="327" t="s">
        <v>118</v>
      </c>
      <c r="C5" s="319" t="s">
        <v>119</v>
      </c>
      <c r="D5" s="670" t="s">
        <v>278</v>
      </c>
      <c r="E5" s="670" t="s">
        <v>478</v>
      </c>
      <c r="F5" s="328" t="s">
        <v>121</v>
      </c>
    </row>
    <row r="6" spans="2:6" ht="19.899999999999999" customHeight="1">
      <c r="B6" s="329"/>
      <c r="C6" s="333"/>
      <c r="D6" s="333"/>
      <c r="E6" s="648"/>
      <c r="F6" s="331"/>
    </row>
    <row r="7" spans="2:6" ht="19.899999999999999" customHeight="1">
      <c r="B7" s="660"/>
      <c r="C7" s="661"/>
      <c r="D7" s="661"/>
      <c r="E7" s="662"/>
      <c r="F7" s="663"/>
    </row>
    <row r="8" spans="2:6" ht="19.899999999999999" customHeight="1">
      <c r="B8" s="660"/>
      <c r="C8" s="661"/>
      <c r="D8" s="661"/>
      <c r="E8" s="662"/>
      <c r="F8" s="663"/>
    </row>
    <row r="9" spans="2:6" ht="19.899999999999999" customHeight="1">
      <c r="B9" s="660"/>
      <c r="C9" s="661"/>
      <c r="D9" s="661"/>
      <c r="E9" s="662"/>
      <c r="F9" s="663"/>
    </row>
    <row r="10" spans="2:6" ht="19.899999999999999" customHeight="1">
      <c r="B10" s="329"/>
      <c r="C10" s="333"/>
      <c r="D10" s="333"/>
      <c r="E10" s="648"/>
      <c r="F10" s="331"/>
    </row>
    <row r="11" spans="2:6" ht="19.899999999999999" customHeight="1">
      <c r="B11" s="329"/>
      <c r="C11" s="333"/>
      <c r="D11" s="333"/>
      <c r="E11" s="648"/>
      <c r="F11" s="331"/>
    </row>
    <row r="12" spans="2:6" ht="19.899999999999999" customHeight="1">
      <c r="B12" s="329"/>
      <c r="C12" s="333"/>
      <c r="D12" s="333"/>
      <c r="E12" s="648"/>
      <c r="F12" s="331"/>
    </row>
    <row r="13" spans="2:6" ht="19.899999999999999" customHeight="1">
      <c r="B13" s="329"/>
      <c r="C13" s="333"/>
      <c r="D13" s="333"/>
      <c r="E13" s="648"/>
      <c r="F13" s="331"/>
    </row>
    <row r="14" spans="2:6" ht="19.899999999999999" customHeight="1">
      <c r="B14" s="329"/>
      <c r="C14" s="333"/>
      <c r="D14" s="333"/>
      <c r="E14" s="648"/>
      <c r="F14" s="331"/>
    </row>
    <row r="15" spans="2:6" ht="19.899999999999999" customHeight="1">
      <c r="B15" s="329"/>
      <c r="C15" s="332"/>
      <c r="D15" s="332"/>
      <c r="E15" s="333"/>
      <c r="F15" s="331"/>
    </row>
    <row r="16" spans="2:6" ht="19.899999999999999" customHeight="1">
      <c r="B16" s="329"/>
      <c r="C16" s="321"/>
      <c r="D16" s="669"/>
      <c r="E16" s="330"/>
      <c r="F16" s="331"/>
    </row>
    <row r="17" spans="2:6" ht="19.899999999999999" customHeight="1">
      <c r="B17" s="329"/>
      <c r="C17" s="321"/>
      <c r="D17" s="669"/>
      <c r="E17" s="330"/>
      <c r="F17" s="331"/>
    </row>
    <row r="18" spans="2:6" ht="19.899999999999999" customHeight="1">
      <c r="B18" s="329"/>
      <c r="C18" s="321"/>
      <c r="D18" s="669"/>
      <c r="E18" s="330"/>
      <c r="F18" s="331"/>
    </row>
    <row r="19" spans="2:6" ht="19.899999999999999" customHeight="1">
      <c r="B19" s="329"/>
      <c r="C19" s="321"/>
      <c r="D19" s="669"/>
      <c r="E19" s="330"/>
      <c r="F19" s="331"/>
    </row>
    <row r="20" spans="2:6" ht="19.899999999999999" customHeight="1">
      <c r="B20" s="329"/>
      <c r="C20" s="321"/>
      <c r="D20" s="669"/>
      <c r="E20" s="330"/>
      <c r="F20" s="331"/>
    </row>
    <row r="21" spans="2:6" ht="19.899999999999999" customHeight="1">
      <c r="B21" s="329"/>
      <c r="C21" s="321"/>
      <c r="D21" s="669"/>
      <c r="E21" s="330"/>
      <c r="F21" s="331"/>
    </row>
    <row r="22" spans="2:6" ht="19.899999999999999" customHeight="1">
      <c r="B22" s="329"/>
      <c r="C22" s="321"/>
      <c r="D22" s="669"/>
      <c r="E22" s="330"/>
      <c r="F22" s="331"/>
    </row>
    <row r="23" spans="2:6" ht="23.45" customHeight="1" thickBot="1">
      <c r="B23" s="334"/>
      <c r="C23" s="335"/>
      <c r="D23" s="335"/>
      <c r="E23" s="592">
        <f>SUM(E6:E22)</f>
        <v>0</v>
      </c>
      <c r="F23" s="315"/>
    </row>
    <row r="24" spans="2:6">
      <c r="C24" s="604"/>
      <c r="D24" s="604"/>
    </row>
    <row r="25" spans="2:6">
      <c r="C25" s="604"/>
      <c r="D25" s="604"/>
    </row>
    <row r="26" spans="2:6">
      <c r="E26" s="169"/>
      <c r="F26" s="169"/>
    </row>
    <row r="27" spans="2:6">
      <c r="E27" s="169"/>
      <c r="F27" s="169"/>
    </row>
    <row r="28" spans="2:6">
      <c r="C28" s="604"/>
      <c r="D28" s="604"/>
      <c r="E28" s="169"/>
      <c r="F28" s="169"/>
    </row>
    <row r="29" spans="2:6">
      <c r="C29" s="604"/>
      <c r="D29" s="604"/>
      <c r="E29" s="169"/>
      <c r="F29" s="169"/>
    </row>
    <row r="30" spans="2:6">
      <c r="E30" s="169"/>
      <c r="F30" s="169"/>
    </row>
    <row r="31" spans="2:6">
      <c r="E31" s="169"/>
      <c r="F31" s="169"/>
    </row>
    <row r="32" spans="2:6">
      <c r="C32" s="649"/>
      <c r="D32" s="649"/>
      <c r="E32" s="650"/>
      <c r="F32" s="650"/>
    </row>
    <row r="33" spans="3:6">
      <c r="C33" s="604"/>
      <c r="D33" s="604"/>
      <c r="E33" s="169"/>
      <c r="F33" s="169"/>
    </row>
    <row r="34" spans="3:6">
      <c r="C34" s="604"/>
      <c r="D34" s="604"/>
    </row>
    <row r="35" spans="3:6">
      <c r="C35" s="649"/>
      <c r="D35" s="649"/>
      <c r="E35" s="650"/>
      <c r="F35" s="650"/>
    </row>
    <row r="36" spans="3:6">
      <c r="C36" s="649"/>
      <c r="D36" s="649"/>
      <c r="E36" s="650"/>
      <c r="F36" s="650"/>
    </row>
    <row r="37" spans="3:6">
      <c r="C37" s="604"/>
      <c r="D37" s="604"/>
    </row>
    <row r="38" spans="3:6">
      <c r="C38" s="604"/>
      <c r="D38" s="604"/>
    </row>
    <row r="39" spans="3:6">
      <c r="C39" s="604"/>
      <c r="D39" s="604"/>
    </row>
    <row r="40" spans="3:6">
      <c r="C40" s="604"/>
      <c r="D40" s="604"/>
    </row>
    <row r="41" spans="3:6">
      <c r="C41" s="604"/>
      <c r="D41" s="604"/>
    </row>
    <row r="42" spans="3:6">
      <c r="C42" s="604"/>
      <c r="D42" s="604"/>
    </row>
    <row r="43" spans="3:6">
      <c r="C43" s="604"/>
      <c r="D43" s="604"/>
    </row>
    <row r="44" spans="3:6">
      <c r="C44" s="604"/>
      <c r="D44" s="604"/>
    </row>
    <row r="45" spans="3:6">
      <c r="C45" s="604"/>
      <c r="D45" s="604"/>
    </row>
    <row r="46" spans="3:6">
      <c r="C46" s="604"/>
      <c r="D46" s="604"/>
    </row>
    <row r="47" spans="3:6">
      <c r="C47" s="604"/>
      <c r="D47" s="604"/>
    </row>
    <row r="48" spans="3:6">
      <c r="C48" s="604"/>
      <c r="D48" s="604"/>
    </row>
    <row r="49" spans="3:4">
      <c r="C49" s="604"/>
      <c r="D49" s="604"/>
    </row>
  </sheetData>
  <mergeCells count="3">
    <mergeCell ref="B2:E2"/>
    <mergeCell ref="B3:E3"/>
    <mergeCell ref="B4:F4"/>
  </mergeCells>
  <phoneticPr fontId="0" type="noConversion"/>
  <printOptions horizontalCentered="1" verticalCentered="1"/>
  <pageMargins left="1.2204724409448819" right="0.74803149606299213" top="1.1811023622047245" bottom="0.98425196850393704" header="0.51181102362204722" footer="0.51181102362204722"/>
  <pageSetup paperSize="9" scale="88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enableFormatConditionsCalculation="0">
    <tabColor rgb="FFFF0000"/>
    <pageSetUpPr fitToPage="1"/>
  </sheetPr>
  <dimension ref="B1:F29"/>
  <sheetViews>
    <sheetView workbookViewId="0">
      <selection activeCell="B2" sqref="B2:F23"/>
    </sheetView>
  </sheetViews>
  <sheetFormatPr baseColWidth="10" defaultColWidth="11.5703125" defaultRowHeight="12.75"/>
  <cols>
    <col min="1" max="1" width="3.7109375" style="133" customWidth="1"/>
    <col min="2" max="2" width="4" style="133" customWidth="1"/>
    <col min="3" max="3" width="82.140625" style="133" customWidth="1"/>
    <col min="4" max="4" width="24.5703125" style="133" customWidth="1"/>
    <col min="5" max="5" width="30.5703125" style="133" customWidth="1"/>
    <col min="6" max="6" width="25.28515625" style="133" customWidth="1"/>
    <col min="7" max="16384" width="11.5703125" style="133"/>
  </cols>
  <sheetData>
    <row r="1" spans="2:6" ht="13.5" thickBot="1"/>
    <row r="2" spans="2:6" ht="37.15" customHeight="1" thickBot="1">
      <c r="B2" s="1336" t="s">
        <v>504</v>
      </c>
      <c r="C2" s="1337"/>
      <c r="D2" s="1337"/>
      <c r="E2" s="1337"/>
      <c r="F2" s="784">
        <v>2017</v>
      </c>
    </row>
    <row r="3" spans="2:6" ht="36.6" customHeight="1" thickBot="1">
      <c r="B3" s="1338" t="s">
        <v>825</v>
      </c>
      <c r="C3" s="1339"/>
      <c r="D3" s="1339"/>
      <c r="E3" s="1339"/>
      <c r="F3" s="785" t="s">
        <v>479</v>
      </c>
    </row>
    <row r="4" spans="2:6" ht="57.6" customHeight="1" thickBot="1">
      <c r="B4" s="1334" t="s">
        <v>539</v>
      </c>
      <c r="C4" s="1335"/>
      <c r="D4" s="219" t="s">
        <v>480</v>
      </c>
      <c r="E4" s="1340" t="s">
        <v>515</v>
      </c>
      <c r="F4" s="1341"/>
    </row>
    <row r="5" spans="2:6" ht="19.899999999999999" customHeight="1">
      <c r="B5" s="786" t="s">
        <v>481</v>
      </c>
      <c r="C5" s="461"/>
      <c r="D5" s="883">
        <f>SUM(D6:D14)</f>
        <v>982952.21</v>
      </c>
      <c r="E5" s="1342"/>
      <c r="F5" s="1343"/>
    </row>
    <row r="6" spans="2:6" ht="15" customHeight="1">
      <c r="B6" s="231"/>
      <c r="C6" s="787" t="s">
        <v>482</v>
      </c>
      <c r="D6" s="884">
        <f>+CPYG!E7</f>
        <v>7000</v>
      </c>
      <c r="E6" s="1331"/>
      <c r="F6" s="1264"/>
    </row>
    <row r="7" spans="2:6" ht="15" customHeight="1">
      <c r="B7" s="231"/>
      <c r="C7" s="787" t="s">
        <v>483</v>
      </c>
      <c r="D7" s="884"/>
      <c r="E7" s="1331"/>
      <c r="F7" s="1264"/>
    </row>
    <row r="8" spans="2:6" ht="15" customHeight="1">
      <c r="B8" s="231"/>
      <c r="C8" s="787" t="s">
        <v>484</v>
      </c>
      <c r="D8" s="884">
        <f>+CPYG!E18</f>
        <v>9000</v>
      </c>
      <c r="E8" s="1331"/>
      <c r="F8" s="1264"/>
    </row>
    <row r="9" spans="2:6" ht="15" customHeight="1">
      <c r="B9" s="231"/>
      <c r="C9" s="787" t="s">
        <v>485</v>
      </c>
      <c r="D9" s="884">
        <f>+CPYG!E26</f>
        <v>912000</v>
      </c>
      <c r="E9" s="1331"/>
      <c r="F9" s="1264"/>
    </row>
    <row r="10" spans="2:6" ht="15" customHeight="1">
      <c r="B10" s="231"/>
      <c r="C10" s="787" t="s">
        <v>486</v>
      </c>
      <c r="D10" s="884"/>
      <c r="E10" s="1331"/>
      <c r="F10" s="1264"/>
    </row>
    <row r="11" spans="2:6" ht="15" customHeight="1">
      <c r="B11" s="231"/>
      <c r="C11" s="787" t="s">
        <v>487</v>
      </c>
      <c r="D11" s="884"/>
      <c r="E11" s="1331"/>
      <c r="F11" s="1264"/>
    </row>
    <row r="12" spans="2:6" ht="15" customHeight="1">
      <c r="B12" s="231"/>
      <c r="C12" s="787" t="s">
        <v>603</v>
      </c>
      <c r="D12" s="884"/>
      <c r="E12" s="1331"/>
      <c r="F12" s="1264"/>
    </row>
    <row r="13" spans="2:6" ht="15" customHeight="1">
      <c r="B13" s="231"/>
      <c r="C13" s="787" t="s">
        <v>488</v>
      </c>
      <c r="D13" s="884"/>
      <c r="E13" s="1331"/>
      <c r="F13" s="1264"/>
    </row>
    <row r="14" spans="2:6" ht="15" customHeight="1">
      <c r="B14" s="231"/>
      <c r="C14" s="787" t="s">
        <v>489</v>
      </c>
      <c r="D14" s="884">
        <f>+CPYG!E46</f>
        <v>54952.21</v>
      </c>
      <c r="E14" s="1331"/>
      <c r="F14" s="1264"/>
    </row>
    <row r="15" spans="2:6" ht="3.6" customHeight="1">
      <c r="B15" s="231"/>
      <c r="C15" s="787"/>
      <c r="D15" s="884"/>
      <c r="E15" s="1331"/>
      <c r="F15" s="1264"/>
    </row>
    <row r="16" spans="2:6" ht="19.899999999999999" customHeight="1">
      <c r="B16" s="773" t="s">
        <v>490</v>
      </c>
      <c r="C16" s="787"/>
      <c r="D16" s="885">
        <f>SUM(D17:D28)</f>
        <v>-921513.84000000008</v>
      </c>
      <c r="E16" s="1331"/>
      <c r="F16" s="1264"/>
    </row>
    <row r="17" spans="2:6" ht="15" customHeight="1">
      <c r="B17" s="231"/>
      <c r="C17" s="787" t="s">
        <v>491</v>
      </c>
      <c r="D17" s="884">
        <f>+CPYG!E12</f>
        <v>-120000</v>
      </c>
      <c r="E17" s="1331"/>
      <c r="F17" s="1264"/>
    </row>
    <row r="18" spans="2:6" ht="15" customHeight="1">
      <c r="B18" s="231"/>
      <c r="C18" s="787" t="s">
        <v>492</v>
      </c>
      <c r="D18" s="884">
        <f>+CPYG!E29</f>
        <v>-278912.11</v>
      </c>
      <c r="E18" s="1331"/>
      <c r="F18" s="1264"/>
    </row>
    <row r="19" spans="2:6" ht="15" customHeight="1">
      <c r="B19" s="231"/>
      <c r="C19" s="787" t="s">
        <v>493</v>
      </c>
      <c r="D19" s="884">
        <f>+CPYG!E37</f>
        <v>-520439.67000000004</v>
      </c>
      <c r="E19" s="1331"/>
      <c r="F19" s="1264"/>
    </row>
    <row r="20" spans="2:6" ht="15" customHeight="1">
      <c r="B20" s="231"/>
      <c r="C20" s="787" t="s">
        <v>494</v>
      </c>
      <c r="D20" s="884"/>
      <c r="E20" s="1331"/>
      <c r="F20" s="1264"/>
    </row>
    <row r="21" spans="2:6" ht="15" customHeight="1">
      <c r="B21" s="231"/>
      <c r="C21" s="787" t="s">
        <v>495</v>
      </c>
      <c r="D21" s="884">
        <f>+CPYG!E90</f>
        <v>-2162.06</v>
      </c>
      <c r="E21" s="1331"/>
      <c r="F21" s="1264"/>
    </row>
    <row r="22" spans="2:6" ht="15" customHeight="1">
      <c r="B22" s="231"/>
      <c r="C22" s="787" t="s">
        <v>496</v>
      </c>
      <c r="D22" s="884"/>
      <c r="E22" s="1331"/>
      <c r="F22" s="1264"/>
    </row>
    <row r="23" spans="2:6" ht="15" customHeight="1">
      <c r="B23" s="231"/>
      <c r="C23" s="787" t="s">
        <v>497</v>
      </c>
      <c r="D23" s="884"/>
      <c r="E23" s="1331"/>
      <c r="F23" s="1264"/>
    </row>
    <row r="24" spans="2:6" ht="15" customHeight="1">
      <c r="B24" s="231"/>
      <c r="C24" s="787" t="s">
        <v>498</v>
      </c>
      <c r="D24" s="884"/>
      <c r="E24" s="1331"/>
      <c r="F24" s="1264"/>
    </row>
    <row r="25" spans="2:6" ht="15" customHeight="1">
      <c r="B25" s="231"/>
      <c r="C25" s="787" t="s">
        <v>503</v>
      </c>
      <c r="D25" s="884"/>
      <c r="E25" s="1331"/>
      <c r="F25" s="1264"/>
    </row>
    <row r="26" spans="2:6" ht="15" customHeight="1">
      <c r="B26" s="231"/>
      <c r="C26" s="787" t="s">
        <v>499</v>
      </c>
      <c r="D26" s="884"/>
      <c r="E26" s="1331"/>
      <c r="F26" s="1264"/>
    </row>
    <row r="27" spans="2:6" ht="15" customHeight="1">
      <c r="B27" s="231"/>
      <c r="C27" s="787" t="s">
        <v>500</v>
      </c>
      <c r="D27" s="884"/>
      <c r="E27" s="1331"/>
      <c r="F27" s="1264"/>
    </row>
    <row r="28" spans="2:6" ht="15" customHeight="1">
      <c r="B28" s="788"/>
      <c r="C28" s="789" t="s">
        <v>501</v>
      </c>
      <c r="D28" s="886"/>
      <c r="E28" s="1332"/>
      <c r="F28" s="1333"/>
    </row>
    <row r="29" spans="2:6" ht="22.9" customHeight="1" thickBot="1">
      <c r="B29" s="1327" t="s">
        <v>502</v>
      </c>
      <c r="C29" s="1328"/>
      <c r="D29" s="887">
        <f>+D5+D16</f>
        <v>61438.369999999879</v>
      </c>
      <c r="E29" s="1329"/>
      <c r="F29" s="1330"/>
    </row>
  </sheetData>
  <mergeCells count="30">
    <mergeCell ref="B2:E2"/>
    <mergeCell ref="B3:E3"/>
    <mergeCell ref="E4:F4"/>
    <mergeCell ref="E5:F5"/>
    <mergeCell ref="E6:F6"/>
    <mergeCell ref="E7:F7"/>
    <mergeCell ref="E8:F8"/>
    <mergeCell ref="B4:C4"/>
    <mergeCell ref="E13:F13"/>
    <mergeCell ref="E14:F14"/>
    <mergeCell ref="E15:F15"/>
    <mergeCell ref="E16:F16"/>
    <mergeCell ref="E9:F9"/>
    <mergeCell ref="E10:F10"/>
    <mergeCell ref="E11:F11"/>
    <mergeCell ref="E12:F12"/>
    <mergeCell ref="E21:F21"/>
    <mergeCell ref="E22:F22"/>
    <mergeCell ref="E23:F23"/>
    <mergeCell ref="E24:F24"/>
    <mergeCell ref="E17:F17"/>
    <mergeCell ref="E18:F18"/>
    <mergeCell ref="E19:F19"/>
    <mergeCell ref="E20:F20"/>
    <mergeCell ref="B29:C29"/>
    <mergeCell ref="E29:F29"/>
    <mergeCell ref="E25:F25"/>
    <mergeCell ref="E26:F26"/>
    <mergeCell ref="E27:F27"/>
    <mergeCell ref="E28:F28"/>
  </mergeCells>
  <phoneticPr fontId="69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3" orientation="portrait" verticalDpi="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FF0000"/>
  </sheetPr>
  <dimension ref="A1:I25"/>
  <sheetViews>
    <sheetView workbookViewId="0">
      <selection activeCell="B2" sqref="B2:F23"/>
    </sheetView>
  </sheetViews>
  <sheetFormatPr baseColWidth="10" defaultRowHeight="12.75"/>
  <cols>
    <col min="1" max="1" width="3.5703125" customWidth="1"/>
    <col min="2" max="2" width="4.5703125" customWidth="1"/>
    <col min="3" max="3" width="4.85546875" customWidth="1"/>
    <col min="8" max="8" width="22.5703125" customWidth="1"/>
    <col min="9" max="9" width="12.7109375" style="695" bestFit="1" customWidth="1"/>
  </cols>
  <sheetData>
    <row r="1" spans="1:9" ht="13.5" thickBot="1"/>
    <row r="2" spans="1:9" ht="51" customHeight="1">
      <c r="A2" s="696">
        <v>1</v>
      </c>
      <c r="B2" s="938" t="s">
        <v>131</v>
      </c>
      <c r="C2" s="939"/>
      <c r="D2" s="939"/>
      <c r="E2" s="939"/>
      <c r="F2" s="939"/>
      <c r="G2" s="939"/>
      <c r="H2" s="939"/>
      <c r="I2" s="683">
        <f>'ORGANOS DE GOBIERNO'!I3</f>
        <v>2017</v>
      </c>
    </row>
    <row r="3" spans="1:9" ht="24.6" customHeight="1">
      <c r="B3" s="945" t="str">
        <f>'ORGANOS DE GOBIERNO'!B4:I4</f>
        <v>ENTIDAD: INSTITUTO VOLCANOLOGICO DE CANARIAS</v>
      </c>
      <c r="C3" s="946"/>
      <c r="D3" s="946"/>
      <c r="E3" s="946"/>
      <c r="F3" s="946"/>
      <c r="G3" s="946"/>
      <c r="H3" s="946"/>
      <c r="I3" s="947"/>
    </row>
    <row r="4" spans="1:9">
      <c r="B4" s="685"/>
      <c r="C4" s="686"/>
      <c r="D4" s="686"/>
      <c r="E4" s="686"/>
      <c r="F4" s="686"/>
      <c r="G4" s="686"/>
      <c r="H4" s="686"/>
      <c r="I4" s="697"/>
    </row>
    <row r="5" spans="1:9" ht="15.75">
      <c r="B5" s="688" t="s">
        <v>570</v>
      </c>
      <c r="C5" s="689"/>
      <c r="D5" s="689"/>
      <c r="E5" s="686"/>
      <c r="F5" s="686"/>
      <c r="G5" s="686"/>
      <c r="H5" s="686"/>
      <c r="I5" s="697"/>
    </row>
    <row r="6" spans="1:9">
      <c r="B6" s="685"/>
      <c r="C6" s="686"/>
      <c r="D6" s="686"/>
      <c r="E6" s="686"/>
      <c r="F6" s="686"/>
      <c r="G6" s="686"/>
      <c r="H6" s="686"/>
      <c r="I6" s="697"/>
    </row>
    <row r="7" spans="1:9">
      <c r="B7" s="690" t="s">
        <v>571</v>
      </c>
      <c r="C7" s="689" t="s">
        <v>572</v>
      </c>
      <c r="D7" s="689"/>
      <c r="E7" s="686"/>
      <c r="F7" s="686"/>
      <c r="G7" s="686"/>
      <c r="H7" s="686"/>
      <c r="I7" s="895">
        <f>+I10+I11+I9</f>
        <v>7.6E-3</v>
      </c>
    </row>
    <row r="8" spans="1:9">
      <c r="B8" s="685"/>
      <c r="C8" s="686"/>
      <c r="D8" s="686"/>
      <c r="E8" s="686"/>
      <c r="F8" s="686"/>
      <c r="G8" s="686"/>
      <c r="H8" s="686"/>
      <c r="I8" s="896"/>
    </row>
    <row r="9" spans="1:9">
      <c r="B9" s="685"/>
      <c r="C9" s="686" t="s">
        <v>573</v>
      </c>
      <c r="D9" s="686" t="s">
        <v>574</v>
      </c>
      <c r="E9" s="686"/>
      <c r="F9" s="686"/>
      <c r="G9" s="686"/>
      <c r="H9" s="686"/>
      <c r="I9" s="897">
        <v>7.6E-3</v>
      </c>
    </row>
    <row r="10" spans="1:9">
      <c r="B10" s="685"/>
      <c r="C10" s="686" t="s">
        <v>575</v>
      </c>
      <c r="D10" s="686" t="s">
        <v>576</v>
      </c>
      <c r="E10" s="686"/>
      <c r="F10" s="686"/>
      <c r="G10" s="686"/>
      <c r="H10" s="686"/>
      <c r="I10" s="897"/>
    </row>
    <row r="11" spans="1:9">
      <c r="B11" s="685"/>
      <c r="C11" s="686" t="s">
        <v>577</v>
      </c>
      <c r="D11" s="686" t="s">
        <v>578</v>
      </c>
      <c r="E11" s="686"/>
      <c r="F11" s="686"/>
      <c r="G11" s="686"/>
      <c r="H11" s="686"/>
      <c r="I11" s="897"/>
    </row>
    <row r="12" spans="1:9" ht="7.5" customHeight="1">
      <c r="B12" s="685"/>
      <c r="C12" s="686"/>
      <c r="D12" s="686"/>
      <c r="E12" s="686"/>
      <c r="F12" s="686"/>
      <c r="G12" s="686"/>
      <c r="H12" s="686"/>
      <c r="I12" s="896"/>
    </row>
    <row r="13" spans="1:9">
      <c r="B13" s="690" t="s">
        <v>579</v>
      </c>
      <c r="C13" s="689" t="s">
        <v>580</v>
      </c>
      <c r="D13" s="686"/>
      <c r="E13" s="686"/>
      <c r="F13" s="686"/>
      <c r="G13" s="686"/>
      <c r="H13" s="686"/>
      <c r="I13" s="895"/>
    </row>
    <row r="14" spans="1:9">
      <c r="B14" s="690" t="s">
        <v>581</v>
      </c>
      <c r="C14" s="689" t="s">
        <v>582</v>
      </c>
      <c r="D14" s="686"/>
      <c r="E14" s="686"/>
      <c r="F14" s="686"/>
      <c r="G14" s="686"/>
      <c r="H14" s="686"/>
      <c r="I14" s="895">
        <f>+SUM(I16:I18)</f>
        <v>0.98275862068965514</v>
      </c>
    </row>
    <row r="15" spans="1:9">
      <c r="B15" s="685"/>
      <c r="C15" s="686"/>
      <c r="D15" s="686"/>
      <c r="E15" s="686"/>
      <c r="F15" s="686"/>
      <c r="G15" s="686"/>
      <c r="H15" s="686"/>
      <c r="I15" s="896"/>
    </row>
    <row r="16" spans="1:9">
      <c r="B16" s="685"/>
      <c r="C16" s="686" t="s">
        <v>573</v>
      </c>
      <c r="D16" s="686" t="s">
        <v>583</v>
      </c>
      <c r="E16" s="686"/>
      <c r="F16" s="686"/>
      <c r="G16" s="686"/>
      <c r="H16" s="686"/>
      <c r="I16" s="897">
        <v>0.98275862068965514</v>
      </c>
    </row>
    <row r="17" spans="2:9">
      <c r="B17" s="685"/>
      <c r="C17" s="686" t="s">
        <v>575</v>
      </c>
      <c r="D17" s="686" t="s">
        <v>584</v>
      </c>
      <c r="E17" s="686"/>
      <c r="F17" s="686"/>
      <c r="G17" s="686"/>
      <c r="H17" s="686"/>
      <c r="I17" s="897"/>
    </row>
    <row r="18" spans="2:9">
      <c r="B18" s="685"/>
      <c r="C18" s="686" t="s">
        <v>577</v>
      </c>
      <c r="D18" s="686" t="s">
        <v>585</v>
      </c>
      <c r="E18" s="686"/>
      <c r="F18" s="686"/>
      <c r="G18" s="686"/>
      <c r="H18" s="686"/>
      <c r="I18" s="897"/>
    </row>
    <row r="19" spans="2:9">
      <c r="B19" s="685"/>
      <c r="C19" s="686"/>
      <c r="D19" s="686"/>
      <c r="E19" s="686"/>
      <c r="F19" s="686"/>
      <c r="G19" s="686"/>
      <c r="H19" s="686"/>
      <c r="I19" s="896"/>
    </row>
    <row r="20" spans="2:9">
      <c r="B20" s="690" t="s">
        <v>586</v>
      </c>
      <c r="C20" s="689" t="s">
        <v>587</v>
      </c>
      <c r="D20" s="686"/>
      <c r="E20" s="686"/>
      <c r="F20" s="686"/>
      <c r="G20" s="686"/>
      <c r="H20" s="686"/>
      <c r="I20" s="895">
        <v>9.5999999999999992E-3</v>
      </c>
    </row>
    <row r="21" spans="2:9" ht="5.25" customHeight="1">
      <c r="B21" s="685"/>
      <c r="C21" s="686"/>
      <c r="D21" s="686"/>
      <c r="E21" s="686"/>
      <c r="F21" s="686"/>
      <c r="G21" s="686"/>
      <c r="H21" s="686"/>
      <c r="I21" s="896"/>
    </row>
    <row r="22" spans="2:9" ht="21" customHeight="1">
      <c r="B22" s="685"/>
      <c r="C22" s="686"/>
      <c r="D22" s="943" t="s">
        <v>813</v>
      </c>
      <c r="E22" s="944"/>
      <c r="F22" s="944"/>
      <c r="G22" s="944"/>
      <c r="H22" s="944"/>
      <c r="I22" s="896"/>
    </row>
    <row r="23" spans="2:9">
      <c r="B23" s="685"/>
      <c r="C23" s="686"/>
      <c r="D23" s="686"/>
      <c r="E23" s="686"/>
      <c r="F23" s="686"/>
      <c r="G23" s="686"/>
      <c r="H23" s="686"/>
      <c r="I23" s="896"/>
    </row>
    <row r="24" spans="2:9">
      <c r="B24" s="690" t="s">
        <v>588</v>
      </c>
      <c r="C24" s="686"/>
      <c r="D24" s="686"/>
      <c r="E24" s="686"/>
      <c r="F24" s="686"/>
      <c r="G24" s="686"/>
      <c r="H24" s="686"/>
      <c r="I24" s="895">
        <f>+I14+I13+I7+I20</f>
        <v>0.99995862068965524</v>
      </c>
    </row>
    <row r="25" spans="2:9" ht="13.5" thickBot="1">
      <c r="B25" s="692"/>
      <c r="C25" s="693"/>
      <c r="D25" s="693"/>
      <c r="E25" s="693"/>
      <c r="F25" s="693"/>
      <c r="G25" s="693"/>
      <c r="H25" s="693"/>
      <c r="I25" s="698"/>
    </row>
  </sheetData>
  <mergeCells count="3">
    <mergeCell ref="B2:H2"/>
    <mergeCell ref="D22:H22"/>
    <mergeCell ref="B3:I3"/>
  </mergeCells>
  <phoneticPr fontId="69" type="noConversion"/>
  <printOptions horizontalCentered="1" verticalCentered="1"/>
  <pageMargins left="0.74803149606299213" right="0.74803149606299213" top="0.98425196850393704" bottom="0.98425196850393704" header="0" footer="0"/>
  <pageSetup paperSize="9" scale="95" orientation="portrait" horizontalDpi="4294967295" verticalDpi="429496729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FF0000"/>
  </sheetPr>
  <dimension ref="B2:H62"/>
  <sheetViews>
    <sheetView workbookViewId="0">
      <selection activeCell="B2" sqref="B2:F23"/>
    </sheetView>
  </sheetViews>
  <sheetFormatPr baseColWidth="10" defaultColWidth="11.5703125" defaultRowHeight="12.75"/>
  <cols>
    <col min="1" max="1" width="2.140625" style="133" customWidth="1"/>
    <col min="2" max="2" width="8.42578125" style="133" customWidth="1"/>
    <col min="3" max="3" width="44.5703125" style="133" customWidth="1"/>
    <col min="4" max="4" width="16.7109375" style="134" customWidth="1"/>
    <col min="5" max="5" width="2.5703125" style="618" customWidth="1"/>
    <col min="6" max="6" width="13.7109375" style="613" customWidth="1"/>
    <col min="7" max="7" width="8.85546875" style="133" customWidth="1"/>
    <col min="8" max="16384" width="11.5703125" style="133"/>
  </cols>
  <sheetData>
    <row r="2" spans="2:8">
      <c r="B2" s="965" t="s">
        <v>600</v>
      </c>
      <c r="C2" s="965"/>
      <c r="D2" s="965"/>
      <c r="E2" s="616"/>
    </row>
    <row r="3" spans="2:8" ht="13.5" thickBot="1">
      <c r="B3" s="183"/>
      <c r="C3" s="183"/>
      <c r="D3" s="183"/>
      <c r="E3" s="616"/>
    </row>
    <row r="4" spans="2:8" ht="15.75" thickBot="1">
      <c r="B4" s="966" t="str">
        <f>'ORGANOS DE GOBIERNO'!B4:I4</f>
        <v>ENTIDAD: INSTITUTO VOLCANOLOGICO DE CANARIAS</v>
      </c>
      <c r="C4" s="967"/>
      <c r="D4" s="968"/>
      <c r="E4" s="617"/>
    </row>
    <row r="5" spans="2:8" ht="13.5" thickBot="1">
      <c r="B5" s="184"/>
      <c r="C5" s="184"/>
    </row>
    <row r="6" spans="2:8" ht="15.75" thickBot="1">
      <c r="B6" s="969" t="s">
        <v>358</v>
      </c>
      <c r="C6" s="967"/>
      <c r="D6" s="968"/>
      <c r="E6" s="617"/>
    </row>
    <row r="7" spans="2:8" ht="13.5" thickBot="1">
      <c r="B7" s="184"/>
      <c r="C7" s="184"/>
    </row>
    <row r="8" spans="2:8" ht="13.5" customHeight="1">
      <c r="B8" s="970" t="s">
        <v>621</v>
      </c>
      <c r="C8" s="971"/>
      <c r="D8" s="961"/>
      <c r="E8" s="619"/>
    </row>
    <row r="9" spans="2:8" ht="12.75" customHeight="1">
      <c r="B9" s="979"/>
      <c r="C9" s="980"/>
      <c r="D9" s="974"/>
      <c r="E9" s="620"/>
    </row>
    <row r="10" spans="2:8">
      <c r="B10" s="135"/>
      <c r="C10" s="136"/>
      <c r="D10" s="137"/>
      <c r="E10" s="621"/>
    </row>
    <row r="11" spans="2:8">
      <c r="B11" s="138" t="s">
        <v>623</v>
      </c>
      <c r="C11" s="139" t="s">
        <v>709</v>
      </c>
      <c r="D11" s="140">
        <v>0</v>
      </c>
      <c r="E11" s="622"/>
      <c r="F11" s="614"/>
      <c r="H11" s="614"/>
    </row>
    <row r="12" spans="2:8">
      <c r="B12" s="138" t="s">
        <v>624</v>
      </c>
      <c r="C12" s="139" t="s">
        <v>710</v>
      </c>
      <c r="D12" s="140">
        <v>0</v>
      </c>
      <c r="E12" s="622"/>
      <c r="F12" s="614"/>
      <c r="H12" s="614"/>
    </row>
    <row r="13" spans="2:8">
      <c r="B13" s="138" t="s">
        <v>625</v>
      </c>
      <c r="C13" s="139" t="s">
        <v>711</v>
      </c>
      <c r="D13" s="140">
        <f>'PRESUPUESTO CPYG'!D13</f>
        <v>16000</v>
      </c>
      <c r="E13" s="622"/>
      <c r="F13" s="614"/>
      <c r="H13" s="614"/>
    </row>
    <row r="14" spans="2:8">
      <c r="B14" s="138" t="s">
        <v>626</v>
      </c>
      <c r="C14" s="139" t="s">
        <v>712</v>
      </c>
      <c r="D14" s="140">
        <f>'PRESUPUESTO CPYG'!D14+'Transf. y subv.'!F45</f>
        <v>912000</v>
      </c>
      <c r="E14" s="622"/>
      <c r="F14" s="614"/>
      <c r="H14" s="614"/>
    </row>
    <row r="15" spans="2:8">
      <c r="B15" s="138" t="s">
        <v>627</v>
      </c>
      <c r="C15" s="139" t="s">
        <v>713</v>
      </c>
      <c r="D15" s="140">
        <f>'PRESUPUESTO CPYG'!D15</f>
        <v>0</v>
      </c>
      <c r="E15" s="622"/>
      <c r="F15" s="614"/>
      <c r="H15" s="614"/>
    </row>
    <row r="16" spans="2:8">
      <c r="B16" s="141"/>
      <c r="C16" s="142"/>
      <c r="D16" s="143"/>
      <c r="E16" s="623"/>
    </row>
    <row r="17" spans="2:5">
      <c r="B17" s="144" t="s">
        <v>628</v>
      </c>
      <c r="C17" s="145"/>
      <c r="D17" s="146">
        <f>SUM(D11:D15)</f>
        <v>928000</v>
      </c>
      <c r="E17" s="624"/>
    </row>
    <row r="18" spans="2:5">
      <c r="B18" s="147"/>
      <c r="C18" s="148"/>
      <c r="D18" s="149"/>
      <c r="E18" s="623"/>
    </row>
    <row r="19" spans="2:5">
      <c r="B19" s="141"/>
      <c r="C19" s="142"/>
      <c r="D19" s="143"/>
      <c r="E19" s="623"/>
    </row>
    <row r="20" spans="2:5">
      <c r="B20" s="138" t="s">
        <v>629</v>
      </c>
      <c r="C20" s="139" t="s">
        <v>714</v>
      </c>
      <c r="D20" s="143">
        <f>-'Inv. NO FIN'!I21</f>
        <v>0</v>
      </c>
      <c r="E20" s="623"/>
    </row>
    <row r="21" spans="2:5">
      <c r="B21" s="138" t="s">
        <v>630</v>
      </c>
      <c r="C21" s="139" t="s">
        <v>715</v>
      </c>
      <c r="D21" s="143">
        <f>'Transf. y subv.'!F15</f>
        <v>295000</v>
      </c>
      <c r="E21" s="623"/>
    </row>
    <row r="22" spans="2:5">
      <c r="B22" s="141"/>
      <c r="C22" s="142"/>
      <c r="D22" s="143"/>
      <c r="E22" s="623"/>
    </row>
    <row r="23" spans="2:5">
      <c r="B23" s="144" t="s">
        <v>631</v>
      </c>
      <c r="C23" s="145"/>
      <c r="D23" s="146">
        <f>SUM(D20:D21)</f>
        <v>295000</v>
      </c>
      <c r="E23" s="624"/>
    </row>
    <row r="24" spans="2:5">
      <c r="B24" s="147"/>
      <c r="C24" s="148"/>
      <c r="D24" s="149"/>
      <c r="E24" s="623"/>
    </row>
    <row r="25" spans="2:5">
      <c r="B25" s="141"/>
      <c r="C25" s="142"/>
      <c r="D25" s="143"/>
      <c r="E25" s="623"/>
    </row>
    <row r="26" spans="2:5">
      <c r="B26" s="138" t="s">
        <v>632</v>
      </c>
      <c r="C26" s="139" t="s">
        <v>716</v>
      </c>
      <c r="D26" s="140">
        <f>-'Inv. FIN'!H14-'Inv. FIN'!H21-'Inv. FIN'!H33-'Inv. FIN'!H40</f>
        <v>0</v>
      </c>
      <c r="E26" s="622"/>
    </row>
    <row r="27" spans="2:5">
      <c r="B27" s="138" t="s">
        <v>633</v>
      </c>
      <c r="C27" s="139" t="s">
        <v>717</v>
      </c>
      <c r="D27" s="140">
        <f>'Deuda L.P.'!L24</f>
        <v>0</v>
      </c>
      <c r="E27" s="622"/>
    </row>
    <row r="28" spans="2:5">
      <c r="B28" s="141"/>
      <c r="C28" s="142"/>
      <c r="D28" s="143"/>
      <c r="E28" s="623"/>
    </row>
    <row r="29" spans="2:5">
      <c r="B29" s="144" t="s">
        <v>634</v>
      </c>
      <c r="C29" s="145"/>
      <c r="D29" s="150">
        <f>SUM(D26:D27)</f>
        <v>0</v>
      </c>
      <c r="E29" s="625"/>
    </row>
    <row r="30" spans="2:5">
      <c r="B30" s="151"/>
      <c r="C30" s="152"/>
      <c r="D30" s="153"/>
      <c r="E30" s="626"/>
    </row>
    <row r="31" spans="2:5">
      <c r="B31" s="336"/>
      <c r="C31" s="188"/>
      <c r="D31" s="337"/>
      <c r="E31" s="621"/>
    </row>
    <row r="32" spans="2:5">
      <c r="B32" s="154"/>
      <c r="C32" s="156" t="s">
        <v>635</v>
      </c>
      <c r="D32" s="157">
        <f>D17+D23+D29</f>
        <v>1223000</v>
      </c>
      <c r="E32" s="625"/>
    </row>
    <row r="33" spans="2:8" ht="13.5" thickBot="1">
      <c r="B33" s="164"/>
      <c r="C33" s="203"/>
      <c r="D33" s="166"/>
      <c r="E33" s="621"/>
    </row>
    <row r="34" spans="2:8">
      <c r="C34" s="158"/>
      <c r="D34" s="133"/>
      <c r="E34" s="230"/>
    </row>
    <row r="36" spans="2:8" ht="13.5" thickBot="1"/>
    <row r="37" spans="2:8" ht="13.5" customHeight="1">
      <c r="B37" s="970" t="s">
        <v>621</v>
      </c>
      <c r="C37" s="977"/>
      <c r="D37" s="975"/>
      <c r="E37" s="627"/>
    </row>
    <row r="38" spans="2:8" ht="12.75" customHeight="1" thickBot="1">
      <c r="B38" s="972"/>
      <c r="C38" s="978"/>
      <c r="D38" s="976"/>
      <c r="E38" s="628"/>
    </row>
    <row r="39" spans="2:8">
      <c r="B39" s="151"/>
      <c r="C39" s="159"/>
      <c r="D39" s="153"/>
      <c r="E39" s="626"/>
      <c r="H39" s="158"/>
    </row>
    <row r="40" spans="2:8">
      <c r="B40" s="138" t="s">
        <v>623</v>
      </c>
      <c r="C40" s="210" t="s">
        <v>637</v>
      </c>
      <c r="D40" s="168">
        <f>'PRESUPUESTO CPYG'!D45</f>
        <v>278912.11</v>
      </c>
      <c r="E40" s="612"/>
      <c r="H40" s="614"/>
    </row>
    <row r="41" spans="2:8">
      <c r="B41" s="138" t="s">
        <v>624</v>
      </c>
      <c r="C41" s="210" t="s">
        <v>638</v>
      </c>
      <c r="D41" s="168">
        <f>'PRESUPUESTO CPYG'!D46</f>
        <v>642601.7300000001</v>
      </c>
      <c r="E41" s="612"/>
      <c r="H41" s="614"/>
    </row>
    <row r="42" spans="2:8">
      <c r="B42" s="138" t="s">
        <v>625</v>
      </c>
      <c r="C42" s="210" t="s">
        <v>137</v>
      </c>
      <c r="D42" s="168">
        <f>'PRESUPUESTO CPYG'!D47</f>
        <v>0</v>
      </c>
      <c r="E42" s="612"/>
      <c r="H42" s="614"/>
    </row>
    <row r="43" spans="2:8">
      <c r="B43" s="138" t="s">
        <v>626</v>
      </c>
      <c r="C43" s="210" t="s">
        <v>639</v>
      </c>
      <c r="D43" s="449">
        <f>'PRESUPUESTO CPYG'!D48</f>
        <v>0</v>
      </c>
      <c r="E43" s="612"/>
      <c r="H43" s="614"/>
    </row>
    <row r="44" spans="2:8">
      <c r="B44" s="151"/>
      <c r="C44" s="159"/>
      <c r="D44" s="168"/>
      <c r="E44" s="612"/>
      <c r="H44" s="614"/>
    </row>
    <row r="45" spans="2:8">
      <c r="B45" s="144" t="s">
        <v>640</v>
      </c>
      <c r="C45" s="211"/>
      <c r="D45" s="150">
        <f>SUM(D40:D43)</f>
        <v>921513.84000000008</v>
      </c>
      <c r="E45" s="625"/>
    </row>
    <row r="46" spans="2:8">
      <c r="B46" s="147"/>
      <c r="C46" s="212"/>
      <c r="D46" s="170"/>
      <c r="E46" s="626"/>
    </row>
    <row r="47" spans="2:8">
      <c r="B47" s="151"/>
      <c r="C47" s="159"/>
      <c r="D47" s="153"/>
      <c r="E47" s="626"/>
    </row>
    <row r="48" spans="2:8">
      <c r="B48" s="138" t="s">
        <v>629</v>
      </c>
      <c r="C48" s="210" t="s">
        <v>642</v>
      </c>
      <c r="D48" s="168">
        <f>'Inv. NO FIN'!D21+'Inv. NO FIN'!F21</f>
        <v>295000</v>
      </c>
      <c r="E48" s="612"/>
    </row>
    <row r="49" spans="2:5">
      <c r="B49" s="138" t="s">
        <v>630</v>
      </c>
      <c r="C49" s="210" t="s">
        <v>643</v>
      </c>
      <c r="D49" s="168">
        <v>0</v>
      </c>
      <c r="E49" s="612"/>
    </row>
    <row r="50" spans="2:5">
      <c r="B50" s="151"/>
      <c r="C50" s="159"/>
      <c r="D50" s="153"/>
      <c r="E50" s="626"/>
    </row>
    <row r="51" spans="2:5">
      <c r="B51" s="144" t="s">
        <v>644</v>
      </c>
      <c r="C51" s="211"/>
      <c r="D51" s="150">
        <f>SUM(D48:D49)</f>
        <v>295000</v>
      </c>
      <c r="E51" s="625"/>
    </row>
    <row r="52" spans="2:5">
      <c r="B52" s="147"/>
      <c r="C52" s="212"/>
      <c r="D52" s="170"/>
      <c r="E52" s="626"/>
    </row>
    <row r="53" spans="2:5">
      <c r="B53" s="151"/>
      <c r="C53" s="159"/>
      <c r="D53" s="153"/>
      <c r="E53" s="626"/>
    </row>
    <row r="54" spans="2:5">
      <c r="B54" s="138" t="s">
        <v>632</v>
      </c>
      <c r="C54" s="210" t="s">
        <v>646</v>
      </c>
      <c r="D54" s="168">
        <f>'Inv. FIN'!F14+'Inv. FIN'!F21+'Inv. FIN'!F33+'Inv. FIN'!F40</f>
        <v>0</v>
      </c>
      <c r="E54" s="612"/>
    </row>
    <row r="55" spans="2:5">
      <c r="B55" s="138" t="s">
        <v>633</v>
      </c>
      <c r="C55" s="210" t="s">
        <v>647</v>
      </c>
      <c r="D55" s="168">
        <f>'Deuda L.P.'!M24</f>
        <v>0</v>
      </c>
      <c r="E55" s="612"/>
    </row>
    <row r="56" spans="2:5">
      <c r="B56" s="151"/>
      <c r="C56" s="159"/>
      <c r="D56" s="153"/>
      <c r="E56" s="626"/>
    </row>
    <row r="57" spans="2:5">
      <c r="B57" s="144" t="s">
        <v>648</v>
      </c>
      <c r="C57" s="211"/>
      <c r="D57" s="150">
        <f>SUM(D54:D55)</f>
        <v>0</v>
      </c>
      <c r="E57" s="625"/>
    </row>
    <row r="58" spans="2:5" ht="13.5" thickBot="1">
      <c r="B58" s="171"/>
      <c r="C58" s="213"/>
      <c r="D58" s="173"/>
      <c r="E58" s="625"/>
    </row>
    <row r="59" spans="2:5" ht="13.5" thickTop="1">
      <c r="B59" s="161"/>
      <c r="C59" s="204"/>
      <c r="D59" s="163"/>
      <c r="E59" s="621"/>
    </row>
    <row r="60" spans="2:5">
      <c r="B60" s="154"/>
      <c r="C60" s="205" t="s">
        <v>192</v>
      </c>
      <c r="D60" s="157">
        <f>D45+D51+D57</f>
        <v>1216513.8400000001</v>
      </c>
      <c r="E60" s="625"/>
    </row>
    <row r="61" spans="2:5" ht="13.5" thickBot="1">
      <c r="B61" s="164"/>
      <c r="C61" s="165"/>
      <c r="D61" s="166"/>
      <c r="E61" s="621"/>
    </row>
    <row r="62" spans="2:5">
      <c r="C62" s="174"/>
      <c r="D62" s="133"/>
      <c r="E62" s="230"/>
    </row>
  </sheetData>
  <sheetProtection password="CF7A" sheet="1" formatCells="0" formatColumns="0" formatRows="0" insertColumns="0" insertRows="0" insertHyperlinks="0" deleteColumns="0" deleteRows="0" sort="0" autoFilter="0" pivotTables="0"/>
  <mergeCells count="7">
    <mergeCell ref="D8:D9"/>
    <mergeCell ref="D37:D38"/>
    <mergeCell ref="B2:D2"/>
    <mergeCell ref="B4:D4"/>
    <mergeCell ref="B6:D6"/>
    <mergeCell ref="B37:C38"/>
    <mergeCell ref="B8:C9"/>
  </mergeCells>
  <phoneticPr fontId="5" type="noConversion"/>
  <printOptions horizontalCentered="1" verticalCentered="1"/>
  <pageMargins left="0.78740157480314965" right="0.78740157480314965" top="0.98425196850393704" bottom="0.98425196850393704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2:J47"/>
  <sheetViews>
    <sheetView topLeftCell="A13" zoomScale="70" zoomScaleNormal="70" workbookViewId="0">
      <selection activeCell="F23" sqref="F23"/>
    </sheetView>
  </sheetViews>
  <sheetFormatPr baseColWidth="10" defaultColWidth="11.5703125" defaultRowHeight="12.75"/>
  <cols>
    <col min="1" max="1" width="7.85546875" style="133" customWidth="1"/>
    <col min="2" max="2" width="62.5703125" style="133" customWidth="1"/>
    <col min="3" max="3" width="22" style="133" customWidth="1"/>
    <col min="4" max="4" width="19.5703125" style="133" customWidth="1"/>
    <col min="5" max="5" width="19.42578125" style="133" customWidth="1"/>
    <col min="6" max="6" width="18.42578125" style="133" customWidth="1"/>
    <col min="7" max="7" width="20.7109375" style="133" customWidth="1"/>
    <col min="8" max="8" width="20.28515625" style="133" customWidth="1"/>
    <col min="9" max="9" width="17.28515625" style="133" customWidth="1"/>
    <col min="10" max="10" width="20.42578125" style="133" customWidth="1"/>
    <col min="11" max="16384" width="11.5703125" style="133"/>
  </cols>
  <sheetData>
    <row r="2" spans="1:10" ht="13.5" thickBot="1"/>
    <row r="3" spans="1:10" ht="33.75" customHeight="1">
      <c r="A3" s="701"/>
      <c r="B3" s="950" t="s">
        <v>381</v>
      </c>
      <c r="C3" s="951"/>
      <c r="D3" s="951"/>
      <c r="E3" s="951"/>
      <c r="F3" s="951"/>
      <c r="G3" s="951"/>
      <c r="H3" s="951"/>
      <c r="I3" s="952"/>
      <c r="J3" s="953">
        <v>2017</v>
      </c>
    </row>
    <row r="4" spans="1:10" ht="22.5" customHeight="1" thickBot="1">
      <c r="A4" s="701"/>
      <c r="B4" s="955" t="s">
        <v>273</v>
      </c>
      <c r="C4" s="956"/>
      <c r="D4" s="956"/>
      <c r="E4" s="956"/>
      <c r="F4" s="956"/>
      <c r="G4" s="956"/>
      <c r="H4" s="956"/>
      <c r="I4" s="957"/>
      <c r="J4" s="954"/>
    </row>
    <row r="5" spans="1:10" ht="30" customHeight="1">
      <c r="B5" s="958" t="str">
        <f>'ORGANOS DE GOBIERNO'!B4:I4</f>
        <v>ENTIDAD: INSTITUTO VOLCANOLOGICO DE CANARIAS</v>
      </c>
      <c r="C5" s="959"/>
      <c r="D5" s="959"/>
      <c r="E5" s="959"/>
      <c r="F5" s="959"/>
      <c r="G5" s="959"/>
      <c r="H5" s="959"/>
      <c r="I5" s="959"/>
      <c r="J5" s="960"/>
    </row>
    <row r="6" spans="1:10" ht="6" customHeight="1">
      <c r="B6" s="702"/>
      <c r="C6" s="703"/>
      <c r="D6" s="703"/>
      <c r="E6" s="703"/>
      <c r="F6" s="703"/>
      <c r="G6" s="158"/>
      <c r="H6" s="158"/>
      <c r="I6" s="158"/>
      <c r="J6" s="232"/>
    </row>
    <row r="7" spans="1:10" ht="18" customHeight="1">
      <c r="B7" s="704" t="s">
        <v>589</v>
      </c>
      <c r="C7" s="158"/>
      <c r="D7" s="158"/>
      <c r="E7" s="158"/>
      <c r="F7" s="158"/>
      <c r="G7" s="158"/>
      <c r="H7" s="158"/>
      <c r="I7" s="158"/>
      <c r="J7" s="232"/>
    </row>
    <row r="8" spans="1:10" ht="28.5" customHeight="1">
      <c r="B8" s="705"/>
      <c r="C8" s="706"/>
      <c r="D8" s="158"/>
      <c r="E8" s="158"/>
      <c r="F8" s="158"/>
      <c r="G8" s="948" t="s">
        <v>382</v>
      </c>
      <c r="H8" s="948"/>
      <c r="I8" s="948"/>
      <c r="J8" s="949"/>
    </row>
    <row r="9" spans="1:10" ht="46.5" customHeight="1" thickBot="1">
      <c r="B9" s="707" t="s">
        <v>590</v>
      </c>
      <c r="C9" s="708" t="s">
        <v>591</v>
      </c>
      <c r="D9" s="709" t="s">
        <v>383</v>
      </c>
      <c r="E9" s="709" t="s">
        <v>384</v>
      </c>
      <c r="F9" s="708" t="s">
        <v>390</v>
      </c>
      <c r="G9" s="708" t="s">
        <v>385</v>
      </c>
      <c r="H9" s="708" t="s">
        <v>386</v>
      </c>
      <c r="I9" s="708" t="s">
        <v>387</v>
      </c>
      <c r="J9" s="710" t="s">
        <v>388</v>
      </c>
    </row>
    <row r="10" spans="1:10" ht="15" customHeight="1">
      <c r="B10" s="898" t="s">
        <v>814</v>
      </c>
      <c r="C10" s="899">
        <v>1</v>
      </c>
      <c r="D10" s="900">
        <v>602</v>
      </c>
      <c r="E10" s="901">
        <v>60200</v>
      </c>
      <c r="F10" s="712"/>
      <c r="G10" s="158"/>
      <c r="H10" s="158"/>
      <c r="I10" s="158"/>
      <c r="J10" s="232"/>
    </row>
    <row r="11" spans="1:10" ht="15" customHeight="1">
      <c r="B11" s="705"/>
      <c r="C11" s="711"/>
      <c r="D11" s="713"/>
      <c r="E11" s="714"/>
      <c r="F11" s="714"/>
      <c r="G11" s="158"/>
      <c r="H11" s="158"/>
      <c r="I11" s="158"/>
      <c r="J11" s="232"/>
    </row>
    <row r="12" spans="1:10" ht="15" customHeight="1">
      <c r="B12" s="705"/>
      <c r="C12" s="711"/>
      <c r="D12" s="713"/>
      <c r="E12" s="714"/>
      <c r="F12" s="714"/>
      <c r="G12" s="158"/>
      <c r="H12" s="158"/>
      <c r="I12" s="158"/>
      <c r="J12" s="232"/>
    </row>
    <row r="13" spans="1:10" ht="15" customHeight="1">
      <c r="B13" s="705"/>
      <c r="C13" s="682"/>
      <c r="D13" s="713"/>
      <c r="E13" s="714"/>
      <c r="F13" s="714"/>
      <c r="G13" s="158"/>
      <c r="H13" s="158"/>
      <c r="I13" s="158"/>
      <c r="J13" s="232"/>
    </row>
    <row r="14" spans="1:10" ht="15" customHeight="1">
      <c r="B14" s="705"/>
      <c r="C14" s="715"/>
      <c r="D14" s="713"/>
      <c r="E14" s="714"/>
      <c r="F14" s="714"/>
      <c r="G14" s="158"/>
      <c r="H14" s="158"/>
      <c r="I14" s="158"/>
      <c r="J14" s="232"/>
    </row>
    <row r="15" spans="1:10" ht="15" customHeight="1">
      <c r="B15" s="231"/>
      <c r="C15" s="682"/>
      <c r="D15" s="713"/>
      <c r="E15" s="714"/>
      <c r="F15" s="714"/>
      <c r="G15" s="158"/>
      <c r="H15" s="158"/>
      <c r="I15" s="158"/>
      <c r="J15" s="232"/>
    </row>
    <row r="16" spans="1:10" ht="15" customHeight="1">
      <c r="B16" s="704" t="s">
        <v>592</v>
      </c>
      <c r="C16" s="682"/>
      <c r="D16" s="158"/>
      <c r="E16" s="714"/>
      <c r="F16" s="714"/>
      <c r="G16" s="158"/>
      <c r="H16" s="158"/>
      <c r="I16" s="158"/>
      <c r="J16" s="232"/>
    </row>
    <row r="17" spans="2:10" ht="27.75" customHeight="1">
      <c r="B17" s="705"/>
      <c r="C17" s="715"/>
      <c r="D17" s="158"/>
      <c r="E17" s="158"/>
      <c r="F17" s="158"/>
      <c r="G17" s="948" t="s">
        <v>382</v>
      </c>
      <c r="H17" s="948"/>
      <c r="I17" s="948"/>
      <c r="J17" s="949"/>
    </row>
    <row r="18" spans="2:10" ht="42" customHeight="1" thickBot="1">
      <c r="B18" s="707" t="s">
        <v>593</v>
      </c>
      <c r="C18" s="708" t="s">
        <v>591</v>
      </c>
      <c r="D18" s="709" t="s">
        <v>383</v>
      </c>
      <c r="E18" s="709" t="s">
        <v>384</v>
      </c>
      <c r="F18" s="708" t="s">
        <v>389</v>
      </c>
      <c r="G18" s="708" t="s">
        <v>385</v>
      </c>
      <c r="H18" s="708" t="s">
        <v>386</v>
      </c>
      <c r="I18" s="708" t="s">
        <v>387</v>
      </c>
      <c r="J18" s="710" t="s">
        <v>388</v>
      </c>
    </row>
    <row r="19" spans="2:10" ht="15" customHeight="1">
      <c r="B19" s="705"/>
      <c r="C19" s="716"/>
      <c r="D19" s="158"/>
      <c r="E19" s="158"/>
      <c r="F19" s="158"/>
      <c r="G19" s="158"/>
      <c r="H19" s="158"/>
      <c r="I19" s="158"/>
      <c r="J19" s="232"/>
    </row>
    <row r="20" spans="2:10" ht="15" customHeight="1">
      <c r="B20" s="705"/>
      <c r="C20" s="716"/>
      <c r="D20" s="158"/>
      <c r="E20" s="158"/>
      <c r="F20" s="158"/>
      <c r="G20" s="158"/>
      <c r="H20" s="158"/>
      <c r="I20" s="158"/>
      <c r="J20" s="232"/>
    </row>
    <row r="21" spans="2:10" ht="15" customHeight="1">
      <c r="B21" s="705"/>
      <c r="C21" s="716"/>
      <c r="D21" s="158"/>
      <c r="E21" s="158"/>
      <c r="F21" s="158"/>
      <c r="G21" s="158"/>
      <c r="H21" s="158"/>
      <c r="I21" s="158"/>
      <c r="J21" s="232"/>
    </row>
    <row r="22" spans="2:10" ht="15" customHeight="1">
      <c r="B22" s="705"/>
      <c r="C22" s="716"/>
      <c r="D22" s="158"/>
      <c r="E22" s="158"/>
      <c r="F22" s="158"/>
      <c r="G22" s="158"/>
      <c r="H22" s="158"/>
      <c r="I22" s="158"/>
      <c r="J22" s="232"/>
    </row>
    <row r="23" spans="2:10" ht="15" customHeight="1">
      <c r="B23" s="705"/>
      <c r="C23" s="706"/>
      <c r="D23" s="158"/>
      <c r="E23" s="158"/>
      <c r="F23" s="158"/>
      <c r="G23" s="158"/>
      <c r="H23" s="158"/>
      <c r="I23" s="158"/>
      <c r="J23" s="232"/>
    </row>
    <row r="24" spans="2:10" ht="15" customHeight="1">
      <c r="B24" s="705"/>
      <c r="C24" s="706"/>
      <c r="D24" s="158"/>
      <c r="E24" s="158"/>
      <c r="F24" s="158"/>
      <c r="G24" s="158"/>
      <c r="H24" s="158"/>
      <c r="I24" s="158"/>
      <c r="J24" s="232"/>
    </row>
    <row r="25" spans="2:10" ht="15" customHeight="1">
      <c r="B25" s="231"/>
      <c r="C25" s="158"/>
      <c r="D25" s="158"/>
      <c r="E25" s="158"/>
      <c r="F25" s="158"/>
      <c r="G25" s="158"/>
      <c r="H25" s="158"/>
      <c r="I25" s="158"/>
      <c r="J25" s="232"/>
    </row>
    <row r="26" spans="2:10" ht="15" customHeight="1">
      <c r="B26" s="705"/>
      <c r="C26" s="706"/>
      <c r="D26" s="158"/>
      <c r="E26" s="158"/>
      <c r="F26" s="158"/>
      <c r="G26" s="158"/>
      <c r="H26" s="158"/>
      <c r="I26" s="158"/>
      <c r="J26" s="232"/>
    </row>
    <row r="27" spans="2:10" ht="15" customHeight="1">
      <c r="B27" s="705"/>
      <c r="C27" s="706"/>
      <c r="D27" s="158"/>
      <c r="E27" s="158"/>
      <c r="F27" s="158"/>
      <c r="G27" s="158"/>
      <c r="H27" s="158"/>
      <c r="I27" s="158"/>
      <c r="J27" s="232"/>
    </row>
    <row r="28" spans="2:10" ht="15" customHeight="1">
      <c r="B28" s="704" t="s">
        <v>594</v>
      </c>
      <c r="C28" s="158"/>
      <c r="D28" s="158"/>
      <c r="E28" s="158"/>
      <c r="F28" s="158"/>
      <c r="G28" s="158"/>
      <c r="H28" s="158"/>
      <c r="I28" s="158"/>
      <c r="J28" s="232"/>
    </row>
    <row r="29" spans="2:10" ht="5.45" customHeight="1">
      <c r="B29" s="705"/>
      <c r="C29" s="706"/>
      <c r="D29" s="158"/>
      <c r="E29" s="158"/>
      <c r="F29" s="158"/>
      <c r="G29" s="158"/>
      <c r="H29" s="158"/>
      <c r="I29" s="158"/>
      <c r="J29" s="232"/>
    </row>
    <row r="30" spans="2:10" ht="29.45" customHeight="1" thickBot="1">
      <c r="B30" s="707" t="s">
        <v>595</v>
      </c>
      <c r="C30" s="717" t="s">
        <v>596</v>
      </c>
      <c r="D30" s="708" t="s">
        <v>597</v>
      </c>
      <c r="E30" s="314"/>
      <c r="F30" s="314"/>
      <c r="G30" s="314"/>
      <c r="H30" s="314"/>
      <c r="I30" s="314"/>
      <c r="J30" s="318"/>
    </row>
    <row r="31" spans="2:10" ht="10.15" customHeight="1">
      <c r="B31" s="718"/>
      <c r="C31" s="719"/>
      <c r="D31" s="700"/>
      <c r="E31" s="158"/>
      <c r="F31" s="158"/>
      <c r="G31" s="158"/>
      <c r="H31" s="158"/>
      <c r="I31" s="158"/>
      <c r="J31" s="232"/>
    </row>
    <row r="32" spans="2:10" ht="16.5" customHeight="1">
      <c r="B32" s="705" t="s">
        <v>815</v>
      </c>
      <c r="C32" s="158" t="s">
        <v>818</v>
      </c>
      <c r="D32" s="720">
        <v>42286</v>
      </c>
      <c r="E32" s="158"/>
      <c r="F32" s="158"/>
      <c r="G32" s="158"/>
      <c r="H32" s="158"/>
      <c r="I32" s="158"/>
      <c r="J32" s="232"/>
    </row>
    <row r="33" spans="2:10" ht="15" customHeight="1">
      <c r="B33" s="705" t="s">
        <v>816</v>
      </c>
      <c r="C33" s="158" t="s">
        <v>819</v>
      </c>
      <c r="D33" s="720">
        <v>42286</v>
      </c>
      <c r="E33" s="158"/>
      <c r="F33" s="158"/>
      <c r="G33" s="158"/>
      <c r="H33" s="158"/>
      <c r="I33" s="158"/>
      <c r="J33" s="232"/>
    </row>
    <row r="34" spans="2:10" ht="15" customHeight="1">
      <c r="B34" s="705" t="s">
        <v>817</v>
      </c>
      <c r="C34" s="158" t="s">
        <v>820</v>
      </c>
      <c r="D34" s="720">
        <v>42286</v>
      </c>
      <c r="E34" s="158"/>
      <c r="F34" s="158"/>
      <c r="G34" s="158"/>
      <c r="H34" s="158"/>
      <c r="I34" s="158"/>
      <c r="J34" s="232"/>
    </row>
    <row r="35" spans="2:10" ht="15" customHeight="1">
      <c r="B35" s="705" t="s">
        <v>821</v>
      </c>
      <c r="C35" s="158" t="s">
        <v>598</v>
      </c>
      <c r="D35" s="721">
        <v>42286</v>
      </c>
      <c r="E35" s="158"/>
      <c r="F35" s="158"/>
      <c r="G35" s="158"/>
      <c r="H35" s="158"/>
      <c r="I35" s="158"/>
      <c r="J35" s="232"/>
    </row>
    <row r="36" spans="2:10" ht="15" customHeight="1">
      <c r="B36" s="705"/>
      <c r="D36" s="720"/>
      <c r="E36" s="158"/>
      <c r="F36" s="158"/>
      <c r="G36" s="158"/>
      <c r="H36" s="158"/>
      <c r="I36" s="158"/>
      <c r="J36" s="232"/>
    </row>
    <row r="37" spans="2:10" ht="15" customHeight="1">
      <c r="B37" s="705"/>
      <c r="C37" s="158"/>
      <c r="D37" s="720"/>
      <c r="E37" s="158"/>
      <c r="F37" s="158"/>
      <c r="G37" s="158"/>
      <c r="H37" s="158"/>
      <c r="I37" s="158"/>
      <c r="J37" s="232"/>
    </row>
    <row r="38" spans="2:10" ht="15" customHeight="1">
      <c r="B38" s="231"/>
      <c r="C38" s="158"/>
      <c r="D38" s="158"/>
      <c r="E38" s="158"/>
      <c r="F38" s="158"/>
      <c r="G38" s="158"/>
      <c r="H38" s="158"/>
      <c r="I38" s="158"/>
      <c r="J38" s="232"/>
    </row>
    <row r="39" spans="2:10" ht="20.45" customHeight="1">
      <c r="B39" s="704" t="s">
        <v>599</v>
      </c>
      <c r="C39" s="158"/>
      <c r="D39" s="158"/>
      <c r="E39" s="158"/>
      <c r="F39" s="158"/>
      <c r="G39" s="158"/>
      <c r="H39" s="158"/>
      <c r="I39" s="158"/>
      <c r="J39" s="232"/>
    </row>
    <row r="40" spans="2:10" ht="15" customHeight="1">
      <c r="B40" s="231"/>
      <c r="C40" s="158"/>
      <c r="D40" s="158"/>
      <c r="E40" s="158"/>
      <c r="F40" s="158"/>
      <c r="G40" s="158"/>
      <c r="H40" s="158"/>
      <c r="I40" s="158"/>
      <c r="J40" s="232"/>
    </row>
    <row r="41" spans="2:10" ht="15" customHeight="1">
      <c r="B41" s="718" t="s">
        <v>595</v>
      </c>
      <c r="C41" s="706"/>
      <c r="D41" s="158"/>
      <c r="E41" s="158"/>
      <c r="F41" s="158"/>
      <c r="G41" s="158"/>
      <c r="H41" s="158"/>
      <c r="I41" s="158"/>
      <c r="J41" s="232"/>
    </row>
    <row r="42" spans="2:10" ht="15" customHeight="1" thickBot="1">
      <c r="B42" s="317"/>
      <c r="C42" s="314"/>
      <c r="D42" s="314"/>
      <c r="E42" s="314"/>
      <c r="F42" s="314"/>
      <c r="G42" s="314"/>
      <c r="H42" s="314"/>
      <c r="I42" s="314"/>
      <c r="J42" s="318"/>
    </row>
    <row r="43" spans="2:10" ht="13.9" customHeight="1">
      <c r="B43" s="158"/>
      <c r="C43" s="158"/>
      <c r="D43" s="158"/>
      <c r="E43" s="158"/>
      <c r="F43" s="158"/>
    </row>
    <row r="44" spans="2:10" ht="13.9" customHeight="1">
      <c r="B44" s="158"/>
      <c r="C44" s="158"/>
      <c r="D44" s="158"/>
      <c r="E44" s="158"/>
      <c r="F44" s="158"/>
    </row>
    <row r="45" spans="2:10" ht="13.9" customHeight="1"/>
    <row r="46" spans="2:10" ht="13.9" customHeight="1"/>
    <row r="47" spans="2:10" ht="13.9" customHeight="1"/>
  </sheetData>
  <mergeCells count="6">
    <mergeCell ref="G8:J8"/>
    <mergeCell ref="G17:J17"/>
    <mergeCell ref="B3:I3"/>
    <mergeCell ref="J3:J4"/>
    <mergeCell ref="B4:I4"/>
    <mergeCell ref="B5:J5"/>
  </mergeCells>
  <phoneticPr fontId="0" type="noConversion"/>
  <printOptions horizontalCentered="1" verticalCentered="1"/>
  <pageMargins left="0.78740157480314965" right="0.78740157480314965" top="0.78740157480314965" bottom="0.78740157480314965" header="0" footer="0"/>
  <pageSetup paperSize="9" scale="3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 enableFormatConditionsCalculation="0">
    <tabColor rgb="FFFF0000"/>
    <pageSetUpPr fitToPage="1"/>
  </sheetPr>
  <dimension ref="B1:G93"/>
  <sheetViews>
    <sheetView topLeftCell="A52" workbookViewId="0">
      <selection activeCell="B2" sqref="B2:F23"/>
    </sheetView>
  </sheetViews>
  <sheetFormatPr baseColWidth="10" defaultColWidth="11.5703125" defaultRowHeight="12.75"/>
  <cols>
    <col min="1" max="1" width="4.42578125" style="133" customWidth="1"/>
    <col min="2" max="2" width="8.42578125" style="133" customWidth="1"/>
    <col min="3" max="3" width="49.7109375" style="133" customWidth="1"/>
    <col min="4" max="4" width="16.7109375" style="134" customWidth="1"/>
    <col min="5" max="5" width="11.28515625" style="133" customWidth="1"/>
    <col min="6" max="16384" width="11.5703125" style="133"/>
  </cols>
  <sheetData>
    <row r="1" spans="2:7" ht="19.899999999999999" customHeight="1"/>
    <row r="2" spans="2:7">
      <c r="B2" s="965" t="s">
        <v>429</v>
      </c>
      <c r="C2" s="965"/>
      <c r="D2" s="965"/>
      <c r="E2" s="132"/>
      <c r="F2" s="132"/>
    </row>
    <row r="3" spans="2:7" ht="13.5" thickBot="1">
      <c r="B3" s="183"/>
      <c r="C3" s="183"/>
      <c r="D3" s="183"/>
      <c r="E3" s="132"/>
      <c r="F3" s="132"/>
    </row>
    <row r="4" spans="2:7" ht="15.75" thickBot="1">
      <c r="B4" s="966" t="str">
        <f>'ORGANOS DE GOBIERNO'!B4:I4</f>
        <v>ENTIDAD: INSTITUTO VOLCANOLOGICO DE CANARIAS</v>
      </c>
      <c r="C4" s="967"/>
      <c r="D4" s="968"/>
      <c r="E4" s="132"/>
      <c r="F4" s="132"/>
    </row>
    <row r="5" spans="2:7" ht="13.5" thickBot="1">
      <c r="B5" s="184"/>
      <c r="C5" s="184"/>
      <c r="E5" s="132"/>
      <c r="F5" s="132"/>
    </row>
    <row r="6" spans="2:7" ht="15.75" thickBot="1">
      <c r="B6" s="969" t="s">
        <v>358</v>
      </c>
      <c r="C6" s="967"/>
      <c r="D6" s="968"/>
    </row>
    <row r="7" spans="2:7" ht="15.6" customHeight="1" thickBot="1"/>
    <row r="8" spans="2:7">
      <c r="B8" s="970" t="s">
        <v>621</v>
      </c>
      <c r="C8" s="971"/>
      <c r="D8" s="981"/>
    </row>
    <row r="9" spans="2:7" ht="13.5" customHeight="1" thickBot="1">
      <c r="B9" s="972"/>
      <c r="C9" s="973"/>
      <c r="D9" s="982"/>
    </row>
    <row r="10" spans="2:7" ht="12.75" customHeight="1">
      <c r="B10" s="151"/>
      <c r="C10" s="152"/>
      <c r="D10" s="160"/>
    </row>
    <row r="11" spans="2:7">
      <c r="B11" s="138" t="s">
        <v>623</v>
      </c>
      <c r="C11" s="139" t="s">
        <v>709</v>
      </c>
      <c r="D11" s="450">
        <v>0</v>
      </c>
      <c r="F11" s="169"/>
      <c r="G11" s="169"/>
    </row>
    <row r="12" spans="2:7">
      <c r="B12" s="138" t="s">
        <v>624</v>
      </c>
      <c r="C12" s="139" t="s">
        <v>710</v>
      </c>
      <c r="D12" s="450">
        <v>0</v>
      </c>
      <c r="F12" s="169"/>
      <c r="G12" s="169"/>
    </row>
    <row r="13" spans="2:7">
      <c r="B13" s="138" t="s">
        <v>625</v>
      </c>
      <c r="C13" s="139" t="s">
        <v>711</v>
      </c>
      <c r="D13" s="450">
        <f>CPYG!E7+CPYG!E21+CPYG!E19</f>
        <v>16000</v>
      </c>
      <c r="F13" s="169"/>
      <c r="G13" s="169"/>
    </row>
    <row r="14" spans="2:7">
      <c r="B14" s="138" t="s">
        <v>626</v>
      </c>
      <c r="C14" s="139" t="s">
        <v>712</v>
      </c>
      <c r="D14" s="450">
        <f>CPYG!E22</f>
        <v>912000</v>
      </c>
      <c r="F14" s="169"/>
      <c r="G14" s="169"/>
    </row>
    <row r="15" spans="2:7">
      <c r="B15" s="138" t="s">
        <v>627</v>
      </c>
      <c r="C15" s="139" t="s">
        <v>713</v>
      </c>
      <c r="D15" s="450">
        <f>CPYG!E20+CPYG!E67+CPYG!E70+CPYG!E86</f>
        <v>0</v>
      </c>
      <c r="F15" s="169"/>
      <c r="G15" s="169"/>
    </row>
    <row r="16" spans="2:7">
      <c r="B16" s="141"/>
      <c r="C16" s="142"/>
      <c r="D16" s="451"/>
      <c r="F16" s="169"/>
      <c r="G16" s="169"/>
    </row>
    <row r="17" spans="2:6">
      <c r="B17" s="144" t="s">
        <v>628</v>
      </c>
      <c r="C17" s="145"/>
      <c r="D17" s="452">
        <f>SUM(D11:D15)</f>
        <v>928000</v>
      </c>
      <c r="F17" s="169"/>
    </row>
    <row r="18" spans="2:6">
      <c r="B18" s="147"/>
      <c r="C18" s="148"/>
      <c r="D18" s="453"/>
    </row>
    <row r="19" spans="2:6">
      <c r="B19" s="141"/>
      <c r="C19" s="142"/>
      <c r="D19" s="451"/>
    </row>
    <row r="20" spans="2:6">
      <c r="B20" s="138" t="s">
        <v>629</v>
      </c>
      <c r="C20" s="139" t="s">
        <v>714</v>
      </c>
      <c r="D20" s="451"/>
    </row>
    <row r="21" spans="2:6">
      <c r="B21" s="138" t="s">
        <v>630</v>
      </c>
      <c r="C21" s="139" t="s">
        <v>715</v>
      </c>
      <c r="D21" s="451"/>
    </row>
    <row r="22" spans="2:6">
      <c r="B22" s="141"/>
      <c r="C22" s="142"/>
      <c r="D22" s="451"/>
    </row>
    <row r="23" spans="2:6">
      <c r="B23" s="144" t="s">
        <v>631</v>
      </c>
      <c r="C23" s="145"/>
      <c r="D23" s="452">
        <f>+D20+D21</f>
        <v>0</v>
      </c>
    </row>
    <row r="24" spans="2:6">
      <c r="B24" s="147"/>
      <c r="C24" s="148"/>
      <c r="D24" s="453"/>
    </row>
    <row r="25" spans="2:6">
      <c r="B25" s="141"/>
      <c r="C25" s="142"/>
      <c r="D25" s="451"/>
    </row>
    <row r="26" spans="2:6">
      <c r="B26" s="138" t="s">
        <v>632</v>
      </c>
      <c r="C26" s="139" t="s">
        <v>716</v>
      </c>
      <c r="D26" s="450"/>
    </row>
    <row r="27" spans="2:6">
      <c r="B27" s="138" t="s">
        <v>633</v>
      </c>
      <c r="C27" s="139" t="s">
        <v>717</v>
      </c>
      <c r="D27" s="450"/>
    </row>
    <row r="28" spans="2:6">
      <c r="B28" s="141"/>
      <c r="C28" s="142"/>
      <c r="D28" s="451"/>
    </row>
    <row r="29" spans="2:6" ht="13.5" thickBot="1">
      <c r="B29" s="209" t="s">
        <v>634</v>
      </c>
      <c r="C29" s="455"/>
      <c r="D29" s="454">
        <f>+D27+D26</f>
        <v>0</v>
      </c>
    </row>
    <row r="30" spans="2:6" ht="13.5" thickBot="1">
      <c r="B30" s="151"/>
      <c r="C30" s="159"/>
      <c r="D30" s="160"/>
    </row>
    <row r="31" spans="2:6">
      <c r="B31" s="161"/>
      <c r="C31" s="162"/>
      <c r="D31" s="456"/>
    </row>
    <row r="32" spans="2:6">
      <c r="B32" s="154"/>
      <c r="C32" s="156" t="s">
        <v>635</v>
      </c>
      <c r="D32" s="457">
        <f>+D29+D23+D17</f>
        <v>928000</v>
      </c>
    </row>
    <row r="33" spans="2:4" ht="13.5" thickBot="1">
      <c r="B33" s="164"/>
      <c r="C33" s="203"/>
      <c r="D33" s="458"/>
    </row>
    <row r="34" spans="2:4">
      <c r="B34" s="206"/>
      <c r="C34" s="461"/>
      <c r="D34" s="459"/>
    </row>
    <row r="35" spans="2:4">
      <c r="B35" s="200"/>
      <c r="C35" s="201" t="s">
        <v>636</v>
      </c>
      <c r="D35" s="160">
        <f>CPYG!E9+CPYG!E11+CPYG!E53+CPYG!E47+CPYG!E46+CPYG!E78+CPYG!E57+CPYG!E73</f>
        <v>54952.21</v>
      </c>
    </row>
    <row r="36" spans="2:4" ht="13.5" thickBot="1">
      <c r="B36" s="208"/>
      <c r="C36" s="462"/>
      <c r="D36" s="460"/>
    </row>
    <row r="37" spans="2:4">
      <c r="B37" s="161"/>
      <c r="C37" s="162"/>
      <c r="D37" s="456"/>
    </row>
    <row r="38" spans="2:4">
      <c r="B38" s="979" t="s">
        <v>359</v>
      </c>
      <c r="C38" s="980"/>
      <c r="D38" s="457">
        <f>D32+D35</f>
        <v>982952.21</v>
      </c>
    </row>
    <row r="39" spans="2:4" ht="13.5" thickBot="1">
      <c r="B39" s="164"/>
      <c r="C39" s="203"/>
      <c r="D39" s="458"/>
    </row>
    <row r="41" spans="2:4" ht="13.5" thickBot="1"/>
    <row r="42" spans="2:4">
      <c r="B42" s="970" t="s">
        <v>621</v>
      </c>
      <c r="C42" s="971"/>
      <c r="D42" s="983"/>
    </row>
    <row r="43" spans="2:4" ht="13.5" customHeight="1" thickBot="1">
      <c r="B43" s="972"/>
      <c r="C43" s="973"/>
      <c r="D43" s="984"/>
    </row>
    <row r="44" spans="2:4" ht="12.75" customHeight="1">
      <c r="B44" s="151"/>
      <c r="C44" s="152"/>
      <c r="D44" s="463"/>
    </row>
    <row r="45" spans="2:4">
      <c r="B45" s="138" t="s">
        <v>623</v>
      </c>
      <c r="C45" s="167" t="s">
        <v>637</v>
      </c>
      <c r="D45" s="464">
        <f>-CPYG!E29+CPYG!E35</f>
        <v>278912.11</v>
      </c>
    </row>
    <row r="46" spans="2:4">
      <c r="B46" s="138" t="s">
        <v>624</v>
      </c>
      <c r="C46" s="167" t="s">
        <v>638</v>
      </c>
      <c r="D46" s="465">
        <f>-CPYG!E12+CPYG!E16-CPYG!E38-CPYG!E39-CPYG!E90-CPYG!E41</f>
        <v>642601.7300000001</v>
      </c>
    </row>
    <row r="47" spans="2:4">
      <c r="B47" s="138" t="s">
        <v>625</v>
      </c>
      <c r="C47" s="167" t="s">
        <v>137</v>
      </c>
      <c r="D47" s="465">
        <f>-CPYG!E75-CPYG!E76-CPYG!E87</f>
        <v>0</v>
      </c>
    </row>
    <row r="48" spans="2:4">
      <c r="B48" s="138" t="s">
        <v>626</v>
      </c>
      <c r="C48" s="167" t="s">
        <v>639</v>
      </c>
      <c r="D48" s="465">
        <f>CPYG!E58</f>
        <v>0</v>
      </c>
    </row>
    <row r="49" spans="2:4">
      <c r="B49" s="151"/>
      <c r="C49" s="152"/>
      <c r="D49" s="465"/>
    </row>
    <row r="50" spans="2:4">
      <c r="B50" s="144" t="s">
        <v>640</v>
      </c>
      <c r="C50" s="145"/>
      <c r="D50" s="466">
        <f>SUM(D45:D48)</f>
        <v>921513.84000000008</v>
      </c>
    </row>
    <row r="51" spans="2:4">
      <c r="B51" s="147"/>
      <c r="C51" s="148"/>
      <c r="D51" s="467"/>
    </row>
    <row r="52" spans="2:4">
      <c r="B52" s="151"/>
      <c r="C52" s="152"/>
      <c r="D52" s="463"/>
    </row>
    <row r="53" spans="2:4">
      <c r="B53" s="138" t="s">
        <v>629</v>
      </c>
      <c r="C53" s="167" t="s">
        <v>642</v>
      </c>
      <c r="D53" s="465"/>
    </row>
    <row r="54" spans="2:4">
      <c r="B54" s="138" t="s">
        <v>630</v>
      </c>
      <c r="C54" s="167" t="s">
        <v>643</v>
      </c>
      <c r="D54" s="465"/>
    </row>
    <row r="55" spans="2:4">
      <c r="B55" s="151"/>
      <c r="C55" s="152"/>
      <c r="D55" s="463"/>
    </row>
    <row r="56" spans="2:4">
      <c r="B56" s="144" t="s">
        <v>644</v>
      </c>
      <c r="C56" s="145"/>
      <c r="D56" s="466">
        <f>+D54+D53</f>
        <v>0</v>
      </c>
    </row>
    <row r="57" spans="2:4">
      <c r="B57" s="147"/>
      <c r="C57" s="148"/>
      <c r="D57" s="467"/>
    </row>
    <row r="58" spans="2:4">
      <c r="B58" s="151"/>
      <c r="C58" s="152"/>
      <c r="D58" s="463"/>
    </row>
    <row r="59" spans="2:4">
      <c r="B59" s="138" t="s">
        <v>632</v>
      </c>
      <c r="C59" s="167" t="s">
        <v>646</v>
      </c>
      <c r="D59" s="465"/>
    </row>
    <row r="60" spans="2:4">
      <c r="B60" s="138" t="s">
        <v>633</v>
      </c>
      <c r="C60" s="167" t="s">
        <v>647</v>
      </c>
      <c r="D60" s="465"/>
    </row>
    <row r="61" spans="2:4">
      <c r="B61" s="151"/>
      <c r="C61" s="152"/>
      <c r="D61" s="463"/>
    </row>
    <row r="62" spans="2:4" ht="13.5" thickBot="1">
      <c r="B62" s="209" t="s">
        <v>648</v>
      </c>
      <c r="C62" s="455"/>
      <c r="D62" s="454">
        <f>+D60+D59</f>
        <v>0</v>
      </c>
    </row>
    <row r="63" spans="2:4" ht="14.25" customHeight="1" thickBot="1">
      <c r="B63" s="151"/>
      <c r="C63" s="159"/>
      <c r="D63" s="160"/>
    </row>
    <row r="64" spans="2:4" ht="14.25" customHeight="1">
      <c r="B64" s="161"/>
      <c r="C64" s="162"/>
      <c r="D64" s="456"/>
    </row>
    <row r="65" spans="2:4">
      <c r="B65" s="154"/>
      <c r="C65" s="156" t="s">
        <v>651</v>
      </c>
      <c r="D65" s="457">
        <f>+D62+D56+D50</f>
        <v>921513.84000000008</v>
      </c>
    </row>
    <row r="66" spans="2:4" ht="13.5" thickBot="1">
      <c r="B66" s="164"/>
      <c r="C66" s="203"/>
      <c r="D66" s="458"/>
    </row>
    <row r="67" spans="2:4">
      <c r="B67" s="207"/>
      <c r="C67" s="472"/>
      <c r="D67" s="468"/>
    </row>
    <row r="68" spans="2:4">
      <c r="B68" s="200"/>
      <c r="C68" s="201" t="s">
        <v>650</v>
      </c>
      <c r="D68" s="469">
        <f>-CPYG!E10-CPYG!E16-CPYG!E49-CPYG!E35-CPYG!E42-CPYG!E40-CPYG!E77-CPYG!E81-CPYG!E82</f>
        <v>54952.21</v>
      </c>
    </row>
    <row r="69" spans="2:4" ht="14.25" customHeight="1" thickBot="1">
      <c r="B69" s="208"/>
      <c r="C69" s="462"/>
      <c r="D69" s="470"/>
    </row>
    <row r="70" spans="2:4" ht="14.25" customHeight="1">
      <c r="B70" s="154"/>
      <c r="C70" s="473"/>
      <c r="D70" s="471"/>
    </row>
    <row r="71" spans="2:4">
      <c r="B71" s="979" t="s">
        <v>360</v>
      </c>
      <c r="C71" s="980"/>
      <c r="D71" s="457">
        <f>D65+D68</f>
        <v>976466.05</v>
      </c>
    </row>
    <row r="72" spans="2:4" ht="13.5" thickBot="1">
      <c r="B72" s="164"/>
      <c r="C72" s="203"/>
      <c r="D72" s="458"/>
    </row>
    <row r="73" spans="2:4">
      <c r="B73" s="158"/>
      <c r="C73" s="158"/>
    </row>
    <row r="74" spans="2:4">
      <c r="C74" s="185" t="s">
        <v>83</v>
      </c>
      <c r="D74" s="186">
        <f>D38-D71</f>
        <v>6486.1599999999162</v>
      </c>
    </row>
    <row r="75" spans="2:4" hidden="1"/>
    <row r="76" spans="2:4" hidden="1">
      <c r="D76" s="169"/>
    </row>
    <row r="77" spans="2:4" hidden="1">
      <c r="D77" s="169"/>
    </row>
    <row r="78" spans="2:4" hidden="1">
      <c r="B78" s="175"/>
      <c r="C78" s="176" t="s">
        <v>708</v>
      </c>
      <c r="D78" s="177"/>
    </row>
    <row r="79" spans="2:4" hidden="1">
      <c r="C79" s="178"/>
      <c r="D79" s="179"/>
    </row>
    <row r="80" spans="2:4" hidden="1">
      <c r="C80" s="178"/>
      <c r="D80" s="179"/>
    </row>
    <row r="81" spans="3:4" hidden="1">
      <c r="C81" s="180" t="s">
        <v>660</v>
      </c>
      <c r="D81" s="133"/>
    </row>
    <row r="82" spans="3:4" hidden="1">
      <c r="C82" s="181" t="s">
        <v>84</v>
      </c>
      <c r="D82" s="133"/>
    </row>
    <row r="83" spans="3:4" ht="18" hidden="1" customHeight="1">
      <c r="C83" s="181" t="s">
        <v>85</v>
      </c>
      <c r="D83" s="133"/>
    </row>
    <row r="84" spans="3:4" ht="18" hidden="1" customHeight="1">
      <c r="C84" s="181" t="s">
        <v>78</v>
      </c>
      <c r="D84" s="133"/>
    </row>
    <row r="85" spans="3:4" ht="18" hidden="1" customHeight="1">
      <c r="C85" s="181" t="s">
        <v>86</v>
      </c>
      <c r="D85" s="133"/>
    </row>
    <row r="86" spans="3:4" ht="18" hidden="1" customHeight="1">
      <c r="C86" s="181" t="s">
        <v>79</v>
      </c>
      <c r="D86" s="133"/>
    </row>
    <row r="87" spans="3:4" ht="18" hidden="1" customHeight="1">
      <c r="C87" s="132" t="s">
        <v>80</v>
      </c>
      <c r="D87" s="133"/>
    </row>
    <row r="88" spans="3:4" ht="21" hidden="1" customHeight="1">
      <c r="C88" s="182"/>
      <c r="D88" s="133"/>
    </row>
    <row r="89" spans="3:4">
      <c r="D89" s="133"/>
    </row>
    <row r="90" spans="3:4">
      <c r="D90" s="133"/>
    </row>
    <row r="91" spans="3:4">
      <c r="C91" s="610" t="s">
        <v>612</v>
      </c>
      <c r="D91" s="187">
        <f>SUM(D92:D93)</f>
        <v>0</v>
      </c>
    </row>
    <row r="92" spans="3:4">
      <c r="C92" s="611" t="s">
        <v>602</v>
      </c>
      <c r="D92" s="187">
        <f>'INF. ADIC. CPYG '!I37</f>
        <v>0</v>
      </c>
    </row>
    <row r="93" spans="3:4" ht="13.15" customHeight="1">
      <c r="C93" s="611" t="s">
        <v>603</v>
      </c>
      <c r="D93" s="187">
        <f>'INF. ADIC. CPYG '!I33</f>
        <v>0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B2:D2"/>
    <mergeCell ref="B4:D4"/>
    <mergeCell ref="B6:D6"/>
    <mergeCell ref="B71:C71"/>
    <mergeCell ref="D8:D9"/>
    <mergeCell ref="D42:D43"/>
    <mergeCell ref="B8:C9"/>
    <mergeCell ref="B42:C43"/>
    <mergeCell ref="B38:C38"/>
  </mergeCells>
  <phoneticPr fontId="5" type="noConversion"/>
  <printOptions horizontalCentered="1" verticalCentered="1"/>
  <pageMargins left="0.78740157480314965" right="0.78740157480314965" top="0.98425196850393704" bottom="0.98425196850393704" header="0" footer="0"/>
  <pageSetup paperSize="9" scale="7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B2:G84"/>
  <sheetViews>
    <sheetView topLeftCell="A61" workbookViewId="0">
      <selection activeCell="A70" sqref="A70:XFD84"/>
    </sheetView>
  </sheetViews>
  <sheetFormatPr baseColWidth="10" defaultColWidth="11.5703125" defaultRowHeight="12.75"/>
  <cols>
    <col min="1" max="1" width="2.140625" style="133" customWidth="1"/>
    <col min="2" max="2" width="8.42578125" style="133" customWidth="1"/>
    <col min="3" max="3" width="44.5703125" style="133" customWidth="1"/>
    <col min="4" max="4" width="16.7109375" style="134" customWidth="1"/>
    <col min="5" max="5" width="13.7109375" style="133" customWidth="1"/>
    <col min="6" max="16384" width="11.5703125" style="133"/>
  </cols>
  <sheetData>
    <row r="2" spans="2:4">
      <c r="B2" s="965" t="s">
        <v>600</v>
      </c>
      <c r="C2" s="965"/>
      <c r="D2" s="965"/>
    </row>
    <row r="3" spans="2:4" ht="13.5" thickBot="1">
      <c r="B3" s="183"/>
      <c r="C3" s="183"/>
      <c r="D3" s="183"/>
    </row>
    <row r="4" spans="2:4" ht="15.75" thickBot="1">
      <c r="B4" s="966" t="str">
        <f>'ORGANOS DE GOBIERNO'!B4:I4</f>
        <v>ENTIDAD: INSTITUTO VOLCANOLOGICO DE CANARIAS</v>
      </c>
      <c r="C4" s="967"/>
      <c r="D4" s="968"/>
    </row>
    <row r="5" spans="2:4" ht="13.5" thickBot="1">
      <c r="B5" s="184"/>
      <c r="C5" s="184"/>
    </row>
    <row r="6" spans="2:4" ht="15.75" thickBot="1">
      <c r="B6" s="969" t="s">
        <v>358</v>
      </c>
      <c r="C6" s="967"/>
      <c r="D6" s="968"/>
    </row>
    <row r="7" spans="2:4" ht="13.5" thickBot="1">
      <c r="B7" s="184"/>
      <c r="C7" s="184"/>
    </row>
    <row r="8" spans="2:4" ht="13.5" customHeight="1">
      <c r="B8" s="970" t="s">
        <v>621</v>
      </c>
      <c r="C8" s="971"/>
      <c r="D8" s="961"/>
    </row>
    <row r="9" spans="2:4" ht="12.75" customHeight="1" thickBot="1">
      <c r="B9" s="972"/>
      <c r="C9" s="973"/>
      <c r="D9" s="962"/>
    </row>
    <row r="10" spans="2:4">
      <c r="B10" s="151"/>
      <c r="C10" s="152"/>
      <c r="D10" s="202"/>
    </row>
    <row r="11" spans="2:4">
      <c r="B11" s="138" t="s">
        <v>623</v>
      </c>
      <c r="C11" s="139" t="s">
        <v>709</v>
      </c>
      <c r="D11" s="140">
        <f>PRESUPUESTO!D11</f>
        <v>0</v>
      </c>
    </row>
    <row r="12" spans="2:4">
      <c r="B12" s="138" t="s">
        <v>624</v>
      </c>
      <c r="C12" s="139" t="s">
        <v>710</v>
      </c>
      <c r="D12" s="140">
        <f>PRESUPUESTO!D12</f>
        <v>0</v>
      </c>
    </row>
    <row r="13" spans="2:4">
      <c r="B13" s="138" t="s">
        <v>625</v>
      </c>
      <c r="C13" s="139" t="s">
        <v>711</v>
      </c>
      <c r="D13" s="140">
        <f>PRESUPUESTO!D13</f>
        <v>16000</v>
      </c>
    </row>
    <row r="14" spans="2:4">
      <c r="B14" s="138" t="s">
        <v>626</v>
      </c>
      <c r="C14" s="139" t="s">
        <v>712</v>
      </c>
      <c r="D14" s="140">
        <f>PRESUPUESTO!D14</f>
        <v>912000</v>
      </c>
    </row>
    <row r="15" spans="2:4">
      <c r="B15" s="138" t="s">
        <v>627</v>
      </c>
      <c r="C15" s="139" t="s">
        <v>713</v>
      </c>
      <c r="D15" s="140">
        <f>PRESUPUESTO!D15</f>
        <v>0</v>
      </c>
    </row>
    <row r="16" spans="2:4">
      <c r="B16" s="141"/>
      <c r="C16" s="142"/>
      <c r="D16" s="143"/>
    </row>
    <row r="17" spans="2:7">
      <c r="B17" s="144" t="s">
        <v>628</v>
      </c>
      <c r="C17" s="145"/>
      <c r="D17" s="146">
        <f>SUM(D11:D15)</f>
        <v>928000</v>
      </c>
    </row>
    <row r="18" spans="2:7">
      <c r="B18" s="147"/>
      <c r="C18" s="148"/>
      <c r="D18" s="149"/>
    </row>
    <row r="19" spans="2:7">
      <c r="B19" s="141"/>
      <c r="C19" s="142"/>
      <c r="D19" s="143"/>
    </row>
    <row r="20" spans="2:7">
      <c r="B20" s="138" t="s">
        <v>629</v>
      </c>
      <c r="C20" s="139" t="s">
        <v>714</v>
      </c>
      <c r="D20" s="140">
        <f>PRESUPUESTO!D20</f>
        <v>0</v>
      </c>
    </row>
    <row r="21" spans="2:7">
      <c r="B21" s="138" t="s">
        <v>630</v>
      </c>
      <c r="C21" s="139" t="s">
        <v>715</v>
      </c>
      <c r="D21" s="140">
        <f>PRESUPUESTO!D21</f>
        <v>295000</v>
      </c>
    </row>
    <row r="22" spans="2:7">
      <c r="B22" s="141"/>
      <c r="C22" s="142"/>
      <c r="D22" s="143"/>
    </row>
    <row r="23" spans="2:7">
      <c r="B23" s="144" t="s">
        <v>631</v>
      </c>
      <c r="C23" s="145"/>
      <c r="D23" s="146">
        <f>SUM(D20:D21)</f>
        <v>295000</v>
      </c>
    </row>
    <row r="24" spans="2:7">
      <c r="B24" s="147"/>
      <c r="C24" s="148"/>
      <c r="D24" s="149"/>
    </row>
    <row r="25" spans="2:7">
      <c r="B25" s="141"/>
      <c r="C25" s="142"/>
      <c r="D25" s="143"/>
    </row>
    <row r="26" spans="2:7">
      <c r="B26" s="138" t="s">
        <v>632</v>
      </c>
      <c r="C26" s="139" t="s">
        <v>716</v>
      </c>
      <c r="D26" s="140">
        <f>PRESUPUESTO!D26</f>
        <v>0</v>
      </c>
    </row>
    <row r="27" spans="2:7">
      <c r="B27" s="138" t="s">
        <v>633</v>
      </c>
      <c r="C27" s="139" t="s">
        <v>717</v>
      </c>
      <c r="D27" s="140">
        <f>PRESUPUESTO!D27</f>
        <v>0</v>
      </c>
    </row>
    <row r="28" spans="2:7">
      <c r="B28" s="141"/>
      <c r="C28" s="142"/>
      <c r="D28" s="143"/>
    </row>
    <row r="29" spans="2:7">
      <c r="B29" s="144" t="s">
        <v>634</v>
      </c>
      <c r="C29" s="145"/>
      <c r="D29" s="150">
        <f>SUM(D26:D27)</f>
        <v>0</v>
      </c>
    </row>
    <row r="30" spans="2:7" ht="13.5" thickBot="1">
      <c r="B30" s="151"/>
      <c r="C30" s="152"/>
      <c r="D30" s="153"/>
    </row>
    <row r="31" spans="2:7">
      <c r="B31" s="161"/>
      <c r="C31" s="162"/>
      <c r="D31" s="163"/>
    </row>
    <row r="32" spans="2:7">
      <c r="B32" s="154"/>
      <c r="C32" s="156" t="s">
        <v>635</v>
      </c>
      <c r="D32" s="157">
        <f>D17+D23+D29</f>
        <v>1223000</v>
      </c>
      <c r="G32" s="615"/>
    </row>
    <row r="33" spans="2:4" ht="13.5" thickBot="1">
      <c r="B33" s="164"/>
      <c r="C33" s="203"/>
      <c r="D33" s="166"/>
    </row>
    <row r="34" spans="2:4" ht="24" customHeight="1" thickBot="1">
      <c r="B34" s="200"/>
      <c r="C34" s="201" t="s">
        <v>218</v>
      </c>
      <c r="D34" s="202">
        <f>'PRESUPUESTO CPYG'!D35</f>
        <v>54952.21</v>
      </c>
    </row>
    <row r="35" spans="2:4">
      <c r="B35" s="161"/>
      <c r="C35" s="162"/>
      <c r="D35" s="163"/>
    </row>
    <row r="36" spans="2:4">
      <c r="B36" s="154"/>
      <c r="C36" s="156" t="s">
        <v>635</v>
      </c>
      <c r="D36" s="157">
        <f>D32+D34</f>
        <v>1277952.21</v>
      </c>
    </row>
    <row r="37" spans="2:4" ht="13.5" thickBot="1">
      <c r="B37" s="164"/>
      <c r="C37" s="203"/>
      <c r="D37" s="166"/>
    </row>
    <row r="38" spans="2:4" ht="13.5" thickBot="1"/>
    <row r="39" spans="2:4" ht="13.5" customHeight="1">
      <c r="B39" s="970" t="s">
        <v>621</v>
      </c>
      <c r="C39" s="971"/>
      <c r="D39" s="963"/>
    </row>
    <row r="40" spans="2:4" ht="12.75" customHeight="1" thickBot="1">
      <c r="B40" s="972"/>
      <c r="C40" s="973"/>
      <c r="D40" s="964"/>
    </row>
    <row r="41" spans="2:4">
      <c r="B41" s="151"/>
      <c r="C41" s="152"/>
      <c r="D41" s="153"/>
    </row>
    <row r="42" spans="2:4">
      <c r="B42" s="138" t="s">
        <v>623</v>
      </c>
      <c r="C42" s="167" t="s">
        <v>637</v>
      </c>
      <c r="D42" s="168">
        <f>PRESUPUESTO!D40</f>
        <v>278912.11</v>
      </c>
    </row>
    <row r="43" spans="2:4">
      <c r="B43" s="138" t="s">
        <v>624</v>
      </c>
      <c r="C43" s="167" t="s">
        <v>638</v>
      </c>
      <c r="D43" s="168">
        <f>PRESUPUESTO!D41</f>
        <v>642601.7300000001</v>
      </c>
    </row>
    <row r="44" spans="2:4">
      <c r="B44" s="138" t="s">
        <v>625</v>
      </c>
      <c r="C44" s="167" t="s">
        <v>137</v>
      </c>
      <c r="D44" s="168">
        <f>PRESUPUESTO!D42</f>
        <v>0</v>
      </c>
    </row>
    <row r="45" spans="2:4">
      <c r="B45" s="138" t="s">
        <v>626</v>
      </c>
      <c r="C45" s="167" t="s">
        <v>639</v>
      </c>
      <c r="D45" s="168">
        <f>PRESUPUESTO!D43</f>
        <v>0</v>
      </c>
    </row>
    <row r="46" spans="2:4">
      <c r="B46" s="151"/>
      <c r="C46" s="152"/>
      <c r="D46" s="168"/>
    </row>
    <row r="47" spans="2:4">
      <c r="B47" s="144" t="s">
        <v>640</v>
      </c>
      <c r="C47" s="145"/>
      <c r="D47" s="150">
        <f>SUM(D42:D45)</f>
        <v>921513.84000000008</v>
      </c>
    </row>
    <row r="48" spans="2:4">
      <c r="B48" s="147"/>
      <c r="C48" s="148"/>
      <c r="D48" s="170"/>
    </row>
    <row r="49" spans="2:7">
      <c r="B49" s="151"/>
      <c r="C49" s="152"/>
      <c r="D49" s="153"/>
    </row>
    <row r="50" spans="2:7">
      <c r="B50" s="138" t="s">
        <v>629</v>
      </c>
      <c r="C50" s="167" t="s">
        <v>642</v>
      </c>
      <c r="D50" s="168">
        <f>PRESUPUESTO!D48</f>
        <v>295000</v>
      </c>
    </row>
    <row r="51" spans="2:7">
      <c r="B51" s="138" t="s">
        <v>630</v>
      </c>
      <c r="C51" s="167" t="s">
        <v>643</v>
      </c>
      <c r="D51" s="168">
        <f>PRESUPUESTO!D49</f>
        <v>0</v>
      </c>
    </row>
    <row r="52" spans="2:7">
      <c r="B52" s="151"/>
      <c r="C52" s="152"/>
      <c r="D52" s="153"/>
    </row>
    <row r="53" spans="2:7">
      <c r="B53" s="144" t="s">
        <v>644</v>
      </c>
      <c r="C53" s="145"/>
      <c r="D53" s="150">
        <f>SUM(D50:D51)</f>
        <v>295000</v>
      </c>
    </row>
    <row r="54" spans="2:7">
      <c r="B54" s="147"/>
      <c r="C54" s="148"/>
      <c r="D54" s="170"/>
    </row>
    <row r="55" spans="2:7">
      <c r="B55" s="151"/>
      <c r="C55" s="152"/>
      <c r="D55" s="153"/>
    </row>
    <row r="56" spans="2:7">
      <c r="B56" s="138" t="s">
        <v>632</v>
      </c>
      <c r="C56" s="167" t="s">
        <v>646</v>
      </c>
      <c r="D56" s="168">
        <f>PRESUPUESTO!D54</f>
        <v>0</v>
      </c>
    </row>
    <row r="57" spans="2:7">
      <c r="B57" s="138" t="s">
        <v>633</v>
      </c>
      <c r="C57" s="167" t="s">
        <v>647</v>
      </c>
      <c r="D57" s="168">
        <f>PRESUPUESTO!D55</f>
        <v>0</v>
      </c>
    </row>
    <row r="58" spans="2:7">
      <c r="B58" s="151"/>
      <c r="C58" s="152"/>
      <c r="D58" s="153"/>
    </row>
    <row r="59" spans="2:7">
      <c r="B59" s="144" t="s">
        <v>648</v>
      </c>
      <c r="C59" s="145"/>
      <c r="D59" s="150">
        <f>SUM(D56:D57)</f>
        <v>0</v>
      </c>
    </row>
    <row r="60" spans="2:7" ht="13.5" thickBot="1">
      <c r="B60" s="171"/>
      <c r="C60" s="172"/>
      <c r="D60" s="173"/>
    </row>
    <row r="61" spans="2:7" ht="13.5" thickTop="1">
      <c r="B61" s="161"/>
      <c r="C61" s="162"/>
      <c r="D61" s="163"/>
    </row>
    <row r="62" spans="2:7">
      <c r="B62" s="154"/>
      <c r="C62" s="156" t="s">
        <v>192</v>
      </c>
      <c r="D62" s="157">
        <f>D47+D53+D59</f>
        <v>1216513.8400000001</v>
      </c>
      <c r="G62" s="615"/>
    </row>
    <row r="63" spans="2:7" ht="13.5" thickBot="1">
      <c r="B63" s="189"/>
      <c r="C63" s="190"/>
      <c r="D63" s="155"/>
    </row>
    <row r="64" spans="2:7" ht="22.9" customHeight="1" thickBot="1">
      <c r="B64" s="197"/>
      <c r="C64" s="198" t="s">
        <v>219</v>
      </c>
      <c r="D64" s="199">
        <f>'PRESUPUESTO CPYG'!D68</f>
        <v>54952.21</v>
      </c>
    </row>
    <row r="65" spans="2:5">
      <c r="B65" s="161"/>
      <c r="C65" s="162"/>
      <c r="D65" s="163"/>
    </row>
    <row r="66" spans="2:5">
      <c r="B66" s="154"/>
      <c r="C66" s="156" t="s">
        <v>192</v>
      </c>
      <c r="D66" s="157">
        <f>D62+D64</f>
        <v>1271466.05</v>
      </c>
    </row>
    <row r="67" spans="2:5" ht="13.5" thickBot="1">
      <c r="B67" s="164"/>
      <c r="C67" s="165"/>
      <c r="D67" s="166"/>
    </row>
    <row r="70" spans="2:5" ht="17.45" hidden="1" customHeight="1" thickBot="1">
      <c r="B70" s="192" t="s">
        <v>222</v>
      </c>
      <c r="C70" s="195" t="s">
        <v>83</v>
      </c>
      <c r="D70" s="196">
        <f>D36-D66</f>
        <v>6486.1599999999162</v>
      </c>
      <c r="E70" s="133" t="s">
        <v>226</v>
      </c>
    </row>
    <row r="71" spans="2:5" ht="13.5" hidden="1" thickBot="1"/>
    <row r="72" spans="2:5" ht="17.45" hidden="1" customHeight="1" thickBot="1">
      <c r="B72" s="192" t="s">
        <v>223</v>
      </c>
      <c r="C72" s="192" t="s">
        <v>221</v>
      </c>
      <c r="D72" s="193">
        <f>D74+D79+D80+D81+D82</f>
        <v>-6486.1599999999598</v>
      </c>
      <c r="E72" s="133" t="s">
        <v>374</v>
      </c>
    </row>
    <row r="73" spans="2:5" ht="13.5" hidden="1" thickBot="1">
      <c r="B73" s="158"/>
      <c r="C73" s="158"/>
      <c r="D73" s="191"/>
    </row>
    <row r="74" spans="2:5" ht="19.899999999999999" hidden="1" customHeight="1" thickBot="1">
      <c r="C74" s="192" t="s">
        <v>220</v>
      </c>
      <c r="D74" s="193">
        <f>SUM(D75:D78)</f>
        <v>54952.209999999992</v>
      </c>
    </row>
    <row r="75" spans="2:5" ht="22.15" hidden="1" customHeight="1">
      <c r="C75" s="634" t="s">
        <v>376</v>
      </c>
      <c r="D75" s="635">
        <f>-'Inv. NO FIN'!E21</f>
        <v>0</v>
      </c>
    </row>
    <row r="76" spans="2:5" ht="19.149999999999999" hidden="1" customHeight="1">
      <c r="C76" s="636" t="s">
        <v>610</v>
      </c>
      <c r="D76" s="637">
        <f>-'Inv. NO FIN'!G21</f>
        <v>54952.209999999992</v>
      </c>
    </row>
    <row r="77" spans="2:5" ht="21.6" hidden="1" customHeight="1">
      <c r="C77" s="636" t="s">
        <v>348</v>
      </c>
      <c r="D77" s="637">
        <f>-'Inv. NO FIN'!H21</f>
        <v>0</v>
      </c>
    </row>
    <row r="78" spans="2:5" ht="26.25" hidden="1" thickBot="1">
      <c r="C78" s="638" t="s">
        <v>350</v>
      </c>
      <c r="D78" s="639">
        <f>-'Inv. NO FIN'!J21</f>
        <v>0</v>
      </c>
    </row>
    <row r="79" spans="2:5" ht="19.899999999999999" hidden="1" customHeight="1" thickBot="1">
      <c r="C79" s="640" t="s">
        <v>224</v>
      </c>
      <c r="D79" s="641">
        <f>-'Inv. FIN'!I14-'Inv. FIN'!I21-'Inv. FIN'!I33-'Inv. FIN'!I40</f>
        <v>0</v>
      </c>
    </row>
    <row r="80" spans="2:5" ht="30" hidden="1" customHeight="1" thickBot="1">
      <c r="C80" s="642" t="s">
        <v>225</v>
      </c>
      <c r="D80" s="643">
        <f>-(ACTIVO!E23-ACTIVO!D23)+ACTIVO!E37-ACTIVO!D37+ACTIVO!E38-ACTIVO!D38</f>
        <v>46588.850000000006</v>
      </c>
    </row>
    <row r="81" spans="3:5" ht="19.899999999999999" hidden="1" customHeight="1" thickBot="1">
      <c r="C81" s="192" t="s">
        <v>375</v>
      </c>
      <c r="D81" s="134">
        <f>+'Transf. y subv.'!F16+'Transf. y subv.'!F17+'Transf. y subv.'!F18-0.01</f>
        <v>-114964.15999999999</v>
      </c>
      <c r="E81" s="606" t="s">
        <v>228</v>
      </c>
    </row>
    <row r="82" spans="3:5" ht="19.899999999999999" hidden="1" customHeight="1" thickBot="1">
      <c r="C82" s="194" t="s">
        <v>294</v>
      </c>
      <c r="D82" s="193">
        <f>PASIVO!E28-PASIVO!D28+PASIVO!E43-PASIVO!D43</f>
        <v>6936.9400000000314</v>
      </c>
    </row>
    <row r="83" spans="3:5" ht="13.5" hidden="1" thickBot="1"/>
    <row r="84" spans="3:5" ht="13.5" hidden="1" thickBot="1">
      <c r="C84" s="192" t="s">
        <v>227</v>
      </c>
      <c r="D84" s="193">
        <f>D70+D72</f>
        <v>-4.3655745685100555E-11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D8:D9"/>
    <mergeCell ref="D39:D40"/>
    <mergeCell ref="B2:D2"/>
    <mergeCell ref="B4:D4"/>
    <mergeCell ref="B6:D6"/>
    <mergeCell ref="B39:C40"/>
    <mergeCell ref="B8:C9"/>
  </mergeCells>
  <phoneticPr fontId="5" type="noConversion"/>
  <printOptions horizontalCentered="1" verticalCentered="1"/>
  <pageMargins left="0.78740157480314965" right="0.78740157480314965" top="0.98425196850393704" bottom="0.98425196850393704" header="0" footer="0"/>
  <pageSetup paperSize="9" scale="8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1" enableFormatConditionsCalculation="0">
    <tabColor theme="0"/>
    <pageSetUpPr fitToPage="1"/>
  </sheetPr>
  <dimension ref="A2:K265"/>
  <sheetViews>
    <sheetView workbookViewId="0">
      <selection activeCell="B2" sqref="B2:E94"/>
    </sheetView>
  </sheetViews>
  <sheetFormatPr baseColWidth="10" defaultColWidth="11.5703125" defaultRowHeight="12.75"/>
  <cols>
    <col min="1" max="1" width="5" style="347" customWidth="1"/>
    <col min="2" max="2" width="73.5703125" style="347" customWidth="1"/>
    <col min="3" max="3" width="19.85546875" style="347" customWidth="1"/>
    <col min="4" max="4" width="19.28515625" style="347" customWidth="1"/>
    <col min="5" max="5" width="20.7109375" style="347" customWidth="1"/>
    <col min="6" max="6" width="1.5703125" style="347" customWidth="1"/>
    <col min="7" max="7" width="14.5703125" style="346" hidden="1" customWidth="1"/>
    <col min="8" max="8" width="15.28515625" style="346" hidden="1" customWidth="1"/>
    <col min="9" max="11" width="0" style="347" hidden="1" customWidth="1"/>
    <col min="12" max="16384" width="11.5703125" style="347"/>
  </cols>
  <sheetData>
    <row r="2" spans="2:11" ht="49.9" customHeight="1">
      <c r="B2" s="990" t="s">
        <v>131</v>
      </c>
      <c r="C2" s="991"/>
      <c r="D2" s="992"/>
      <c r="E2" s="343">
        <v>2017</v>
      </c>
      <c r="F2" s="344"/>
      <c r="G2" s="345"/>
    </row>
    <row r="3" spans="2:11" ht="25.9" customHeight="1">
      <c r="B3" s="987" t="str">
        <f>'ORGANOS DE GOBIERNO'!B4:I4</f>
        <v>ENTIDAD: INSTITUTO VOLCANOLOGICO DE CANARIAS</v>
      </c>
      <c r="C3" s="988"/>
      <c r="D3" s="989"/>
      <c r="E3" s="348" t="s">
        <v>609</v>
      </c>
      <c r="F3" s="349"/>
      <c r="G3" s="350"/>
    </row>
    <row r="4" spans="2:11" ht="25.9" customHeight="1">
      <c r="B4" s="985" t="s">
        <v>217</v>
      </c>
      <c r="C4" s="986"/>
      <c r="D4" s="986"/>
      <c r="E4" s="986"/>
      <c r="F4" s="351"/>
      <c r="G4" s="352"/>
    </row>
    <row r="5" spans="2:11" ht="31.5" customHeight="1">
      <c r="B5" s="353" t="s">
        <v>142</v>
      </c>
      <c r="C5" s="354" t="s">
        <v>426</v>
      </c>
      <c r="D5" s="355" t="s">
        <v>425</v>
      </c>
      <c r="E5" s="355" t="s">
        <v>424</v>
      </c>
      <c r="F5" s="356"/>
      <c r="G5" s="357" t="s">
        <v>81</v>
      </c>
      <c r="H5" s="357" t="s">
        <v>82</v>
      </c>
    </row>
    <row r="6" spans="2:11" s="360" customFormat="1" ht="19.899999999999999" customHeight="1">
      <c r="B6" s="358" t="s">
        <v>178</v>
      </c>
      <c r="C6" s="527"/>
      <c r="D6" s="527"/>
      <c r="E6" s="527"/>
      <c r="F6" s="359"/>
    </row>
    <row r="7" spans="2:11" s="360" customFormat="1" ht="19.899999999999999" customHeight="1">
      <c r="B7" s="361" t="s">
        <v>1</v>
      </c>
      <c r="C7" s="483">
        <v>37174.17</v>
      </c>
      <c r="D7" s="483">
        <v>11435.27</v>
      </c>
      <c r="E7" s="483">
        <v>7000</v>
      </c>
      <c r="F7" s="362"/>
      <c r="G7" s="363">
        <f>+D7-C7</f>
        <v>-25738.899999999998</v>
      </c>
      <c r="H7" s="364">
        <f>+E7-D7</f>
        <v>-4435.2700000000004</v>
      </c>
      <c r="I7" s="746"/>
    </row>
    <row r="8" spans="2:11" s="360" customFormat="1" ht="27.75" customHeight="1">
      <c r="B8" s="370" t="s">
        <v>328</v>
      </c>
      <c r="C8" s="483">
        <f>SUM(C9:C10)</f>
        <v>0</v>
      </c>
      <c r="D8" s="483">
        <f>SUM(D9:D10)</f>
        <v>0</v>
      </c>
      <c r="E8" s="483">
        <f>SUM(E9:E10)</f>
        <v>0</v>
      </c>
      <c r="F8" s="371"/>
      <c r="G8" s="372"/>
      <c r="H8" s="368"/>
      <c r="I8" s="748"/>
      <c r="K8" s="748"/>
    </row>
    <row r="9" spans="2:11" s="360" customFormat="1" ht="18.600000000000001" customHeight="1">
      <c r="B9" s="365" t="s">
        <v>604</v>
      </c>
      <c r="C9" s="481"/>
      <c r="D9" s="480"/>
      <c r="E9" s="480"/>
      <c r="F9" s="371"/>
      <c r="G9" s="372"/>
      <c r="H9" s="368"/>
      <c r="I9" s="747"/>
      <c r="K9" s="747"/>
    </row>
    <row r="10" spans="2:11" s="360" customFormat="1" ht="18" customHeight="1">
      <c r="B10" s="365" t="s">
        <v>605</v>
      </c>
      <c r="C10" s="481"/>
      <c r="D10" s="644"/>
      <c r="E10" s="645"/>
      <c r="F10" s="371"/>
      <c r="G10" s="372"/>
      <c r="H10" s="368"/>
      <c r="I10" s="747"/>
      <c r="K10" s="747"/>
    </row>
    <row r="11" spans="2:11" s="360" customFormat="1" ht="25.5" customHeight="1">
      <c r="B11" s="370" t="s">
        <v>2</v>
      </c>
      <c r="C11" s="480"/>
      <c r="D11" s="480"/>
      <c r="E11" s="480"/>
      <c r="F11" s="371"/>
      <c r="G11" s="372"/>
      <c r="H11" s="368"/>
      <c r="I11" s="747"/>
      <c r="K11" s="747"/>
    </row>
    <row r="12" spans="2:11" s="360" customFormat="1" ht="19.899999999999999" customHeight="1">
      <c r="B12" s="373" t="s">
        <v>3</v>
      </c>
      <c r="C12" s="483">
        <f>SUM(C13:C16)</f>
        <v>-76867.3</v>
      </c>
      <c r="D12" s="483">
        <f>SUM(D13:D16)</f>
        <v>-80000</v>
      </c>
      <c r="E12" s="483">
        <f>SUM(E13:E16)</f>
        <v>-120000</v>
      </c>
      <c r="F12" s="371"/>
      <c r="G12" s="363">
        <f>+D12-C12</f>
        <v>-3132.6999999999971</v>
      </c>
      <c r="H12" s="364">
        <f>+E12-D12</f>
        <v>-40000</v>
      </c>
      <c r="I12" s="746"/>
    </row>
    <row r="13" spans="2:11" s="360" customFormat="1" ht="19.899999999999999" customHeight="1">
      <c r="B13" s="365" t="s">
        <v>4</v>
      </c>
      <c r="C13" s="481"/>
      <c r="D13" s="481"/>
      <c r="E13" s="481"/>
      <c r="F13" s="369"/>
      <c r="G13" s="374"/>
      <c r="H13" s="368"/>
      <c r="I13" s="749"/>
    </row>
    <row r="14" spans="2:11" s="360" customFormat="1" ht="19.899999999999999" customHeight="1">
      <c r="B14" s="365" t="s">
        <v>5</v>
      </c>
      <c r="C14" s="481"/>
      <c r="D14" s="481"/>
      <c r="E14" s="481"/>
      <c r="F14" s="369"/>
      <c r="G14" s="374"/>
      <c r="H14" s="368"/>
      <c r="I14" s="749"/>
    </row>
    <row r="15" spans="2:11" s="360" customFormat="1" ht="19.899999999999999" customHeight="1">
      <c r="B15" s="365" t="s">
        <v>6</v>
      </c>
      <c r="C15" s="481">
        <v>-76867.3</v>
      </c>
      <c r="D15" s="481">
        <v>-80000</v>
      </c>
      <c r="E15" s="481">
        <v>-120000</v>
      </c>
      <c r="F15" s="369"/>
      <c r="G15" s="367">
        <f>+D15-C15</f>
        <v>-3132.6999999999971</v>
      </c>
      <c r="H15" s="368">
        <f>-E15-D15</f>
        <v>200000</v>
      </c>
      <c r="I15" s="749"/>
    </row>
    <row r="16" spans="2:11" s="360" customFormat="1" ht="19.899999999999999" customHeight="1">
      <c r="B16" s="365" t="s">
        <v>7</v>
      </c>
      <c r="C16" s="481"/>
      <c r="D16" s="480"/>
      <c r="E16" s="481"/>
      <c r="F16" s="369"/>
      <c r="G16" s="374"/>
      <c r="H16" s="368"/>
      <c r="I16" s="749"/>
      <c r="J16" s="750"/>
      <c r="K16" s="747"/>
    </row>
    <row r="17" spans="2:9" s="360" customFormat="1" ht="19.899999999999999" customHeight="1">
      <c r="B17" s="370" t="s">
        <v>8</v>
      </c>
      <c r="C17" s="483">
        <f>C18+C22</f>
        <v>251527.42</v>
      </c>
      <c r="D17" s="483">
        <f>D18+D22</f>
        <v>281790</v>
      </c>
      <c r="E17" s="483">
        <f>E18+E22</f>
        <v>921000</v>
      </c>
      <c r="F17" s="362"/>
      <c r="G17" s="363">
        <f>+D17-C17</f>
        <v>30262.579999999987</v>
      </c>
      <c r="H17" s="364">
        <f>+E17-D17</f>
        <v>639210</v>
      </c>
      <c r="I17" s="749"/>
    </row>
    <row r="18" spans="2:9" s="360" customFormat="1" ht="19.899999999999999" customHeight="1">
      <c r="B18" s="365" t="s">
        <v>9</v>
      </c>
      <c r="C18" s="484">
        <f>SUM(C19:C21)</f>
        <v>28154.31</v>
      </c>
      <c r="D18" s="484">
        <f>SUM(D19:D21)</f>
        <v>9000</v>
      </c>
      <c r="E18" s="484">
        <f>SUM(E19:E21)</f>
        <v>9000</v>
      </c>
      <c r="F18" s="366"/>
      <c r="G18" s="367"/>
      <c r="H18" s="368"/>
      <c r="I18" s="749"/>
    </row>
    <row r="19" spans="2:9" s="360" customFormat="1" ht="19.899999999999999" customHeight="1">
      <c r="B19" s="365" t="s">
        <v>606</v>
      </c>
      <c r="C19" s="481"/>
      <c r="D19" s="481"/>
      <c r="E19" s="481"/>
      <c r="F19" s="366"/>
      <c r="G19" s="367"/>
      <c r="H19" s="368"/>
      <c r="I19" s="746"/>
    </row>
    <row r="20" spans="2:9" s="360" customFormat="1" ht="19.899999999999999" customHeight="1">
      <c r="B20" s="365" t="s">
        <v>607</v>
      </c>
      <c r="C20" s="481"/>
      <c r="D20" s="481"/>
      <c r="E20" s="481"/>
      <c r="F20" s="366"/>
      <c r="G20" s="367"/>
      <c r="H20" s="368"/>
      <c r="I20" s="746"/>
    </row>
    <row r="21" spans="2:9" s="360" customFormat="1" ht="19.899999999999999" customHeight="1">
      <c r="B21" s="365" t="s">
        <v>608</v>
      </c>
      <c r="C21" s="481">
        <v>28154.31</v>
      </c>
      <c r="D21" s="481">
        <v>9000</v>
      </c>
      <c r="E21" s="481">
        <v>9000</v>
      </c>
      <c r="F21" s="366"/>
      <c r="G21" s="367"/>
      <c r="H21" s="368"/>
      <c r="I21" s="746"/>
    </row>
    <row r="22" spans="2:9" s="360" customFormat="1" ht="19.899999999999999" customHeight="1">
      <c r="B22" s="365" t="s">
        <v>10</v>
      </c>
      <c r="C22" s="484">
        <f>SUM(C23:C28)</f>
        <v>223373.11000000002</v>
      </c>
      <c r="D22" s="484">
        <f>SUM(D23:D28)</f>
        <v>272790</v>
      </c>
      <c r="E22" s="484">
        <f>SUM(E23:E28)</f>
        <v>912000</v>
      </c>
      <c r="F22" s="366"/>
      <c r="G22" s="367">
        <f>+D22-C22</f>
        <v>49416.889999999985</v>
      </c>
      <c r="H22" s="368">
        <f>-E22-D22</f>
        <v>-1184790</v>
      </c>
      <c r="I22" s="746"/>
    </row>
    <row r="23" spans="2:9" s="360" customFormat="1" ht="19.899999999999999" customHeight="1">
      <c r="B23" s="365" t="s">
        <v>11</v>
      </c>
      <c r="C23" s="481">
        <v>47372.69</v>
      </c>
      <c r="D23" s="481">
        <f>12790.42+25000+12000</f>
        <v>49790.42</v>
      </c>
      <c r="E23" s="481"/>
      <c r="F23" s="366"/>
      <c r="G23" s="367"/>
      <c r="H23" s="368"/>
      <c r="I23" s="749"/>
    </row>
    <row r="24" spans="2:9" s="360" customFormat="1" ht="19.899999999999999" customHeight="1">
      <c r="B24" s="365" t="s">
        <v>329</v>
      </c>
      <c r="C24" s="481"/>
      <c r="D24" s="481"/>
      <c r="E24" s="481"/>
      <c r="F24" s="369"/>
      <c r="G24" s="367">
        <f>+D24-C24</f>
        <v>0</v>
      </c>
      <c r="H24" s="368">
        <f>-E24-D24</f>
        <v>0</v>
      </c>
      <c r="I24" s="749"/>
    </row>
    <row r="25" spans="2:9" s="360" customFormat="1" ht="19.899999999999999" customHeight="1">
      <c r="B25" s="365" t="s">
        <v>330</v>
      </c>
      <c r="C25" s="481"/>
      <c r="D25" s="481"/>
      <c r="E25" s="481"/>
      <c r="F25" s="369"/>
      <c r="G25" s="374"/>
      <c r="H25" s="368"/>
      <c r="I25" s="749"/>
    </row>
    <row r="26" spans="2:9" s="360" customFormat="1" ht="19.899999999999999" customHeight="1">
      <c r="B26" s="365" t="s">
        <v>12</v>
      </c>
      <c r="C26" s="481">
        <v>175000</v>
      </c>
      <c r="D26" s="481">
        <v>220000</v>
      </c>
      <c r="E26" s="481">
        <v>912000</v>
      </c>
      <c r="F26" s="369"/>
      <c r="G26" s="374"/>
      <c r="H26" s="368"/>
      <c r="I26" s="749"/>
    </row>
    <row r="27" spans="2:9" s="360" customFormat="1" ht="19.899999999999999" customHeight="1">
      <c r="B27" s="365" t="s">
        <v>13</v>
      </c>
      <c r="C27" s="481">
        <v>1000.42</v>
      </c>
      <c r="D27" s="481">
        <v>2999.58</v>
      </c>
      <c r="E27" s="481"/>
      <c r="F27" s="369"/>
      <c r="G27" s="367">
        <f>+D27-C27</f>
        <v>1999.1599999999999</v>
      </c>
      <c r="H27" s="368">
        <f>-E27-D27</f>
        <v>-2999.58</v>
      </c>
      <c r="I27" s="749"/>
    </row>
    <row r="28" spans="2:9" s="360" customFormat="1" ht="19.899999999999999" customHeight="1">
      <c r="B28" s="365" t="s">
        <v>14</v>
      </c>
      <c r="C28" s="481"/>
      <c r="D28" s="480"/>
      <c r="E28" s="481"/>
      <c r="F28" s="369"/>
      <c r="G28" s="374"/>
      <c r="H28" s="368"/>
      <c r="I28" s="749"/>
    </row>
    <row r="29" spans="2:9" s="360" customFormat="1" ht="19.899999999999999" customHeight="1">
      <c r="B29" s="370" t="s">
        <v>15</v>
      </c>
      <c r="C29" s="483">
        <f>SUM(C30:C35)</f>
        <v>-92176.57</v>
      </c>
      <c r="D29" s="483">
        <f>SUM(D30:D35)</f>
        <v>-79213.31</v>
      </c>
      <c r="E29" s="483">
        <f>SUM(E30:E35)</f>
        <v>-278912.11</v>
      </c>
      <c r="F29" s="371"/>
      <c r="G29" s="363">
        <f>+D29-C29</f>
        <v>12963.260000000009</v>
      </c>
      <c r="H29" s="364">
        <f>+E29-D29</f>
        <v>-199698.8</v>
      </c>
      <c r="I29" s="746"/>
    </row>
    <row r="30" spans="2:9" s="360" customFormat="1" ht="19.899999999999999" customHeight="1">
      <c r="B30" s="365" t="s">
        <v>16</v>
      </c>
      <c r="C30" s="481">
        <v>-71656.17</v>
      </c>
      <c r="D30" s="481">
        <f>-47718.96-11943.42-3221.25</f>
        <v>-62883.63</v>
      </c>
      <c r="E30" s="481">
        <v>-257926.38</v>
      </c>
      <c r="F30" s="369"/>
      <c r="G30" s="367">
        <f>+D30-C30</f>
        <v>8772.5400000000009</v>
      </c>
      <c r="H30" s="368">
        <f>-E30-D30</f>
        <v>320810.01</v>
      </c>
      <c r="I30" s="749"/>
    </row>
    <row r="31" spans="2:9" s="360" customFormat="1" ht="19.899999999999999" customHeight="1">
      <c r="B31" s="365" t="s">
        <v>331</v>
      </c>
      <c r="C31" s="481"/>
      <c r="D31" s="481"/>
      <c r="E31" s="481"/>
      <c r="F31" s="369"/>
      <c r="G31" s="367">
        <f>+D31-C31</f>
        <v>0</v>
      </c>
      <c r="H31" s="368">
        <f>-E31-D31</f>
        <v>0</v>
      </c>
      <c r="I31" s="749"/>
    </row>
    <row r="32" spans="2:9" s="360" customFormat="1" ht="19.899999999999999" customHeight="1">
      <c r="B32" s="365" t="s">
        <v>332</v>
      </c>
      <c r="C32" s="481">
        <v>-19870.400000000001</v>
      </c>
      <c r="D32" s="481">
        <f>-12457.61-3766.35-105.72</f>
        <v>-16329.68</v>
      </c>
      <c r="E32" s="481">
        <v>-20985.73</v>
      </c>
      <c r="F32" s="369"/>
      <c r="G32" s="367">
        <f>+D32-C32</f>
        <v>3540.7200000000012</v>
      </c>
      <c r="H32" s="368">
        <f>-E32-D32</f>
        <v>37315.410000000003</v>
      </c>
      <c r="I32" s="749"/>
    </row>
    <row r="33" spans="1:11" s="360" customFormat="1" ht="19.899999999999999" customHeight="1">
      <c r="B33" s="365" t="s">
        <v>333</v>
      </c>
      <c r="C33" s="481"/>
      <c r="D33" s="481"/>
      <c r="E33" s="481"/>
      <c r="F33" s="369"/>
      <c r="G33" s="367">
        <f>+D33-C33</f>
        <v>0</v>
      </c>
      <c r="H33" s="368">
        <f>-E33-D33</f>
        <v>0</v>
      </c>
      <c r="I33" s="749"/>
    </row>
    <row r="34" spans="1:11" s="360" customFormat="1" ht="19.899999999999999" customHeight="1">
      <c r="B34" s="365" t="s">
        <v>334</v>
      </c>
      <c r="C34" s="481">
        <v>-650</v>
      </c>
      <c r="D34" s="481"/>
      <c r="E34" s="481"/>
      <c r="F34" s="369"/>
      <c r="G34" s="374"/>
      <c r="H34" s="368"/>
      <c r="I34" s="749"/>
    </row>
    <row r="35" spans="1:11" s="360" customFormat="1" ht="19.899999999999999" customHeight="1">
      <c r="B35" s="365" t="s">
        <v>335</v>
      </c>
      <c r="C35" s="481"/>
      <c r="D35" s="480"/>
      <c r="E35" s="481"/>
      <c r="F35" s="369"/>
      <c r="G35" s="374"/>
      <c r="H35" s="375"/>
      <c r="I35" s="749"/>
      <c r="J35" s="747"/>
      <c r="K35" s="747"/>
    </row>
    <row r="36" spans="1:11" s="360" customFormat="1" ht="19.899999999999999" hidden="1" customHeight="1">
      <c r="B36" s="365" t="s">
        <v>268</v>
      </c>
      <c r="C36" s="481"/>
      <c r="D36" s="480"/>
      <c r="E36" s="481"/>
      <c r="F36" s="369"/>
      <c r="G36" s="374"/>
      <c r="H36" s="375"/>
    </row>
    <row r="37" spans="1:11" s="360" customFormat="1" ht="19.899999999999999" customHeight="1">
      <c r="B37" s="361" t="s">
        <v>17</v>
      </c>
      <c r="C37" s="483">
        <f>+C38+C39+C40+C41</f>
        <v>-110770.03</v>
      </c>
      <c r="D37" s="483">
        <f>+D38+D39+D40+D41</f>
        <v>-132801.67000000001</v>
      </c>
      <c r="E37" s="483">
        <f>+E38+E39+E40+E41</f>
        <v>-520439.67000000004</v>
      </c>
      <c r="F37" s="371"/>
      <c r="G37" s="363">
        <f>+D37-C37</f>
        <v>-22031.640000000014</v>
      </c>
      <c r="H37" s="364">
        <f>+E37-D37</f>
        <v>-387638</v>
      </c>
      <c r="I37" s="749"/>
    </row>
    <row r="38" spans="1:11" s="360" customFormat="1" ht="19.899999999999999" customHeight="1">
      <c r="B38" s="365" t="s">
        <v>336</v>
      </c>
      <c r="C38" s="481">
        <v>-109814.48</v>
      </c>
      <c r="D38" s="481">
        <v>-132801.67000000001</v>
      </c>
      <c r="E38" s="481">
        <f>-640439.67+120000</f>
        <v>-520439.67000000004</v>
      </c>
      <c r="F38" s="369"/>
      <c r="G38" s="367">
        <f>+D38-C38</f>
        <v>-22987.190000000017</v>
      </c>
      <c r="H38" s="368">
        <f>-E38-D38</f>
        <v>653241.34000000008</v>
      </c>
      <c r="I38" s="746"/>
    </row>
    <row r="39" spans="1:11" s="360" customFormat="1" ht="19.899999999999999" customHeight="1">
      <c r="B39" s="365" t="s">
        <v>337</v>
      </c>
      <c r="C39" s="481">
        <v>-955.55</v>
      </c>
      <c r="D39" s="481"/>
      <c r="E39" s="481"/>
      <c r="F39" s="369"/>
      <c r="G39" s="367">
        <f>+D39-C39</f>
        <v>955.55</v>
      </c>
      <c r="H39" s="368">
        <f>-E39-D39</f>
        <v>0</v>
      </c>
      <c r="I39" s="746"/>
    </row>
    <row r="40" spans="1:11" s="360" customFormat="1" ht="19.899999999999999" customHeight="1">
      <c r="B40" s="365" t="s">
        <v>18</v>
      </c>
      <c r="C40" s="481"/>
      <c r="D40" s="481"/>
      <c r="E40" s="481"/>
      <c r="F40" s="366"/>
      <c r="G40" s="367">
        <f>+D40-C40</f>
        <v>0</v>
      </c>
      <c r="H40" s="368">
        <f>-E40-D40</f>
        <v>0</v>
      </c>
      <c r="I40" s="747"/>
      <c r="K40" s="747"/>
    </row>
    <row r="41" spans="1:11" s="360" customFormat="1" ht="19.899999999999999" customHeight="1">
      <c r="B41" s="365" t="s">
        <v>19</v>
      </c>
      <c r="C41" s="480"/>
      <c r="D41" s="480"/>
      <c r="E41" s="480"/>
      <c r="F41" s="377"/>
      <c r="G41" s="378"/>
      <c r="H41" s="368"/>
      <c r="I41" s="746"/>
    </row>
    <row r="42" spans="1:11" s="360" customFormat="1" ht="19.899999999999999" customHeight="1">
      <c r="B42" s="361" t="s">
        <v>20</v>
      </c>
      <c r="C42" s="483">
        <f>SUM(C43:C45)</f>
        <v>-2479.2399999999998</v>
      </c>
      <c r="D42" s="483">
        <f>SUM(D43:D45)</f>
        <v>-14309.758277777801</v>
      </c>
      <c r="E42" s="483">
        <f>SUM(E43:E45)</f>
        <v>-54952.21</v>
      </c>
      <c r="F42" s="371"/>
      <c r="G42" s="363">
        <f>+D42-C42</f>
        <v>-11830.518277777801</v>
      </c>
      <c r="H42" s="364">
        <f>+E42-D42</f>
        <v>-40642.451722222198</v>
      </c>
      <c r="I42" s="747"/>
      <c r="K42" s="747"/>
    </row>
    <row r="43" spans="1:11" s="360" customFormat="1" ht="19.899999999999999" customHeight="1">
      <c r="B43" s="365" t="s">
        <v>556</v>
      </c>
      <c r="C43" s="480"/>
      <c r="D43" s="480"/>
      <c r="E43" s="480"/>
      <c r="F43" s="371"/>
      <c r="G43" s="363"/>
      <c r="H43" s="364"/>
      <c r="I43" s="748"/>
      <c r="K43" s="748"/>
    </row>
    <row r="44" spans="1:11" s="360" customFormat="1" ht="19.899999999999999" customHeight="1">
      <c r="B44" s="365" t="s">
        <v>557</v>
      </c>
      <c r="C44" s="481">
        <v>-2479.2399999999998</v>
      </c>
      <c r="D44" s="481">
        <v>-14309.758277777801</v>
      </c>
      <c r="E44" s="480">
        <v>-54952.21</v>
      </c>
      <c r="F44" s="371"/>
      <c r="G44" s="363"/>
      <c r="H44" s="364"/>
      <c r="I44" s="748"/>
      <c r="K44" s="748"/>
    </row>
    <row r="45" spans="1:11" s="360" customFormat="1" ht="19.899999999999999" customHeight="1">
      <c r="B45" s="365" t="s">
        <v>558</v>
      </c>
      <c r="C45" s="480"/>
      <c r="D45" s="480"/>
      <c r="E45" s="480"/>
      <c r="F45" s="371"/>
      <c r="G45" s="363"/>
      <c r="H45" s="364"/>
      <c r="I45" s="748"/>
      <c r="K45" s="748"/>
    </row>
    <row r="46" spans="1:11" s="360" customFormat="1" ht="25.5" customHeight="1">
      <c r="A46" s="376"/>
      <c r="B46" s="370" t="s">
        <v>21</v>
      </c>
      <c r="C46" s="480">
        <v>2479.2399999999998</v>
      </c>
      <c r="D46" s="480">
        <v>14309.76</v>
      </c>
      <c r="E46" s="480">
        <v>54952.21</v>
      </c>
      <c r="F46" s="371"/>
      <c r="G46" s="363">
        <f>+D46-C46</f>
        <v>11830.52</v>
      </c>
      <c r="H46" s="364">
        <f>+E46-D46</f>
        <v>40642.449999999997</v>
      </c>
      <c r="I46" s="747"/>
      <c r="K46" s="747"/>
    </row>
    <row r="47" spans="1:11" s="360" customFormat="1" ht="24.75" customHeight="1">
      <c r="B47" s="370" t="s">
        <v>22</v>
      </c>
      <c r="C47" s="480"/>
      <c r="D47" s="480"/>
      <c r="E47" s="480"/>
      <c r="F47" s="362"/>
      <c r="G47" s="363"/>
      <c r="H47" s="368"/>
      <c r="I47" s="747"/>
      <c r="K47" s="747"/>
    </row>
    <row r="48" spans="1:11" s="360" customFormat="1" ht="28.5" customHeight="1">
      <c r="B48" s="370" t="s">
        <v>23</v>
      </c>
      <c r="C48" s="483">
        <f>C49+C53</f>
        <v>0</v>
      </c>
      <c r="D48" s="483">
        <f>D49+D53</f>
        <v>0</v>
      </c>
      <c r="E48" s="483">
        <f>E49+E53</f>
        <v>0</v>
      </c>
      <c r="F48" s="371"/>
      <c r="G48" s="363">
        <f>+D48-C48</f>
        <v>0</v>
      </c>
      <c r="H48" s="364">
        <f>+E48-D48</f>
        <v>0</v>
      </c>
      <c r="I48" s="748"/>
      <c r="K48" s="748"/>
    </row>
    <row r="49" spans="1:11" s="360" customFormat="1" ht="19.899999999999999" customHeight="1">
      <c r="B49" s="365" t="s">
        <v>127</v>
      </c>
      <c r="C49" s="484">
        <f>SUM(C50:C52)</f>
        <v>0</v>
      </c>
      <c r="D49" s="484">
        <f>SUM(D50:D52)</f>
        <v>0</v>
      </c>
      <c r="E49" s="484">
        <f>SUM(E50:E52)</f>
        <v>0</v>
      </c>
      <c r="F49" s="366"/>
      <c r="G49" s="367"/>
      <c r="H49" s="368"/>
      <c r="I49" s="747"/>
      <c r="K49" s="747"/>
    </row>
    <row r="50" spans="1:11" s="360" customFormat="1" ht="19.899999999999999" customHeight="1">
      <c r="B50" s="365" t="s">
        <v>559</v>
      </c>
      <c r="C50" s="481"/>
      <c r="D50" s="480"/>
      <c r="E50" s="481"/>
      <c r="F50" s="366"/>
      <c r="G50" s="367"/>
      <c r="H50" s="368"/>
      <c r="I50" s="748"/>
      <c r="K50" s="748"/>
    </row>
    <row r="51" spans="1:11" s="360" customFormat="1" ht="19.899999999999999" customHeight="1">
      <c r="B51" s="365" t="s">
        <v>560</v>
      </c>
      <c r="C51" s="481"/>
      <c r="D51" s="480"/>
      <c r="E51" s="481"/>
      <c r="F51" s="366"/>
      <c r="G51" s="367"/>
      <c r="H51" s="368"/>
      <c r="I51" s="748"/>
      <c r="K51" s="748"/>
    </row>
    <row r="52" spans="1:11" s="360" customFormat="1" ht="19.899999999999999" customHeight="1">
      <c r="B52" s="365" t="s">
        <v>561</v>
      </c>
      <c r="C52" s="481"/>
      <c r="D52" s="480"/>
      <c r="E52" s="481"/>
      <c r="F52" s="366"/>
      <c r="G52" s="367"/>
      <c r="H52" s="368"/>
      <c r="I52" s="748"/>
      <c r="K52" s="748"/>
    </row>
    <row r="53" spans="1:11" s="360" customFormat="1" ht="19.899999999999999" customHeight="1">
      <c r="B53" s="365" t="s">
        <v>338</v>
      </c>
      <c r="C53" s="484">
        <f>SUM(C54:C56)</f>
        <v>0</v>
      </c>
      <c r="D53" s="484">
        <f>SUM(D54:D56)</f>
        <v>0</v>
      </c>
      <c r="E53" s="484">
        <f>SUM(E54:E56)</f>
        <v>0</v>
      </c>
      <c r="F53" s="369"/>
      <c r="G53" s="367">
        <f>+D53-C53</f>
        <v>0</v>
      </c>
      <c r="H53" s="368">
        <f>-E53-D53</f>
        <v>0</v>
      </c>
      <c r="I53" s="747"/>
      <c r="K53" s="747"/>
    </row>
    <row r="54" spans="1:11" s="360" customFormat="1" ht="19.899999999999999" customHeight="1">
      <c r="B54" s="365" t="s">
        <v>559</v>
      </c>
      <c r="C54" s="481"/>
      <c r="D54" s="481"/>
      <c r="E54" s="481"/>
      <c r="F54" s="369"/>
      <c r="G54" s="367"/>
      <c r="H54" s="368"/>
      <c r="I54" s="748"/>
      <c r="K54" s="748"/>
    </row>
    <row r="55" spans="1:11" s="360" customFormat="1" ht="19.899999999999999" customHeight="1">
      <c r="B55" s="365" t="s">
        <v>560</v>
      </c>
      <c r="C55" s="481"/>
      <c r="D55" s="481"/>
      <c r="E55" s="481"/>
      <c r="F55" s="369"/>
      <c r="G55" s="367"/>
      <c r="H55" s="368"/>
      <c r="I55" s="748"/>
      <c r="K55" s="748"/>
    </row>
    <row r="56" spans="1:11" s="360" customFormat="1" ht="19.899999999999999" customHeight="1">
      <c r="B56" s="365" t="s">
        <v>561</v>
      </c>
      <c r="C56" s="481"/>
      <c r="D56" s="481"/>
      <c r="E56" s="481"/>
      <c r="F56" s="369"/>
      <c r="G56" s="367"/>
      <c r="H56" s="368"/>
      <c r="I56" s="748"/>
      <c r="K56" s="748"/>
    </row>
    <row r="57" spans="1:11" s="360" customFormat="1" ht="27" customHeight="1">
      <c r="B57" s="370" t="s">
        <v>269</v>
      </c>
      <c r="C57" s="481"/>
      <c r="D57" s="481"/>
      <c r="E57" s="481"/>
      <c r="F57" s="369"/>
      <c r="G57" s="367"/>
      <c r="H57" s="368"/>
      <c r="I57" s="747"/>
      <c r="K57" s="747"/>
    </row>
    <row r="58" spans="1:11" s="360" customFormat="1" ht="27.6" customHeight="1">
      <c r="B58" s="370" t="s">
        <v>230</v>
      </c>
      <c r="C58" s="483">
        <f>SUM(C59:C61)</f>
        <v>0</v>
      </c>
      <c r="D58" s="483">
        <f>SUM(D59:D61)</f>
        <v>0</v>
      </c>
      <c r="E58" s="483">
        <f>SUM(E59:E61)</f>
        <v>0</v>
      </c>
      <c r="F58" s="369"/>
      <c r="G58" s="367"/>
      <c r="H58" s="368"/>
      <c r="I58" s="746"/>
    </row>
    <row r="59" spans="1:11" s="360" customFormat="1" ht="19.899999999999999" customHeight="1">
      <c r="B59" s="365" t="s">
        <v>231</v>
      </c>
      <c r="C59" s="481"/>
      <c r="D59" s="481"/>
      <c r="E59" s="481"/>
      <c r="F59" s="369"/>
      <c r="G59" s="367"/>
      <c r="H59" s="368"/>
      <c r="I59" s="749"/>
    </row>
    <row r="60" spans="1:11" s="360" customFormat="1" ht="19.899999999999999" customHeight="1">
      <c r="B60" s="365" t="s">
        <v>232</v>
      </c>
      <c r="C60" s="481"/>
      <c r="D60" s="481"/>
      <c r="E60" s="481"/>
      <c r="F60" s="369"/>
      <c r="G60" s="367"/>
      <c r="H60" s="368"/>
      <c r="I60" s="749"/>
    </row>
    <row r="61" spans="1:11" s="360" customFormat="1" ht="19.899999999999999" customHeight="1">
      <c r="B61" s="365" t="s">
        <v>233</v>
      </c>
      <c r="C61" s="481"/>
      <c r="D61" s="481"/>
      <c r="E61" s="481"/>
      <c r="F61" s="369"/>
      <c r="G61" s="367"/>
      <c r="H61" s="368"/>
      <c r="I61" s="749"/>
    </row>
    <row r="62" spans="1:11" s="360" customFormat="1" ht="29.25" customHeight="1">
      <c r="A62" s="376"/>
      <c r="B62" s="370" t="s">
        <v>229</v>
      </c>
      <c r="C62" s="483">
        <f>SUM(C63:C64)</f>
        <v>0</v>
      </c>
      <c r="D62" s="483">
        <f>SUM(D63:D64)</f>
        <v>0</v>
      </c>
      <c r="E62" s="483">
        <f>SUM(E63:E64)</f>
        <v>0</v>
      </c>
      <c r="F62" s="369"/>
      <c r="G62" s="367">
        <f>+D62-C62</f>
        <v>0</v>
      </c>
      <c r="H62" s="368">
        <f>-E62-D62</f>
        <v>0</v>
      </c>
      <c r="I62" s="746"/>
    </row>
    <row r="63" spans="1:11" s="360" customFormat="1" ht="22.15" customHeight="1">
      <c r="A63" s="376"/>
      <c r="B63" s="365" t="s">
        <v>602</v>
      </c>
      <c r="C63" s="481">
        <f>'INF. ADIC. CPYG '!G37</f>
        <v>0</v>
      </c>
      <c r="D63" s="481">
        <f>'INF. ADIC. CPYG '!H37</f>
        <v>0</v>
      </c>
      <c r="E63" s="481">
        <f>'INF. ADIC. CPYG '!I37</f>
        <v>0</v>
      </c>
      <c r="F63" s="369"/>
      <c r="G63" s="367"/>
      <c r="H63" s="368"/>
      <c r="I63" s="749"/>
    </row>
    <row r="64" spans="1:11" s="360" customFormat="1" ht="21.6" customHeight="1">
      <c r="A64" s="376"/>
      <c r="B64" s="365" t="s">
        <v>603</v>
      </c>
      <c r="C64" s="481">
        <f>'INF. ADIC. CPYG '!G33</f>
        <v>0</v>
      </c>
      <c r="D64" s="481">
        <f>'INF. ADIC. CPYG '!H33</f>
        <v>0</v>
      </c>
      <c r="E64" s="481">
        <f>'INF. ADIC. CPYG '!I33</f>
        <v>0</v>
      </c>
      <c r="F64" s="369"/>
      <c r="G64" s="367"/>
      <c r="H64" s="368"/>
      <c r="I64" s="749"/>
    </row>
    <row r="65" spans="2:11" s="360" customFormat="1" ht="33.6" customHeight="1">
      <c r="B65" s="370" t="s">
        <v>234</v>
      </c>
      <c r="C65" s="483">
        <f>C7+C8+C11+C12+C17+C29+C37+C42+C46+C47+C48+C62+C57+C58</f>
        <v>8887.6900000000023</v>
      </c>
      <c r="D65" s="483">
        <f>D7+D8+D11+D12+D17+D29+D37+D42+D46+D47+D48+D62+D57+D58</f>
        <v>1210.2917222222077</v>
      </c>
      <c r="E65" s="483">
        <f>E7+E8+E11+E12+E17+E29+E37+E42+E46+E47+E48+E62+E57+E58</f>
        <v>8648.2199999999721</v>
      </c>
      <c r="F65" s="362"/>
      <c r="G65" s="363">
        <f>+D65-C65</f>
        <v>-7677.3982777777946</v>
      </c>
      <c r="H65" s="364">
        <f>+E65-D65</f>
        <v>7437.9282777777644</v>
      </c>
      <c r="I65" s="749"/>
    </row>
    <row r="66" spans="2:11" s="360" customFormat="1" ht="27.75" customHeight="1">
      <c r="B66" s="370" t="s">
        <v>235</v>
      </c>
      <c r="C66" s="483">
        <f>SUM(C67+C70+C73)</f>
        <v>0</v>
      </c>
      <c r="D66" s="483">
        <f>SUM(D67+D70+D73)</f>
        <v>0.01</v>
      </c>
      <c r="E66" s="483">
        <f>SUM(E67+E70+E73)</f>
        <v>0</v>
      </c>
      <c r="F66" s="362"/>
      <c r="G66" s="363">
        <f>+D66-C66</f>
        <v>0.01</v>
      </c>
      <c r="H66" s="364">
        <f>+E66-D66</f>
        <v>-0.01</v>
      </c>
      <c r="I66" s="749"/>
    </row>
    <row r="67" spans="2:11" s="360" customFormat="1" ht="19.899999999999999" customHeight="1">
      <c r="B67" s="365" t="s">
        <v>24</v>
      </c>
      <c r="C67" s="484">
        <f>SUM(C68:C69)</f>
        <v>0</v>
      </c>
      <c r="D67" s="484">
        <f>SUM(D68:D69)</f>
        <v>0.01</v>
      </c>
      <c r="E67" s="484">
        <f>SUM(E68:E69)</f>
        <v>0</v>
      </c>
      <c r="F67" s="369"/>
      <c r="G67" s="374"/>
      <c r="H67" s="368"/>
      <c r="I67" s="746"/>
    </row>
    <row r="68" spans="2:11" s="360" customFormat="1" ht="19.899999999999999" customHeight="1">
      <c r="B68" s="365" t="s">
        <v>25</v>
      </c>
      <c r="C68" s="481"/>
      <c r="D68" s="480"/>
      <c r="E68" s="481"/>
      <c r="F68" s="369"/>
      <c r="G68" s="374"/>
      <c r="H68" s="368"/>
      <c r="I68" s="749"/>
    </row>
    <row r="69" spans="2:11" s="360" customFormat="1" ht="19.899999999999999" customHeight="1">
      <c r="B69" s="365" t="s">
        <v>26</v>
      </c>
      <c r="C69" s="481"/>
      <c r="D69" s="481">
        <v>0.01</v>
      </c>
      <c r="E69" s="481"/>
      <c r="F69" s="369"/>
      <c r="G69" s="374"/>
      <c r="H69" s="368"/>
      <c r="I69" s="749"/>
    </row>
    <row r="70" spans="2:11" s="360" customFormat="1" ht="19.899999999999999" customHeight="1">
      <c r="B70" s="365" t="s">
        <v>339</v>
      </c>
      <c r="C70" s="484">
        <f>SUM(C71:C72)</f>
        <v>0</v>
      </c>
      <c r="D70" s="484">
        <f>SUM(D71:D72)</f>
        <v>0</v>
      </c>
      <c r="E70" s="484">
        <f>SUM(E71:E72)</f>
        <v>0</v>
      </c>
      <c r="F70" s="369"/>
      <c r="G70" s="367">
        <f>+D70-C70</f>
        <v>0</v>
      </c>
      <c r="H70" s="368">
        <f>-E70-D70</f>
        <v>0</v>
      </c>
      <c r="I70" s="746"/>
    </row>
    <row r="71" spans="2:11" s="360" customFormat="1" ht="19.899999999999999" customHeight="1">
      <c r="B71" s="365" t="s">
        <v>27</v>
      </c>
      <c r="C71" s="481"/>
      <c r="D71" s="481"/>
      <c r="E71" s="481"/>
      <c r="F71" s="369"/>
      <c r="G71" s="374"/>
      <c r="H71" s="368"/>
      <c r="I71" s="749"/>
    </row>
    <row r="72" spans="2:11" s="360" customFormat="1" ht="19.899999999999999" customHeight="1">
      <c r="B72" s="365" t="s">
        <v>28</v>
      </c>
      <c r="C72" s="481"/>
      <c r="D72" s="481"/>
      <c r="E72" s="481"/>
      <c r="F72" s="379"/>
      <c r="G72" s="367">
        <f>+D72-C72</f>
        <v>0</v>
      </c>
      <c r="H72" s="368">
        <f>-E72-D72</f>
        <v>0</v>
      </c>
      <c r="I72" s="749"/>
    </row>
    <row r="73" spans="2:11" s="360" customFormat="1" ht="19.899999999999999" customHeight="1">
      <c r="B73" s="365" t="s">
        <v>270</v>
      </c>
      <c r="C73" s="481"/>
      <c r="D73" s="481"/>
      <c r="E73" s="481"/>
      <c r="F73" s="379"/>
      <c r="G73" s="367"/>
      <c r="H73" s="368"/>
      <c r="I73" s="747"/>
      <c r="K73" s="747"/>
    </row>
    <row r="74" spans="2:11" s="360" customFormat="1" ht="19.899999999999999" customHeight="1">
      <c r="B74" s="370" t="s">
        <v>236</v>
      </c>
      <c r="C74" s="483">
        <f>SUM(C75:C77)</f>
        <v>-3.01</v>
      </c>
      <c r="D74" s="483">
        <f>SUM(D75:D77)</f>
        <v>-0.01</v>
      </c>
      <c r="E74" s="483">
        <f>E75+E76+E77</f>
        <v>0</v>
      </c>
      <c r="F74" s="371"/>
      <c r="G74" s="363">
        <f>+D74-C74</f>
        <v>3</v>
      </c>
      <c r="H74" s="364">
        <f>+E74-D74</f>
        <v>0.01</v>
      </c>
      <c r="I74" s="749"/>
    </row>
    <row r="75" spans="2:11" s="360" customFormat="1" ht="19.899999999999999" customHeight="1">
      <c r="B75" s="365" t="s">
        <v>29</v>
      </c>
      <c r="C75" s="481"/>
      <c r="D75" s="480"/>
      <c r="E75" s="481"/>
      <c r="F75" s="369"/>
      <c r="G75" s="374"/>
      <c r="H75" s="368"/>
      <c r="I75" s="746"/>
    </row>
    <row r="76" spans="2:11" s="360" customFormat="1" ht="19.899999999999999" customHeight="1">
      <c r="B76" s="365" t="s">
        <v>340</v>
      </c>
      <c r="C76" s="481">
        <v>-3.01</v>
      </c>
      <c r="D76" s="481">
        <v>-0.01</v>
      </c>
      <c r="E76" s="481"/>
      <c r="F76" s="379"/>
      <c r="G76" s="380"/>
      <c r="H76" s="368"/>
      <c r="I76" s="746"/>
    </row>
    <row r="77" spans="2:11" s="360" customFormat="1" ht="19.899999999999999" customHeight="1">
      <c r="B77" s="365" t="s">
        <v>341</v>
      </c>
      <c r="C77" s="480"/>
      <c r="D77" s="480"/>
      <c r="E77" s="480"/>
      <c r="F77" s="381"/>
      <c r="G77" s="382"/>
      <c r="H77" s="368"/>
      <c r="I77" s="747"/>
      <c r="K77" s="747"/>
    </row>
    <row r="78" spans="2:11" s="360" customFormat="1" ht="24.75" customHeight="1">
      <c r="B78" s="370" t="s">
        <v>237</v>
      </c>
      <c r="C78" s="483">
        <f>C79+C80</f>
        <v>0</v>
      </c>
      <c r="D78" s="483">
        <f>D79+D80</f>
        <v>0</v>
      </c>
      <c r="E78" s="483">
        <f>E79+E80</f>
        <v>0</v>
      </c>
      <c r="F78" s="371"/>
      <c r="G78" s="363">
        <f>+D78-C78</f>
        <v>0</v>
      </c>
      <c r="H78" s="364">
        <f>+E78-D78</f>
        <v>0</v>
      </c>
      <c r="I78" s="747"/>
      <c r="K78" s="747"/>
    </row>
    <row r="79" spans="2:11" s="360" customFormat="1" ht="19.899999999999999" customHeight="1">
      <c r="B79" s="365" t="s">
        <v>30</v>
      </c>
      <c r="C79" s="480"/>
      <c r="D79" s="480"/>
      <c r="E79" s="480"/>
      <c r="F79" s="381"/>
      <c r="G79" s="382"/>
      <c r="H79" s="368"/>
      <c r="I79" s="748"/>
      <c r="K79" s="748"/>
    </row>
    <row r="80" spans="2:11" s="360" customFormat="1" ht="28.5" customHeight="1">
      <c r="B80" s="383" t="s">
        <v>342</v>
      </c>
      <c r="C80" s="480"/>
      <c r="D80" s="480"/>
      <c r="E80" s="480"/>
      <c r="F80" s="381"/>
      <c r="G80" s="382"/>
      <c r="H80" s="368"/>
      <c r="I80" s="748"/>
      <c r="K80" s="748"/>
    </row>
    <row r="81" spans="2:11" s="360" customFormat="1" ht="21.75" customHeight="1">
      <c r="B81" s="370" t="s">
        <v>238</v>
      </c>
      <c r="C81" s="480">
        <v>-233.47</v>
      </c>
      <c r="D81" s="480">
        <v>-61.9</v>
      </c>
      <c r="E81" s="480"/>
      <c r="F81" s="371"/>
      <c r="G81" s="372"/>
      <c r="H81" s="368"/>
      <c r="I81" s="747"/>
      <c r="K81" s="747"/>
    </row>
    <row r="82" spans="2:11" s="360" customFormat="1" ht="28.5" customHeight="1">
      <c r="B82" s="370" t="s">
        <v>239</v>
      </c>
      <c r="C82" s="483">
        <f>SUM(C83:C84)</f>
        <v>0</v>
      </c>
      <c r="D82" s="483">
        <f>SUM(D83:D84)</f>
        <v>0</v>
      </c>
      <c r="E82" s="483">
        <f>SUM(E83:E84)</f>
        <v>0</v>
      </c>
      <c r="F82" s="362"/>
      <c r="G82" s="363"/>
      <c r="H82" s="368"/>
      <c r="I82" s="747"/>
      <c r="K82" s="747"/>
    </row>
    <row r="83" spans="2:11" s="360" customFormat="1" ht="20.25" customHeight="1">
      <c r="B83" s="365" t="s">
        <v>31</v>
      </c>
      <c r="C83" s="480"/>
      <c r="D83" s="480"/>
      <c r="E83" s="480"/>
      <c r="F83" s="377"/>
      <c r="G83" s="378"/>
      <c r="H83" s="368"/>
      <c r="I83" s="748"/>
      <c r="K83" s="748"/>
    </row>
    <row r="84" spans="2:11" s="360" customFormat="1" ht="17.25" customHeight="1">
      <c r="B84" s="383" t="s">
        <v>32</v>
      </c>
      <c r="C84" s="480"/>
      <c r="D84" s="480"/>
      <c r="E84" s="480"/>
      <c r="F84" s="377"/>
      <c r="G84" s="378"/>
      <c r="H84" s="368"/>
      <c r="I84" s="748"/>
      <c r="K84" s="748"/>
    </row>
    <row r="85" spans="2:11" s="360" customFormat="1" ht="17.25" customHeight="1">
      <c r="B85" s="370" t="s">
        <v>242</v>
      </c>
      <c r="C85" s="483">
        <f>SUM(C86:C87)</f>
        <v>0</v>
      </c>
      <c r="D85" s="483">
        <f>SUM(D86:D87)</f>
        <v>0</v>
      </c>
      <c r="E85" s="483">
        <f>SUM(E86:E87)</f>
        <v>0</v>
      </c>
      <c r="F85" s="377"/>
      <c r="G85" s="378"/>
      <c r="H85" s="368"/>
      <c r="I85" s="749"/>
    </row>
    <row r="86" spans="2:11" s="360" customFormat="1" ht="17.25" customHeight="1">
      <c r="B86" s="370" t="s">
        <v>271</v>
      </c>
      <c r="C86" s="480"/>
      <c r="D86" s="480"/>
      <c r="E86" s="480"/>
      <c r="F86" s="377"/>
      <c r="G86" s="378"/>
      <c r="H86" s="368"/>
      <c r="I86" s="746"/>
    </row>
    <row r="87" spans="2:11" s="360" customFormat="1" ht="17.25" customHeight="1">
      <c r="B87" s="370" t="s">
        <v>272</v>
      </c>
      <c r="C87" s="480"/>
      <c r="D87" s="480"/>
      <c r="E87" s="480"/>
      <c r="F87" s="377"/>
      <c r="G87" s="378"/>
      <c r="H87" s="368"/>
      <c r="I87" s="746"/>
    </row>
    <row r="88" spans="2:11" s="360" customFormat="1" ht="19.899999999999999" customHeight="1">
      <c r="B88" s="384" t="s">
        <v>305</v>
      </c>
      <c r="C88" s="483">
        <f>C66+C74+C78+C81+C82+C85</f>
        <v>-236.48</v>
      </c>
      <c r="D88" s="483">
        <f>D66+D74+D78+D81+D82+D85</f>
        <v>-61.9</v>
      </c>
      <c r="E88" s="483">
        <f>E66+E74+E78+E81+E82+E85</f>
        <v>0</v>
      </c>
      <c r="F88" s="362"/>
      <c r="G88" s="363">
        <f t="shared" ref="G88:H94" si="0">+D88-C88</f>
        <v>174.57999999999998</v>
      </c>
      <c r="H88" s="364">
        <f t="shared" si="0"/>
        <v>61.9</v>
      </c>
      <c r="I88" s="749"/>
    </row>
    <row r="89" spans="2:11" s="360" customFormat="1" ht="19.899999999999999" customHeight="1">
      <c r="B89" s="384" t="s">
        <v>343</v>
      </c>
      <c r="C89" s="483">
        <f>C88+C65</f>
        <v>8651.2100000000028</v>
      </c>
      <c r="D89" s="485">
        <f>D88+D65</f>
        <v>1148.3917222222076</v>
      </c>
      <c r="E89" s="485">
        <f>E88+E65</f>
        <v>8648.2199999999721</v>
      </c>
      <c r="F89" s="385"/>
      <c r="G89" s="363">
        <f t="shared" si="0"/>
        <v>-7502.8182777777947</v>
      </c>
      <c r="H89" s="364">
        <f t="shared" si="0"/>
        <v>7499.828277777764</v>
      </c>
      <c r="I89" s="749"/>
    </row>
    <row r="90" spans="2:11" s="360" customFormat="1" ht="21.75" customHeight="1">
      <c r="B90" s="370" t="s">
        <v>240</v>
      </c>
      <c r="C90" s="482">
        <v>2892.02</v>
      </c>
      <c r="D90" s="482">
        <v>-287.10000000000002</v>
      </c>
      <c r="E90" s="482">
        <v>-2162.06</v>
      </c>
      <c r="F90" s="386"/>
      <c r="G90" s="363">
        <f t="shared" si="0"/>
        <v>-3179.12</v>
      </c>
      <c r="H90" s="364">
        <f t="shared" si="0"/>
        <v>-1874.96</v>
      </c>
      <c r="I90" s="746"/>
    </row>
    <row r="91" spans="2:11" s="360" customFormat="1" ht="31.5" customHeight="1">
      <c r="B91" s="387" t="s">
        <v>33</v>
      </c>
      <c r="C91" s="483">
        <f>C89+C90</f>
        <v>11543.230000000003</v>
      </c>
      <c r="D91" s="483">
        <f>D89+D90</f>
        <v>861.29172222220757</v>
      </c>
      <c r="E91" s="483">
        <f>E89+E90</f>
        <v>6486.1599999999726</v>
      </c>
      <c r="F91" s="362"/>
      <c r="G91" s="363">
        <f t="shared" si="0"/>
        <v>-10681.938277777796</v>
      </c>
      <c r="H91" s="364">
        <f t="shared" si="0"/>
        <v>5624.8682777777649</v>
      </c>
      <c r="I91" s="749"/>
    </row>
    <row r="92" spans="2:11" s="360" customFormat="1" ht="19.899999999999999" customHeight="1">
      <c r="B92" s="384" t="s">
        <v>344</v>
      </c>
      <c r="C92" s="480"/>
      <c r="D92" s="480"/>
      <c r="E92" s="480"/>
      <c r="F92" s="377"/>
      <c r="G92" s="363">
        <f t="shared" si="0"/>
        <v>0</v>
      </c>
      <c r="H92" s="364">
        <f t="shared" si="0"/>
        <v>0</v>
      </c>
      <c r="I92" s="747"/>
    </row>
    <row r="93" spans="2:11" s="360" customFormat="1" ht="29.25" customHeight="1">
      <c r="B93" s="370" t="s">
        <v>241</v>
      </c>
      <c r="C93" s="480"/>
      <c r="D93" s="480"/>
      <c r="E93" s="480"/>
      <c r="F93" s="377"/>
      <c r="G93" s="363">
        <f t="shared" si="0"/>
        <v>0</v>
      </c>
      <c r="H93" s="364">
        <f t="shared" si="0"/>
        <v>0</v>
      </c>
      <c r="I93" s="763"/>
    </row>
    <row r="94" spans="2:11" s="360" customFormat="1" ht="39.75" customHeight="1">
      <c r="B94" s="388" t="s">
        <v>34</v>
      </c>
      <c r="C94" s="483">
        <f>C91+C93</f>
        <v>11543.230000000003</v>
      </c>
      <c r="D94" s="483">
        <f>D91+D93</f>
        <v>861.29172222220757</v>
      </c>
      <c r="E94" s="483">
        <f>E91+E92+E93</f>
        <v>6486.1599999999726</v>
      </c>
      <c r="F94" s="381"/>
      <c r="G94" s="363">
        <f t="shared" si="0"/>
        <v>-10681.938277777796</v>
      </c>
      <c r="H94" s="364">
        <f t="shared" si="0"/>
        <v>5624.8682777777649</v>
      </c>
    </row>
    <row r="95" spans="2:11" ht="19.899999999999999" customHeight="1">
      <c r="C95" s="389"/>
      <c r="D95" s="389"/>
      <c r="E95" s="389"/>
      <c r="F95" s="389"/>
      <c r="G95" s="390"/>
      <c r="H95" s="391"/>
    </row>
    <row r="96" spans="2:11" ht="19.899999999999999" hidden="1" customHeight="1">
      <c r="B96" s="392" t="s">
        <v>531</v>
      </c>
      <c r="C96" s="393"/>
      <c r="D96" s="393"/>
      <c r="E96" s="393"/>
      <c r="F96" s="393"/>
      <c r="G96" s="394"/>
    </row>
    <row r="97" spans="2:8" ht="19.899999999999999" hidden="1" customHeight="1">
      <c r="B97" s="347" t="s">
        <v>35</v>
      </c>
      <c r="C97" s="389"/>
      <c r="D97" s="389"/>
      <c r="E97" s="389"/>
      <c r="F97" s="389"/>
      <c r="G97" s="390"/>
    </row>
    <row r="98" spans="2:8" ht="19.899999999999999" hidden="1" customHeight="1">
      <c r="C98" s="389"/>
      <c r="D98" s="389"/>
      <c r="E98" s="389"/>
      <c r="F98" s="389"/>
      <c r="G98" s="390"/>
    </row>
    <row r="99" spans="2:8" ht="19.899999999999999" hidden="1" customHeight="1">
      <c r="C99" s="389"/>
      <c r="D99" s="389"/>
      <c r="E99" s="389"/>
      <c r="F99" s="389"/>
      <c r="G99" s="390"/>
    </row>
    <row r="100" spans="2:8" ht="19.899999999999999" hidden="1" customHeight="1">
      <c r="C100" s="389"/>
      <c r="D100" s="389"/>
      <c r="E100" s="389"/>
      <c r="F100" s="389"/>
      <c r="G100" s="390"/>
    </row>
    <row r="101" spans="2:8" ht="19.899999999999999" hidden="1" customHeight="1">
      <c r="C101" s="389"/>
      <c r="D101" s="389"/>
      <c r="E101" s="389"/>
      <c r="F101" s="389"/>
      <c r="G101" s="390"/>
    </row>
    <row r="102" spans="2:8" ht="19.899999999999999" hidden="1" customHeight="1">
      <c r="C102" s="395">
        <f>+PASIVO!C20</f>
        <v>11543.230000000003</v>
      </c>
      <c r="D102" s="395">
        <f>+PASIVO!D20</f>
        <v>861.29172222220757</v>
      </c>
      <c r="E102" s="395">
        <f>+PASIVO!E20</f>
        <v>6486.1599999999726</v>
      </c>
      <c r="F102" s="395"/>
      <c r="G102" s="396"/>
    </row>
    <row r="103" spans="2:8" ht="19.899999999999999" hidden="1" customHeight="1">
      <c r="C103" s="397">
        <f>C94-C102</f>
        <v>0</v>
      </c>
      <c r="D103" s="397">
        <f>D94-D102</f>
        <v>0</v>
      </c>
      <c r="E103" s="397">
        <f>E94-E102</f>
        <v>0</v>
      </c>
      <c r="F103" s="397"/>
      <c r="G103" s="398"/>
    </row>
    <row r="104" spans="2:8" s="399" customFormat="1" ht="19.899999999999999" hidden="1" customHeight="1">
      <c r="C104" s="400"/>
      <c r="D104" s="400"/>
      <c r="E104" s="400"/>
      <c r="F104" s="400"/>
      <c r="G104" s="401"/>
      <c r="H104" s="402"/>
    </row>
    <row r="105" spans="2:8" ht="19.899999999999999" hidden="1" customHeight="1">
      <c r="B105" s="347" t="s">
        <v>61</v>
      </c>
      <c r="C105" s="397">
        <f>+PASIVO!C19</f>
        <v>0</v>
      </c>
      <c r="D105" s="397">
        <f>+PASIVO!D19-PASIVO!C19</f>
        <v>0</v>
      </c>
      <c r="E105" s="397">
        <f>+PASIVO!E19-PASIVO!D19</f>
        <v>0</v>
      </c>
      <c r="F105" s="397"/>
      <c r="G105" s="398"/>
    </row>
    <row r="106" spans="2:8" ht="19.899999999999999" hidden="1" customHeight="1">
      <c r="B106" s="347" t="s">
        <v>62</v>
      </c>
      <c r="C106" s="397">
        <f>+C94</f>
        <v>11543.230000000003</v>
      </c>
      <c r="D106" s="397">
        <f>+D94</f>
        <v>861.29172222220757</v>
      </c>
      <c r="E106" s="397">
        <f>+E94</f>
        <v>6486.1599999999726</v>
      </c>
      <c r="F106" s="397"/>
      <c r="G106" s="398"/>
    </row>
    <row r="107" spans="2:8" ht="19.899999999999999" hidden="1" customHeight="1">
      <c r="B107" s="347" t="s">
        <v>63</v>
      </c>
      <c r="C107" s="395">
        <f>SUM(C105:C106)</f>
        <v>11543.230000000003</v>
      </c>
      <c r="D107" s="395">
        <f>SUM(D105:D106)</f>
        <v>861.29172222220757</v>
      </c>
      <c r="E107" s="395">
        <f>SUM(E105:E106)</f>
        <v>6486.1599999999726</v>
      </c>
      <c r="F107" s="395"/>
      <c r="G107" s="396"/>
    </row>
    <row r="108" spans="2:8" ht="19.899999999999999" hidden="1" customHeight="1">
      <c r="B108" s="403" t="s">
        <v>93</v>
      </c>
      <c r="C108" s="397">
        <f>+PASIVO!C19+C94</f>
        <v>11543.230000000003</v>
      </c>
      <c r="D108" s="397">
        <f>+PASIVO!D19+D94-PASIVO!C19</f>
        <v>861.29172222220757</v>
      </c>
      <c r="E108" s="397">
        <f>+PASIVO!E19+E94-PASIVO!D19</f>
        <v>6486.1599999999726</v>
      </c>
      <c r="F108" s="397"/>
      <c r="G108" s="398"/>
    </row>
    <row r="109" spans="2:8" ht="19.899999999999999" hidden="1" customHeight="1">
      <c r="B109" s="347" t="s">
        <v>94</v>
      </c>
      <c r="C109" s="389">
        <v>29502.85</v>
      </c>
      <c r="D109" s="389">
        <v>0</v>
      </c>
      <c r="E109" s="389">
        <v>0</v>
      </c>
      <c r="F109" s="389"/>
      <c r="G109" s="390"/>
    </row>
    <row r="110" spans="2:8" ht="19.899999999999999" hidden="1" customHeight="1">
      <c r="B110" s="347" t="s">
        <v>88</v>
      </c>
      <c r="C110" s="404">
        <f>+C108-C109</f>
        <v>-17959.619999999995</v>
      </c>
      <c r="D110" s="397">
        <f>+D108-D109</f>
        <v>861.29172222220757</v>
      </c>
      <c r="E110" s="404">
        <f>+E108-E109</f>
        <v>6486.1599999999726</v>
      </c>
      <c r="F110" s="404"/>
      <c r="G110" s="405"/>
    </row>
    <row r="111" spans="2:8" ht="19.899999999999999" hidden="1" customHeight="1">
      <c r="C111" s="389"/>
      <c r="D111" s="389"/>
      <c r="E111" s="389"/>
      <c r="F111" s="389"/>
      <c r="G111" s="390"/>
    </row>
    <row r="112" spans="2:8" ht="19.899999999999999" hidden="1" customHeight="1">
      <c r="C112" s="389"/>
      <c r="D112" s="389"/>
      <c r="E112" s="389"/>
      <c r="F112" s="389"/>
      <c r="G112" s="390"/>
    </row>
    <row r="113" spans="3:7" ht="19.899999999999999" hidden="1" customHeight="1">
      <c r="C113" s="389"/>
      <c r="D113" s="389"/>
      <c r="E113" s="389"/>
      <c r="F113" s="389"/>
      <c r="G113" s="390"/>
    </row>
    <row r="114" spans="3:7" ht="19.899999999999999" hidden="1" customHeight="1">
      <c r="C114" s="389"/>
      <c r="D114" s="389"/>
      <c r="E114" s="389"/>
      <c r="F114" s="389"/>
      <c r="G114" s="390"/>
    </row>
    <row r="115" spans="3:7" ht="19.899999999999999" hidden="1" customHeight="1">
      <c r="C115" s="389"/>
      <c r="D115" s="389"/>
      <c r="E115" s="389"/>
      <c r="F115" s="389"/>
      <c r="G115" s="390"/>
    </row>
    <row r="116" spans="3:7" ht="19.899999999999999" hidden="1" customHeight="1">
      <c r="C116" s="389"/>
      <c r="D116" s="389"/>
      <c r="E116" s="389"/>
      <c r="F116" s="389"/>
      <c r="G116" s="390"/>
    </row>
    <row r="117" spans="3:7" ht="19.899999999999999" customHeight="1">
      <c r="C117" s="389"/>
      <c r="D117" s="389"/>
      <c r="E117" s="389"/>
      <c r="F117" s="389"/>
      <c r="G117" s="390"/>
    </row>
    <row r="118" spans="3:7" ht="19.899999999999999" customHeight="1">
      <c r="C118" s="389"/>
      <c r="D118" s="389"/>
      <c r="E118" s="389"/>
      <c r="F118" s="389"/>
      <c r="G118" s="390"/>
    </row>
    <row r="119" spans="3:7" ht="19.899999999999999" customHeight="1">
      <c r="C119" s="389"/>
      <c r="D119" s="389"/>
      <c r="E119" s="389"/>
      <c r="F119" s="389"/>
      <c r="G119" s="390"/>
    </row>
    <row r="120" spans="3:7" ht="19.899999999999999" customHeight="1">
      <c r="C120" s="389"/>
      <c r="D120" s="389"/>
      <c r="E120" s="389"/>
      <c r="F120" s="389"/>
      <c r="G120" s="390"/>
    </row>
    <row r="121" spans="3:7" ht="19.899999999999999" customHeight="1">
      <c r="C121" s="389"/>
      <c r="D121" s="389"/>
      <c r="E121" s="389"/>
      <c r="F121" s="389"/>
      <c r="G121" s="390"/>
    </row>
    <row r="122" spans="3:7" ht="19.899999999999999" customHeight="1">
      <c r="C122" s="389"/>
      <c r="D122" s="389"/>
      <c r="E122" s="389"/>
      <c r="F122" s="389"/>
      <c r="G122" s="390"/>
    </row>
    <row r="123" spans="3:7" ht="19.899999999999999" customHeight="1">
      <c r="C123" s="389"/>
      <c r="D123" s="389"/>
      <c r="E123" s="389"/>
      <c r="F123" s="389"/>
      <c r="G123" s="390"/>
    </row>
    <row r="124" spans="3:7" ht="19.899999999999999" customHeight="1">
      <c r="C124" s="389"/>
      <c r="D124" s="389"/>
      <c r="E124" s="389"/>
      <c r="F124" s="389"/>
      <c r="G124" s="390"/>
    </row>
    <row r="125" spans="3:7" ht="19.899999999999999" customHeight="1">
      <c r="C125" s="389"/>
      <c r="D125" s="389"/>
      <c r="E125" s="389"/>
      <c r="F125" s="389"/>
      <c r="G125" s="390"/>
    </row>
    <row r="126" spans="3:7" ht="19.899999999999999" customHeight="1">
      <c r="C126" s="389"/>
      <c r="D126" s="389"/>
      <c r="E126" s="389"/>
      <c r="F126" s="389"/>
      <c r="G126" s="390"/>
    </row>
    <row r="127" spans="3:7" ht="19.899999999999999" customHeight="1">
      <c r="C127" s="389"/>
      <c r="D127" s="389"/>
      <c r="E127" s="389"/>
      <c r="F127" s="389"/>
      <c r="G127" s="390"/>
    </row>
    <row r="128" spans="3:7" ht="19.899999999999999" customHeight="1">
      <c r="C128" s="389"/>
      <c r="D128" s="389"/>
      <c r="E128" s="389"/>
      <c r="F128" s="389"/>
      <c r="G128" s="390"/>
    </row>
    <row r="129" spans="3:7" ht="19.899999999999999" customHeight="1">
      <c r="C129" s="389"/>
      <c r="D129" s="389"/>
      <c r="E129" s="389"/>
      <c r="F129" s="389"/>
      <c r="G129" s="390"/>
    </row>
    <row r="130" spans="3:7" ht="19.899999999999999" customHeight="1">
      <c r="C130" s="389"/>
      <c r="D130" s="389"/>
      <c r="E130" s="389"/>
      <c r="F130" s="389"/>
      <c r="G130" s="390"/>
    </row>
    <row r="131" spans="3:7" ht="19.899999999999999" customHeight="1">
      <c r="C131" s="389"/>
      <c r="D131" s="389"/>
      <c r="E131" s="389"/>
      <c r="F131" s="389"/>
      <c r="G131" s="390"/>
    </row>
    <row r="132" spans="3:7" ht="19.899999999999999" customHeight="1">
      <c r="C132" s="389"/>
      <c r="D132" s="389"/>
      <c r="E132" s="389"/>
      <c r="F132" s="389"/>
      <c r="G132" s="390"/>
    </row>
    <row r="133" spans="3:7" ht="19.899999999999999" customHeight="1">
      <c r="C133" s="389"/>
      <c r="D133" s="389"/>
      <c r="E133" s="389"/>
      <c r="F133" s="389"/>
      <c r="G133" s="390"/>
    </row>
    <row r="134" spans="3:7" ht="19.899999999999999" customHeight="1">
      <c r="C134" s="389"/>
      <c r="D134" s="389"/>
      <c r="E134" s="389"/>
      <c r="F134" s="389"/>
      <c r="G134" s="390"/>
    </row>
    <row r="135" spans="3:7" ht="19.899999999999999" customHeight="1">
      <c r="C135" s="389"/>
      <c r="D135" s="389"/>
      <c r="E135" s="389"/>
      <c r="F135" s="389"/>
      <c r="G135" s="390"/>
    </row>
    <row r="136" spans="3:7" ht="19.899999999999999" customHeight="1">
      <c r="C136" s="389"/>
      <c r="D136" s="389"/>
      <c r="E136" s="389"/>
      <c r="F136" s="389"/>
      <c r="G136" s="390"/>
    </row>
    <row r="137" spans="3:7" ht="19.899999999999999" customHeight="1">
      <c r="C137" s="389"/>
      <c r="D137" s="389"/>
      <c r="E137" s="389"/>
      <c r="F137" s="389"/>
      <c r="G137" s="390"/>
    </row>
    <row r="138" spans="3:7" ht="19.899999999999999" customHeight="1">
      <c r="C138" s="389"/>
      <c r="D138" s="389"/>
      <c r="E138" s="389"/>
      <c r="F138" s="389"/>
      <c r="G138" s="390"/>
    </row>
    <row r="139" spans="3:7" ht="19.899999999999999" customHeight="1">
      <c r="C139" s="389"/>
      <c r="D139" s="389"/>
      <c r="E139" s="389"/>
      <c r="F139" s="389"/>
      <c r="G139" s="390"/>
    </row>
    <row r="140" spans="3:7" ht="19.899999999999999" customHeight="1">
      <c r="C140" s="389"/>
      <c r="D140" s="389"/>
      <c r="E140" s="389"/>
      <c r="F140" s="389"/>
      <c r="G140" s="390"/>
    </row>
    <row r="141" spans="3:7" ht="19.899999999999999" customHeight="1">
      <c r="C141" s="389"/>
      <c r="D141" s="389"/>
      <c r="E141" s="389"/>
      <c r="F141" s="389"/>
      <c r="G141" s="390"/>
    </row>
    <row r="142" spans="3:7" ht="19.899999999999999" customHeight="1">
      <c r="C142" s="389"/>
      <c r="D142" s="389"/>
      <c r="E142" s="389"/>
      <c r="F142" s="389"/>
      <c r="G142" s="390"/>
    </row>
    <row r="143" spans="3:7" ht="19.899999999999999" customHeight="1">
      <c r="C143" s="389"/>
      <c r="D143" s="389"/>
      <c r="E143" s="389"/>
      <c r="F143" s="389"/>
      <c r="G143" s="390"/>
    </row>
    <row r="144" spans="3:7" ht="19.899999999999999" customHeight="1">
      <c r="C144" s="389"/>
      <c r="D144" s="389"/>
      <c r="E144" s="389"/>
      <c r="F144" s="389"/>
      <c r="G144" s="390"/>
    </row>
    <row r="145" spans="3:7" ht="19.899999999999999" customHeight="1">
      <c r="C145" s="389"/>
      <c r="D145" s="389"/>
      <c r="E145" s="389"/>
      <c r="F145" s="389"/>
      <c r="G145" s="390"/>
    </row>
    <row r="146" spans="3:7" ht="19.899999999999999" customHeight="1">
      <c r="C146" s="389"/>
      <c r="D146" s="389"/>
      <c r="E146" s="389"/>
      <c r="F146" s="389"/>
      <c r="G146" s="390"/>
    </row>
    <row r="147" spans="3:7" ht="19.899999999999999" customHeight="1">
      <c r="C147" s="389"/>
      <c r="D147" s="389"/>
      <c r="E147" s="389"/>
      <c r="F147" s="389"/>
      <c r="G147" s="390"/>
    </row>
    <row r="148" spans="3:7" ht="19.899999999999999" customHeight="1">
      <c r="C148" s="389"/>
      <c r="D148" s="389"/>
      <c r="E148" s="389"/>
      <c r="F148" s="389"/>
      <c r="G148" s="390"/>
    </row>
    <row r="149" spans="3:7" ht="19.899999999999999" customHeight="1">
      <c r="C149" s="389"/>
      <c r="D149" s="389"/>
      <c r="E149" s="389"/>
      <c r="F149" s="389"/>
      <c r="G149" s="390"/>
    </row>
    <row r="150" spans="3:7" ht="19.899999999999999" customHeight="1">
      <c r="C150" s="389"/>
      <c r="D150" s="389"/>
      <c r="E150" s="389"/>
      <c r="F150" s="389"/>
      <c r="G150" s="390"/>
    </row>
    <row r="151" spans="3:7" ht="19.899999999999999" customHeight="1">
      <c r="C151" s="389"/>
      <c r="D151" s="389"/>
      <c r="E151" s="389"/>
      <c r="F151" s="389"/>
      <c r="G151" s="390"/>
    </row>
    <row r="152" spans="3:7" ht="19.899999999999999" customHeight="1">
      <c r="C152" s="389"/>
      <c r="D152" s="389"/>
      <c r="E152" s="389"/>
      <c r="F152" s="389"/>
      <c r="G152" s="390"/>
    </row>
    <row r="153" spans="3:7" ht="19.899999999999999" customHeight="1">
      <c r="C153" s="389"/>
      <c r="D153" s="389"/>
      <c r="E153" s="389"/>
      <c r="F153" s="389"/>
      <c r="G153" s="390"/>
    </row>
    <row r="154" spans="3:7" ht="19.899999999999999" customHeight="1">
      <c r="C154" s="389"/>
      <c r="D154" s="389"/>
      <c r="E154" s="389"/>
      <c r="F154" s="389"/>
      <c r="G154" s="390"/>
    </row>
    <row r="155" spans="3:7" ht="19.899999999999999" customHeight="1">
      <c r="C155" s="389"/>
      <c r="D155" s="389"/>
      <c r="E155" s="389"/>
      <c r="F155" s="389"/>
      <c r="G155" s="390"/>
    </row>
    <row r="156" spans="3:7" ht="19.899999999999999" customHeight="1">
      <c r="C156" s="389"/>
      <c r="D156" s="389"/>
      <c r="E156" s="389"/>
      <c r="F156" s="389"/>
      <c r="G156" s="390"/>
    </row>
    <row r="157" spans="3:7" ht="19.899999999999999" customHeight="1">
      <c r="C157" s="389"/>
      <c r="D157" s="389"/>
      <c r="E157" s="389"/>
      <c r="F157" s="389"/>
      <c r="G157" s="390"/>
    </row>
    <row r="158" spans="3:7" ht="19.899999999999999" customHeight="1">
      <c r="C158" s="389"/>
      <c r="D158" s="389"/>
      <c r="E158" s="389"/>
      <c r="F158" s="389"/>
      <c r="G158" s="390"/>
    </row>
    <row r="159" spans="3:7" ht="19.899999999999999" customHeight="1">
      <c r="C159" s="389"/>
      <c r="D159" s="389"/>
      <c r="E159" s="389"/>
      <c r="F159" s="389"/>
      <c r="G159" s="390"/>
    </row>
    <row r="160" spans="3:7" ht="19.899999999999999" customHeight="1">
      <c r="C160" s="389"/>
      <c r="D160" s="389"/>
      <c r="E160" s="389"/>
      <c r="F160" s="389"/>
      <c r="G160" s="390"/>
    </row>
    <row r="161" spans="3:7" ht="19.899999999999999" customHeight="1">
      <c r="C161" s="389"/>
      <c r="D161" s="389"/>
      <c r="E161" s="389"/>
      <c r="F161" s="389"/>
      <c r="G161" s="390"/>
    </row>
    <row r="162" spans="3:7" ht="19.899999999999999" customHeight="1">
      <c r="C162" s="389"/>
      <c r="D162" s="389"/>
      <c r="E162" s="389"/>
      <c r="F162" s="389"/>
      <c r="G162" s="390"/>
    </row>
    <row r="163" spans="3:7" ht="19.899999999999999" customHeight="1">
      <c r="C163" s="389"/>
      <c r="D163" s="389"/>
      <c r="E163" s="389"/>
      <c r="F163" s="389"/>
      <c r="G163" s="390"/>
    </row>
    <row r="164" spans="3:7" ht="19.899999999999999" customHeight="1">
      <c r="C164" s="389"/>
      <c r="D164" s="389"/>
      <c r="E164" s="389"/>
      <c r="F164" s="389"/>
      <c r="G164" s="390"/>
    </row>
    <row r="165" spans="3:7" ht="19.899999999999999" customHeight="1">
      <c r="C165" s="389"/>
      <c r="D165" s="389"/>
      <c r="E165" s="389"/>
      <c r="F165" s="389"/>
      <c r="G165" s="390"/>
    </row>
    <row r="166" spans="3:7" ht="19.899999999999999" customHeight="1">
      <c r="C166" s="389"/>
      <c r="D166" s="389"/>
      <c r="E166" s="389"/>
      <c r="F166" s="389"/>
      <c r="G166" s="390"/>
    </row>
    <row r="167" spans="3:7" ht="19.899999999999999" customHeight="1">
      <c r="C167" s="389"/>
      <c r="D167" s="389"/>
      <c r="E167" s="389"/>
      <c r="F167" s="389"/>
      <c r="G167" s="390"/>
    </row>
    <row r="168" spans="3:7" ht="19.899999999999999" customHeight="1">
      <c r="C168" s="389"/>
      <c r="D168" s="389"/>
      <c r="E168" s="389"/>
      <c r="F168" s="389"/>
      <c r="G168" s="390"/>
    </row>
    <row r="169" spans="3:7" ht="19.899999999999999" customHeight="1">
      <c r="C169" s="389"/>
      <c r="D169" s="389"/>
      <c r="E169" s="389"/>
      <c r="F169" s="389"/>
      <c r="G169" s="390"/>
    </row>
    <row r="170" spans="3:7" ht="19.899999999999999" customHeight="1">
      <c r="C170" s="389"/>
      <c r="D170" s="389"/>
      <c r="E170" s="389"/>
      <c r="F170" s="389"/>
      <c r="G170" s="390"/>
    </row>
    <row r="171" spans="3:7" ht="19.899999999999999" customHeight="1">
      <c r="C171" s="389"/>
      <c r="D171" s="389"/>
      <c r="E171" s="389"/>
      <c r="F171" s="389"/>
      <c r="G171" s="390"/>
    </row>
    <row r="172" spans="3:7" ht="19.899999999999999" customHeight="1">
      <c r="C172" s="389"/>
      <c r="D172" s="389"/>
      <c r="E172" s="389"/>
      <c r="F172" s="389"/>
      <c r="G172" s="390"/>
    </row>
    <row r="173" spans="3:7" ht="19.899999999999999" customHeight="1">
      <c r="C173" s="389"/>
      <c r="D173" s="389"/>
      <c r="E173" s="389"/>
      <c r="F173" s="389"/>
      <c r="G173" s="390"/>
    </row>
    <row r="174" spans="3:7" ht="19.899999999999999" customHeight="1">
      <c r="C174" s="389"/>
      <c r="D174" s="389"/>
      <c r="E174" s="389"/>
      <c r="F174" s="389"/>
      <c r="G174" s="390"/>
    </row>
    <row r="175" spans="3:7" ht="19.899999999999999" customHeight="1">
      <c r="C175" s="389"/>
      <c r="D175" s="389"/>
      <c r="E175" s="389"/>
      <c r="F175" s="389"/>
      <c r="G175" s="390"/>
    </row>
    <row r="176" spans="3:7" ht="19.899999999999999" customHeight="1">
      <c r="C176" s="389"/>
      <c r="D176" s="389"/>
      <c r="E176" s="389"/>
      <c r="F176" s="389"/>
      <c r="G176" s="390"/>
    </row>
    <row r="177" spans="3:7" ht="19.899999999999999" customHeight="1">
      <c r="C177" s="389"/>
      <c r="D177" s="389"/>
      <c r="E177" s="389"/>
      <c r="F177" s="389"/>
      <c r="G177" s="390"/>
    </row>
    <row r="178" spans="3:7" ht="19.899999999999999" customHeight="1">
      <c r="C178" s="389"/>
      <c r="D178" s="389"/>
      <c r="E178" s="389"/>
      <c r="F178" s="389"/>
      <c r="G178" s="390"/>
    </row>
    <row r="179" spans="3:7" ht="19.899999999999999" customHeight="1">
      <c r="C179" s="389"/>
      <c r="D179" s="389"/>
      <c r="E179" s="389"/>
      <c r="F179" s="389"/>
      <c r="G179" s="390"/>
    </row>
    <row r="180" spans="3:7" ht="19.899999999999999" customHeight="1">
      <c r="C180" s="389"/>
      <c r="D180" s="389"/>
      <c r="E180" s="389"/>
      <c r="F180" s="389"/>
      <c r="G180" s="390"/>
    </row>
    <row r="181" spans="3:7" ht="19.899999999999999" customHeight="1">
      <c r="C181" s="389"/>
      <c r="D181" s="389"/>
      <c r="E181" s="389"/>
      <c r="F181" s="389"/>
      <c r="G181" s="390"/>
    </row>
    <row r="182" spans="3:7" ht="19.899999999999999" customHeight="1">
      <c r="C182" s="389"/>
      <c r="D182" s="389"/>
      <c r="E182" s="389"/>
      <c r="F182" s="389"/>
      <c r="G182" s="390"/>
    </row>
    <row r="183" spans="3:7" ht="19.899999999999999" customHeight="1">
      <c r="C183" s="389"/>
      <c r="D183" s="389"/>
      <c r="E183" s="389"/>
      <c r="F183" s="389"/>
      <c r="G183" s="390"/>
    </row>
    <row r="184" spans="3:7" ht="19.899999999999999" customHeight="1">
      <c r="C184" s="389"/>
      <c r="D184" s="389"/>
      <c r="E184" s="389"/>
      <c r="F184" s="389"/>
      <c r="G184" s="390"/>
    </row>
    <row r="185" spans="3:7" ht="19.899999999999999" customHeight="1">
      <c r="C185" s="389"/>
      <c r="D185" s="389"/>
      <c r="E185" s="389"/>
      <c r="F185" s="389"/>
      <c r="G185" s="390"/>
    </row>
    <row r="186" spans="3:7" ht="19.899999999999999" customHeight="1">
      <c r="C186" s="389"/>
      <c r="D186" s="389"/>
      <c r="E186" s="389"/>
      <c r="F186" s="389"/>
      <c r="G186" s="390"/>
    </row>
    <row r="187" spans="3:7" ht="19.899999999999999" customHeight="1">
      <c r="C187" s="389"/>
      <c r="D187" s="389"/>
      <c r="E187" s="389"/>
      <c r="F187" s="389"/>
      <c r="G187" s="390"/>
    </row>
    <row r="188" spans="3:7" ht="19.899999999999999" customHeight="1">
      <c r="C188" s="389"/>
      <c r="D188" s="389"/>
      <c r="E188" s="389"/>
      <c r="F188" s="389"/>
      <c r="G188" s="390"/>
    </row>
    <row r="189" spans="3:7" ht="19.899999999999999" customHeight="1">
      <c r="C189" s="389"/>
      <c r="D189" s="389"/>
      <c r="E189" s="389"/>
      <c r="F189" s="389"/>
      <c r="G189" s="390"/>
    </row>
    <row r="190" spans="3:7" ht="19.899999999999999" customHeight="1">
      <c r="C190" s="389"/>
      <c r="D190" s="389"/>
      <c r="E190" s="389"/>
      <c r="F190" s="389"/>
      <c r="G190" s="390"/>
    </row>
    <row r="191" spans="3:7" ht="19.899999999999999" customHeight="1">
      <c r="C191" s="389"/>
      <c r="D191" s="389"/>
      <c r="E191" s="389"/>
      <c r="F191" s="389"/>
      <c r="G191" s="390"/>
    </row>
    <row r="192" spans="3:7" ht="19.899999999999999" customHeight="1">
      <c r="C192" s="389"/>
      <c r="D192" s="389"/>
      <c r="E192" s="389"/>
      <c r="F192" s="389"/>
      <c r="G192" s="390"/>
    </row>
    <row r="193" spans="3:7" ht="19.899999999999999" customHeight="1">
      <c r="C193" s="389"/>
      <c r="D193" s="389"/>
      <c r="E193" s="389"/>
      <c r="F193" s="389"/>
      <c r="G193" s="390"/>
    </row>
    <row r="194" spans="3:7" ht="19.899999999999999" customHeight="1">
      <c r="C194" s="389"/>
      <c r="D194" s="389"/>
      <c r="E194" s="389"/>
      <c r="F194" s="389"/>
      <c r="G194" s="390"/>
    </row>
    <row r="195" spans="3:7" ht="19.899999999999999" customHeight="1">
      <c r="C195" s="389"/>
      <c r="D195" s="389"/>
      <c r="E195" s="389"/>
      <c r="F195" s="389"/>
      <c r="G195" s="390"/>
    </row>
    <row r="196" spans="3:7" ht="19.899999999999999" customHeight="1">
      <c r="C196" s="389"/>
      <c r="D196" s="389"/>
      <c r="E196" s="389"/>
      <c r="F196" s="389"/>
      <c r="G196" s="390"/>
    </row>
    <row r="197" spans="3:7" ht="19.899999999999999" customHeight="1">
      <c r="C197" s="389"/>
      <c r="D197" s="389"/>
      <c r="E197" s="389"/>
      <c r="F197" s="389"/>
      <c r="G197" s="390"/>
    </row>
    <row r="198" spans="3:7" ht="19.899999999999999" customHeight="1">
      <c r="C198" s="389"/>
      <c r="D198" s="389"/>
      <c r="E198" s="389"/>
      <c r="F198" s="389"/>
      <c r="G198" s="390"/>
    </row>
    <row r="199" spans="3:7" ht="19.899999999999999" customHeight="1">
      <c r="C199" s="389"/>
      <c r="D199" s="389"/>
      <c r="E199" s="389"/>
      <c r="F199" s="389"/>
      <c r="G199" s="390"/>
    </row>
    <row r="200" spans="3:7" ht="19.899999999999999" customHeight="1">
      <c r="C200" s="389"/>
      <c r="D200" s="389"/>
      <c r="E200" s="389"/>
      <c r="F200" s="389"/>
      <c r="G200" s="390"/>
    </row>
    <row r="201" spans="3:7" ht="19.899999999999999" customHeight="1">
      <c r="C201" s="389"/>
      <c r="D201" s="389"/>
      <c r="E201" s="389"/>
      <c r="F201" s="389"/>
      <c r="G201" s="390"/>
    </row>
    <row r="202" spans="3:7" ht="19.899999999999999" customHeight="1">
      <c r="C202" s="389"/>
      <c r="D202" s="389"/>
      <c r="E202" s="389"/>
      <c r="F202" s="389"/>
      <c r="G202" s="390"/>
    </row>
    <row r="203" spans="3:7" ht="19.899999999999999" customHeight="1">
      <c r="C203" s="389"/>
      <c r="D203" s="389"/>
      <c r="E203" s="389"/>
      <c r="F203" s="389"/>
      <c r="G203" s="390"/>
    </row>
    <row r="204" spans="3:7" ht="19.899999999999999" customHeight="1">
      <c r="C204" s="389"/>
      <c r="D204" s="389"/>
      <c r="E204" s="389"/>
      <c r="F204" s="389"/>
      <c r="G204" s="390"/>
    </row>
    <row r="205" spans="3:7" ht="19.899999999999999" customHeight="1">
      <c r="C205" s="389"/>
      <c r="D205" s="389"/>
      <c r="E205" s="389"/>
      <c r="F205" s="389"/>
      <c r="G205" s="390"/>
    </row>
    <row r="206" spans="3:7" ht="19.899999999999999" customHeight="1">
      <c r="C206" s="389"/>
      <c r="D206" s="389"/>
      <c r="E206" s="389"/>
      <c r="F206" s="389"/>
      <c r="G206" s="390"/>
    </row>
    <row r="207" spans="3:7" ht="19.899999999999999" customHeight="1">
      <c r="C207" s="389"/>
      <c r="D207" s="389"/>
      <c r="E207" s="389"/>
      <c r="F207" s="389"/>
      <c r="G207" s="390"/>
    </row>
    <row r="208" spans="3:7" ht="19.899999999999999" customHeight="1">
      <c r="C208" s="389"/>
      <c r="D208" s="389"/>
      <c r="E208" s="389"/>
      <c r="F208" s="389"/>
      <c r="G208" s="390"/>
    </row>
    <row r="209" spans="3:7" ht="19.899999999999999" customHeight="1">
      <c r="C209" s="389"/>
      <c r="D209" s="389"/>
      <c r="E209" s="389"/>
      <c r="F209" s="389"/>
      <c r="G209" s="390"/>
    </row>
    <row r="210" spans="3:7" ht="19.899999999999999" customHeight="1">
      <c r="C210" s="389"/>
      <c r="D210" s="389"/>
      <c r="E210" s="389"/>
      <c r="F210" s="389"/>
      <c r="G210" s="390"/>
    </row>
    <row r="211" spans="3:7" ht="19.899999999999999" customHeight="1">
      <c r="C211" s="389"/>
      <c r="D211" s="389"/>
      <c r="E211" s="389"/>
      <c r="F211" s="389"/>
      <c r="G211" s="390"/>
    </row>
    <row r="212" spans="3:7" ht="19.899999999999999" customHeight="1">
      <c r="C212" s="389"/>
      <c r="D212" s="389"/>
      <c r="E212" s="389"/>
      <c r="F212" s="389"/>
      <c r="G212" s="390"/>
    </row>
    <row r="213" spans="3:7" ht="19.899999999999999" customHeight="1">
      <c r="C213" s="389"/>
      <c r="D213" s="389"/>
      <c r="E213" s="389"/>
      <c r="F213" s="389"/>
      <c r="G213" s="390"/>
    </row>
    <row r="214" spans="3:7" ht="19.899999999999999" customHeight="1">
      <c r="C214" s="389"/>
      <c r="D214" s="389"/>
      <c r="E214" s="389"/>
      <c r="F214" s="389"/>
      <c r="G214" s="390"/>
    </row>
    <row r="215" spans="3:7" ht="19.899999999999999" customHeight="1">
      <c r="C215" s="389"/>
      <c r="D215" s="389"/>
      <c r="E215" s="389"/>
      <c r="F215" s="389"/>
      <c r="G215" s="390"/>
    </row>
    <row r="216" spans="3:7" ht="19.899999999999999" customHeight="1">
      <c r="C216" s="389"/>
      <c r="D216" s="389"/>
      <c r="E216" s="389"/>
      <c r="F216" s="389"/>
      <c r="G216" s="390"/>
    </row>
    <row r="217" spans="3:7" ht="19.899999999999999" customHeight="1">
      <c r="C217" s="389"/>
      <c r="D217" s="389"/>
      <c r="E217" s="389"/>
      <c r="F217" s="389"/>
      <c r="G217" s="390"/>
    </row>
    <row r="218" spans="3:7" ht="19.899999999999999" customHeight="1">
      <c r="C218" s="389"/>
      <c r="D218" s="389"/>
      <c r="E218" s="389"/>
      <c r="F218" s="389"/>
      <c r="G218" s="390"/>
    </row>
    <row r="219" spans="3:7" ht="19.899999999999999" customHeight="1">
      <c r="C219" s="389"/>
      <c r="D219" s="389"/>
      <c r="E219" s="389"/>
      <c r="F219" s="389"/>
      <c r="G219" s="390"/>
    </row>
    <row r="220" spans="3:7" ht="19.899999999999999" customHeight="1">
      <c r="C220" s="389"/>
      <c r="D220" s="389"/>
      <c r="E220" s="389"/>
      <c r="F220" s="389"/>
      <c r="G220" s="390"/>
    </row>
    <row r="221" spans="3:7" ht="19.899999999999999" customHeight="1">
      <c r="C221" s="389"/>
      <c r="D221" s="389"/>
      <c r="E221" s="389"/>
      <c r="F221" s="389"/>
      <c r="G221" s="390"/>
    </row>
    <row r="222" spans="3:7" ht="19.899999999999999" customHeight="1">
      <c r="C222" s="389"/>
      <c r="D222" s="389"/>
      <c r="E222" s="389"/>
      <c r="F222" s="389"/>
      <c r="G222" s="390"/>
    </row>
    <row r="223" spans="3:7" ht="19.899999999999999" customHeight="1">
      <c r="C223" s="389"/>
      <c r="D223" s="389"/>
      <c r="E223" s="389"/>
      <c r="F223" s="389"/>
      <c r="G223" s="390"/>
    </row>
    <row r="224" spans="3:7" ht="19.899999999999999" customHeight="1">
      <c r="C224" s="389"/>
      <c r="D224" s="389"/>
      <c r="E224" s="389"/>
      <c r="F224" s="389"/>
      <c r="G224" s="390"/>
    </row>
    <row r="225" spans="3:7" ht="19.899999999999999" customHeight="1">
      <c r="C225" s="389"/>
      <c r="D225" s="389"/>
      <c r="E225" s="389"/>
      <c r="F225" s="389"/>
      <c r="G225" s="390"/>
    </row>
    <row r="226" spans="3:7" ht="19.899999999999999" customHeight="1">
      <c r="C226" s="389"/>
      <c r="D226" s="389"/>
      <c r="E226" s="389"/>
      <c r="F226" s="389"/>
      <c r="G226" s="390"/>
    </row>
    <row r="227" spans="3:7" ht="19.899999999999999" customHeight="1">
      <c r="C227" s="389"/>
      <c r="D227" s="389"/>
      <c r="E227" s="389"/>
      <c r="F227" s="389"/>
      <c r="G227" s="390"/>
    </row>
    <row r="228" spans="3:7" ht="19.899999999999999" customHeight="1">
      <c r="C228" s="389"/>
      <c r="D228" s="389"/>
      <c r="E228" s="389"/>
      <c r="F228" s="389"/>
      <c r="G228" s="390"/>
    </row>
    <row r="229" spans="3:7" ht="19.899999999999999" customHeight="1">
      <c r="C229" s="389"/>
      <c r="D229" s="389"/>
      <c r="E229" s="389"/>
      <c r="F229" s="389"/>
      <c r="G229" s="390"/>
    </row>
    <row r="230" spans="3:7" ht="19.899999999999999" customHeight="1">
      <c r="C230" s="389"/>
      <c r="D230" s="389"/>
      <c r="E230" s="389"/>
      <c r="F230" s="389"/>
      <c r="G230" s="390"/>
    </row>
    <row r="231" spans="3:7" ht="19.899999999999999" customHeight="1">
      <c r="C231" s="389"/>
      <c r="D231" s="389"/>
      <c r="E231" s="389"/>
      <c r="F231" s="389"/>
      <c r="G231" s="390"/>
    </row>
    <row r="232" spans="3:7" ht="19.899999999999999" customHeight="1">
      <c r="C232" s="389"/>
      <c r="D232" s="389"/>
      <c r="E232" s="389"/>
      <c r="F232" s="389"/>
      <c r="G232" s="390"/>
    </row>
    <row r="233" spans="3:7" ht="19.899999999999999" customHeight="1">
      <c r="C233" s="389"/>
      <c r="D233" s="389"/>
      <c r="E233" s="389"/>
      <c r="F233" s="389"/>
      <c r="G233" s="390"/>
    </row>
    <row r="234" spans="3:7" ht="19.899999999999999" customHeight="1">
      <c r="C234" s="389"/>
      <c r="D234" s="389"/>
      <c r="E234" s="389"/>
      <c r="F234" s="389"/>
      <c r="G234" s="390"/>
    </row>
    <row r="235" spans="3:7" ht="19.899999999999999" customHeight="1">
      <c r="C235" s="389"/>
      <c r="D235" s="389"/>
      <c r="E235" s="389"/>
      <c r="F235" s="389"/>
      <c r="G235" s="390"/>
    </row>
    <row r="236" spans="3:7" ht="19.899999999999999" customHeight="1">
      <c r="C236" s="389"/>
      <c r="D236" s="389"/>
      <c r="E236" s="389"/>
      <c r="F236" s="389"/>
      <c r="G236" s="390"/>
    </row>
    <row r="237" spans="3:7" ht="19.899999999999999" customHeight="1">
      <c r="C237" s="389"/>
      <c r="D237" s="389"/>
      <c r="E237" s="389"/>
      <c r="F237" s="389"/>
      <c r="G237" s="390"/>
    </row>
    <row r="238" spans="3:7" ht="19.899999999999999" customHeight="1">
      <c r="C238" s="389"/>
      <c r="D238" s="389"/>
      <c r="E238" s="389"/>
      <c r="F238" s="389"/>
      <c r="G238" s="390"/>
    </row>
    <row r="239" spans="3:7" ht="19.899999999999999" customHeight="1">
      <c r="C239" s="389"/>
      <c r="D239" s="389"/>
      <c r="E239" s="389"/>
      <c r="F239" s="389"/>
      <c r="G239" s="390"/>
    </row>
    <row r="240" spans="3:7" ht="19.899999999999999" customHeight="1">
      <c r="C240" s="389"/>
      <c r="D240" s="389"/>
      <c r="E240" s="389"/>
      <c r="F240" s="389"/>
      <c r="G240" s="390"/>
    </row>
    <row r="241" spans="3:7" ht="19.899999999999999" customHeight="1">
      <c r="C241" s="389"/>
      <c r="D241" s="389"/>
      <c r="E241" s="389"/>
      <c r="F241" s="389"/>
      <c r="G241" s="390"/>
    </row>
    <row r="242" spans="3:7" ht="19.899999999999999" customHeight="1">
      <c r="C242" s="389"/>
      <c r="D242" s="389"/>
      <c r="E242" s="389"/>
      <c r="F242" s="389"/>
      <c r="G242" s="390"/>
    </row>
    <row r="243" spans="3:7" ht="19.899999999999999" customHeight="1">
      <c r="C243" s="389"/>
      <c r="D243" s="389"/>
      <c r="E243" s="389"/>
      <c r="F243" s="389"/>
      <c r="G243" s="390"/>
    </row>
    <row r="244" spans="3:7" ht="19.899999999999999" customHeight="1">
      <c r="C244" s="389"/>
      <c r="D244" s="389"/>
      <c r="E244" s="389"/>
      <c r="F244" s="389"/>
      <c r="G244" s="390"/>
    </row>
    <row r="245" spans="3:7" ht="19.899999999999999" customHeight="1">
      <c r="C245" s="389"/>
      <c r="D245" s="389"/>
      <c r="E245" s="389"/>
      <c r="F245" s="389"/>
      <c r="G245" s="390"/>
    </row>
    <row r="246" spans="3:7" ht="19.899999999999999" customHeight="1">
      <c r="C246" s="389"/>
      <c r="D246" s="389"/>
      <c r="E246" s="389"/>
      <c r="F246" s="389"/>
      <c r="G246" s="390"/>
    </row>
    <row r="247" spans="3:7" ht="19.899999999999999" customHeight="1">
      <c r="C247" s="389"/>
      <c r="D247" s="389"/>
      <c r="E247" s="389"/>
      <c r="F247" s="389"/>
      <c r="G247" s="390"/>
    </row>
    <row r="248" spans="3:7" ht="19.899999999999999" customHeight="1">
      <c r="C248" s="389"/>
      <c r="D248" s="389"/>
      <c r="E248" s="389"/>
      <c r="F248" s="389"/>
      <c r="G248" s="390"/>
    </row>
    <row r="249" spans="3:7" ht="19.899999999999999" customHeight="1">
      <c r="C249" s="389"/>
      <c r="D249" s="389"/>
      <c r="E249" s="389"/>
      <c r="F249" s="389"/>
      <c r="G249" s="390"/>
    </row>
    <row r="250" spans="3:7" ht="19.899999999999999" customHeight="1">
      <c r="C250" s="389"/>
      <c r="D250" s="389"/>
      <c r="E250" s="389"/>
      <c r="F250" s="389"/>
      <c r="G250" s="390"/>
    </row>
    <row r="251" spans="3:7" ht="19.899999999999999" customHeight="1">
      <c r="C251" s="389"/>
      <c r="D251" s="389"/>
      <c r="E251" s="389"/>
      <c r="F251" s="389"/>
      <c r="G251" s="390"/>
    </row>
    <row r="252" spans="3:7" ht="19.899999999999999" customHeight="1">
      <c r="C252" s="389"/>
      <c r="D252" s="389"/>
      <c r="E252" s="389"/>
      <c r="F252" s="389"/>
      <c r="G252" s="390"/>
    </row>
    <row r="253" spans="3:7" ht="19.899999999999999" customHeight="1">
      <c r="C253" s="389"/>
      <c r="D253" s="389"/>
      <c r="E253" s="389"/>
      <c r="F253" s="389"/>
      <c r="G253" s="390"/>
    </row>
    <row r="254" spans="3:7" ht="19.899999999999999" customHeight="1">
      <c r="C254" s="389"/>
      <c r="D254" s="389"/>
      <c r="E254" s="389"/>
      <c r="F254" s="389"/>
      <c r="G254" s="390"/>
    </row>
    <row r="255" spans="3:7" ht="19.899999999999999" customHeight="1">
      <c r="C255" s="389"/>
      <c r="D255" s="389"/>
      <c r="E255" s="389"/>
      <c r="F255" s="389"/>
      <c r="G255" s="390"/>
    </row>
    <row r="256" spans="3:7" ht="19.899999999999999" customHeight="1"/>
    <row r="257" ht="19.899999999999999" customHeight="1"/>
    <row r="258" ht="19.899999999999999" customHeight="1"/>
    <row r="259" ht="19.899999999999999" customHeight="1"/>
    <row r="260" ht="19.899999999999999" customHeight="1"/>
    <row r="261" ht="19.899999999999999" customHeight="1"/>
    <row r="262" ht="19.899999999999999" customHeight="1"/>
    <row r="263" ht="19.899999999999999" customHeight="1"/>
    <row r="264" ht="19.899999999999999" customHeight="1"/>
    <row r="265" ht="19.899999999999999" customHeight="1"/>
  </sheetData>
  <sheetProtection formatCells="0" formatColumns="0" formatRows="0" insertColumns="0" insertRows="0" insertHyperlinks="0" deleteColumns="0" deleteRows="0" sort="0" autoFilter="0" pivotTables="0"/>
  <mergeCells count="3">
    <mergeCell ref="B4:E4"/>
    <mergeCell ref="B3:D3"/>
    <mergeCell ref="B2:D2"/>
  </mergeCells>
  <phoneticPr fontId="5" type="noConversion"/>
  <conditionalFormatting sqref="C29:F29">
    <cfRule type="cellIs" priority="1" stopIfTrue="1" operator="notEqual">
      <formula>-#REF!</formula>
    </cfRule>
  </conditionalFormatting>
  <dataValidations count="3">
    <dataValidation allowBlank="1" showInputMessage="1" showErrorMessage="1" error="LOS DATOS DEBEN COINCIDIR CON LA CIFRA DE AMORTIZACIONES FICHA EP-4 INV" sqref="C42:F45"/>
    <dataValidation allowBlank="1" showInputMessage="1" showErrorMessage="1" promptTitle="FICHA EP-9" prompt="ESTE DATO DEBE COINCIDIR CON LA FICHA EP-9" sqref="C29:F29"/>
    <dataValidation allowBlank="1" showInputMessage="1" showErrorMessage="1" promptTitle="DIVIDENDOS" prompt="COMPROBAR QUE LOS INGRESOS POR REPARTO POR DIVIDENDOS COINCIDEN CON LA HOJA EP-4 INV ACT NO FIN" sqref="C18:G21"/>
  </dataValidations>
  <printOptions horizontalCentered="1" verticalCentered="1"/>
  <pageMargins left="0.78740157480314965" right="0.74803149606299213" top="0" bottom="0" header="0" footer="0"/>
  <pageSetup paperSize="9" scale="41" orientation="portrait" r:id="rId1"/>
  <headerFooter alignWithMargins="0"/>
  <drawing r:id="rId2"/>
  <legacyDrawing r:id="rId3"/>
  <controls>
    <control shapeId="8216" r:id="rId4" name="Control 24"/>
    <control shapeId="8217" r:id="rId5" name="Control 25"/>
    <control shapeId="8218" r:id="rId6" name="Control 26"/>
    <control shapeId="8219" r:id="rId7" name="Control 27"/>
  </controls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10" enableFormatConditionsCalculation="0">
    <tabColor theme="0"/>
  </sheetPr>
  <dimension ref="A2:M547"/>
  <sheetViews>
    <sheetView showGridLines="0" zoomScaleNormal="75" workbookViewId="0">
      <selection activeCell="A46" sqref="A46:XFD46"/>
    </sheetView>
  </sheetViews>
  <sheetFormatPr baseColWidth="10" defaultColWidth="10.7109375" defaultRowHeight="12.75"/>
  <cols>
    <col min="1" max="1" width="6.42578125" style="435" customWidth="1"/>
    <col min="2" max="2" width="53.140625" style="435" bestFit="1" customWidth="1"/>
    <col min="3" max="3" width="17.42578125" style="435" customWidth="1"/>
    <col min="4" max="4" width="19.85546875" style="435" customWidth="1"/>
    <col min="5" max="5" width="17.85546875" style="436" customWidth="1"/>
    <col min="6" max="6" width="1.7109375" style="437" customWidth="1"/>
    <col min="7" max="13" width="0" style="435" hidden="1" customWidth="1"/>
    <col min="14" max="16384" width="10.7109375" style="435"/>
  </cols>
  <sheetData>
    <row r="2" spans="2:6" s="407" customFormat="1" ht="49.9" customHeight="1">
      <c r="B2" s="993" t="s">
        <v>131</v>
      </c>
      <c r="C2" s="993"/>
      <c r="D2" s="993"/>
      <c r="E2" s="343">
        <f>CPYG!E2</f>
        <v>2017</v>
      </c>
      <c r="F2" s="344"/>
    </row>
    <row r="3" spans="2:6" s="407" customFormat="1" ht="37.5" customHeight="1">
      <c r="B3" s="994" t="str">
        <f>CPYG!B3</f>
        <v>ENTIDAD: INSTITUTO VOLCANOLOGICO DE CANARIAS</v>
      </c>
      <c r="C3" s="995"/>
      <c r="D3" s="996"/>
      <c r="E3" s="348" t="s">
        <v>132</v>
      </c>
      <c r="F3" s="349"/>
    </row>
    <row r="4" spans="2:6" s="407" customFormat="1" ht="25.15" customHeight="1">
      <c r="B4" s="997" t="s">
        <v>216</v>
      </c>
      <c r="C4" s="997"/>
      <c r="D4" s="997"/>
      <c r="E4" s="997"/>
      <c r="F4" s="408"/>
    </row>
    <row r="5" spans="2:6" s="407" customFormat="1" ht="40.9" customHeight="1">
      <c r="B5" s="409" t="s">
        <v>132</v>
      </c>
      <c r="C5" s="410" t="s">
        <v>426</v>
      </c>
      <c r="D5" s="411" t="s">
        <v>430</v>
      </c>
      <c r="E5" s="411" t="s">
        <v>431</v>
      </c>
      <c r="F5" s="412"/>
    </row>
    <row r="6" spans="2:6" s="407" customFormat="1" ht="19.899999999999999" customHeight="1">
      <c r="B6" s="413" t="s">
        <v>245</v>
      </c>
      <c r="C6" s="486">
        <f>C7+C12+C16+C19+C20+C21+C22</f>
        <v>63058.770000000004</v>
      </c>
      <c r="D6" s="486">
        <f>D7+D12+D16+D19+D20+D21+D22</f>
        <v>221772.02000000002</v>
      </c>
      <c r="E6" s="486">
        <f>E7+E12+E16+E19+E20+E21+E22</f>
        <v>461819.81</v>
      </c>
      <c r="F6" s="414"/>
    </row>
    <row r="7" spans="2:6" s="407" customFormat="1" ht="19.899999999999999" customHeight="1">
      <c r="B7" s="413" t="s">
        <v>162</v>
      </c>
      <c r="C7" s="486">
        <f>SUM(C8:C11)</f>
        <v>0</v>
      </c>
      <c r="D7" s="486">
        <f>SUM(D8:D11)</f>
        <v>0</v>
      </c>
      <c r="E7" s="486">
        <f>SUM(E8:E11)</f>
        <v>0</v>
      </c>
      <c r="F7" s="415"/>
    </row>
    <row r="8" spans="2:6" s="407" customFormat="1" ht="19.899999999999999" customHeight="1">
      <c r="B8" s="416" t="s">
        <v>248</v>
      </c>
      <c r="C8" s="529"/>
      <c r="D8" s="529"/>
      <c r="E8" s="529"/>
      <c r="F8" s="415"/>
    </row>
    <row r="9" spans="2:6" s="407" customFormat="1" ht="19.899999999999999" customHeight="1">
      <c r="B9" s="416" t="s">
        <v>247</v>
      </c>
      <c r="C9" s="529"/>
      <c r="D9" s="529"/>
      <c r="E9" s="529"/>
      <c r="F9" s="415"/>
    </row>
    <row r="10" spans="2:6" s="407" customFormat="1" ht="19.899999999999999" customHeight="1">
      <c r="B10" s="416" t="s">
        <v>246</v>
      </c>
      <c r="C10" s="529"/>
      <c r="D10" s="529"/>
      <c r="E10" s="529"/>
      <c r="F10" s="415"/>
    </row>
    <row r="11" spans="2:6" s="407" customFormat="1" ht="19.899999999999999" customHeight="1">
      <c r="B11" s="416" t="s">
        <v>507</v>
      </c>
      <c r="C11" s="529"/>
      <c r="D11" s="529"/>
      <c r="E11" s="529"/>
      <c r="F11" s="415"/>
    </row>
    <row r="12" spans="2:6" s="407" customFormat="1" ht="19.899999999999999" customHeight="1">
      <c r="B12" s="413" t="s">
        <v>163</v>
      </c>
      <c r="C12" s="486">
        <f>SUM(C13:C15)</f>
        <v>62695.76</v>
      </c>
      <c r="D12" s="486">
        <f>SUM(D13:D15)</f>
        <v>221409.01</v>
      </c>
      <c r="E12" s="486">
        <f>SUM(E13:E15)</f>
        <v>461456.8</v>
      </c>
      <c r="F12" s="415"/>
    </row>
    <row r="13" spans="2:6" s="407" customFormat="1" ht="19.899999999999999" customHeight="1">
      <c r="B13" s="416" t="s">
        <v>308</v>
      </c>
      <c r="C13" s="529"/>
      <c r="D13" s="529"/>
      <c r="E13" s="529"/>
      <c r="F13" s="415"/>
    </row>
    <row r="14" spans="2:6" s="407" customFormat="1" ht="19.899999999999999" customHeight="1">
      <c r="B14" s="416" t="s">
        <v>307</v>
      </c>
      <c r="C14" s="529"/>
      <c r="D14" s="529"/>
      <c r="E14" s="529"/>
      <c r="F14" s="415"/>
    </row>
    <row r="15" spans="2:6" s="407" customFormat="1" ht="19.899999999999999" customHeight="1">
      <c r="B15" s="416" t="s">
        <v>306</v>
      </c>
      <c r="C15" s="529">
        <v>62695.76</v>
      </c>
      <c r="D15" s="529">
        <v>221409.01</v>
      </c>
      <c r="E15" s="529">
        <v>461456.8</v>
      </c>
      <c r="F15" s="415"/>
    </row>
    <row r="16" spans="2:6" s="407" customFormat="1" ht="19.899999999999999" customHeight="1">
      <c r="B16" s="413" t="s">
        <v>164</v>
      </c>
      <c r="C16" s="486">
        <f>SUM(C17:C18)</f>
        <v>0</v>
      </c>
      <c r="D16" s="486">
        <f>SUM(D17:D18)</f>
        <v>0</v>
      </c>
      <c r="E16" s="486">
        <f>SUM(E17:E18)</f>
        <v>0</v>
      </c>
      <c r="F16" s="415"/>
    </row>
    <row r="17" spans="1:13" s="407" customFormat="1" ht="19.899999999999999" customHeight="1">
      <c r="B17" s="416" t="s">
        <v>165</v>
      </c>
      <c r="C17" s="529"/>
      <c r="D17" s="529"/>
      <c r="E17" s="529"/>
      <c r="F17" s="415"/>
    </row>
    <row r="18" spans="1:13" s="407" customFormat="1" ht="19.899999999999999" customHeight="1">
      <c r="B18" s="416" t="s">
        <v>72</v>
      </c>
      <c r="C18" s="529"/>
      <c r="D18" s="529"/>
      <c r="E18" s="529"/>
      <c r="F18" s="415"/>
    </row>
    <row r="19" spans="1:13" s="407" customFormat="1" ht="19.899999999999999" customHeight="1">
      <c r="B19" s="413" t="s">
        <v>166</v>
      </c>
      <c r="C19" s="528"/>
      <c r="D19" s="528"/>
      <c r="E19" s="528"/>
      <c r="F19" s="415"/>
    </row>
    <row r="20" spans="1:13" s="407" customFormat="1" ht="19.899999999999999" customHeight="1">
      <c r="A20" s="418"/>
      <c r="B20" s="413" t="s">
        <v>167</v>
      </c>
      <c r="C20" s="528"/>
      <c r="D20" s="528"/>
      <c r="E20" s="528"/>
      <c r="F20" s="415"/>
    </row>
    <row r="21" spans="1:13" s="407" customFormat="1" ht="19.899999999999999" customHeight="1">
      <c r="B21" s="413" t="s">
        <v>73</v>
      </c>
      <c r="C21" s="528">
        <v>363.01</v>
      </c>
      <c r="D21" s="528">
        <v>363.01</v>
      </c>
      <c r="E21" s="528">
        <v>363.01</v>
      </c>
      <c r="G21" s="671" t="s">
        <v>243</v>
      </c>
      <c r="H21" s="672"/>
      <c r="I21" s="672"/>
      <c r="J21" s="672"/>
      <c r="K21" s="672"/>
      <c r="L21" s="672"/>
      <c r="M21" s="672"/>
    </row>
    <row r="22" spans="1:13" s="407" customFormat="1" ht="19.899999999999999" customHeight="1">
      <c r="B22" s="413" t="s">
        <v>309</v>
      </c>
      <c r="C22" s="528"/>
      <c r="D22" s="528"/>
      <c r="E22" s="528"/>
      <c r="G22" s="671" t="s">
        <v>244</v>
      </c>
      <c r="H22" s="672"/>
      <c r="I22" s="672"/>
      <c r="J22" s="672"/>
      <c r="K22" s="672"/>
      <c r="L22" s="672"/>
      <c r="M22" s="672"/>
    </row>
    <row r="23" spans="1:13" s="407" customFormat="1" ht="19.899999999999999" customHeight="1">
      <c r="B23" s="413" t="s">
        <v>249</v>
      </c>
      <c r="C23" s="486">
        <f>C24+C30+C33+C37+C38+C39+C40</f>
        <v>438839</v>
      </c>
      <c r="D23" s="486">
        <f>D24+D30+D33+D37+D38+D39+D40</f>
        <v>256871.54</v>
      </c>
      <c r="E23" s="486">
        <f>E24+E30+E33+E37+E38+E39+E40</f>
        <v>210282.69</v>
      </c>
      <c r="F23" s="414"/>
    </row>
    <row r="24" spans="1:13" s="407" customFormat="1" ht="23.25" customHeight="1">
      <c r="B24" s="413" t="s">
        <v>168</v>
      </c>
      <c r="C24" s="486">
        <f>C25+C28+C29</f>
        <v>0</v>
      </c>
      <c r="D24" s="486">
        <f>D25+D28+D29</f>
        <v>0</v>
      </c>
      <c r="E24" s="486">
        <f>E25+E28+E29</f>
        <v>0</v>
      </c>
      <c r="F24" s="415"/>
    </row>
    <row r="25" spans="1:13" s="407" customFormat="1" ht="23.25" customHeight="1">
      <c r="B25" s="416" t="s">
        <v>312</v>
      </c>
      <c r="C25" s="530">
        <f>SUM(C26:C27)</f>
        <v>0</v>
      </c>
      <c r="D25" s="530">
        <f>SUM(D26:D27)</f>
        <v>0</v>
      </c>
      <c r="E25" s="530">
        <f>SUM(E26:E27)</f>
        <v>0</v>
      </c>
      <c r="F25" s="415"/>
    </row>
    <row r="26" spans="1:13" s="407" customFormat="1" ht="23.25" customHeight="1">
      <c r="B26" s="416" t="s">
        <v>313</v>
      </c>
      <c r="C26" s="529"/>
      <c r="D26" s="529"/>
      <c r="E26" s="529"/>
      <c r="F26" s="415"/>
    </row>
    <row r="27" spans="1:13" s="407" customFormat="1" ht="23.25" customHeight="1">
      <c r="B27" s="416" t="s">
        <v>314</v>
      </c>
      <c r="C27" s="529"/>
      <c r="D27" s="529"/>
      <c r="E27" s="529"/>
      <c r="F27" s="415"/>
    </row>
    <row r="28" spans="1:13" s="407" customFormat="1" ht="23.25" customHeight="1">
      <c r="B28" s="416" t="s">
        <v>316</v>
      </c>
      <c r="C28" s="529"/>
      <c r="D28" s="529"/>
      <c r="E28" s="529"/>
      <c r="F28" s="415"/>
    </row>
    <row r="29" spans="1:13" s="407" customFormat="1" ht="23.25" customHeight="1">
      <c r="B29" s="416" t="s">
        <v>315</v>
      </c>
      <c r="C29" s="529"/>
      <c r="D29" s="529"/>
      <c r="E29" s="529"/>
      <c r="F29" s="415"/>
    </row>
    <row r="30" spans="1:13" s="407" customFormat="1" ht="19.899999999999999" customHeight="1">
      <c r="B30" s="413" t="s">
        <v>136</v>
      </c>
      <c r="C30" s="486">
        <f>SUM(C31:C32)</f>
        <v>0</v>
      </c>
      <c r="D30" s="486">
        <f>SUM(D31:D32)</f>
        <v>0</v>
      </c>
      <c r="E30" s="486">
        <f>SUM(E31:E32)</f>
        <v>0</v>
      </c>
      <c r="F30" s="415"/>
    </row>
    <row r="31" spans="1:13" s="407" customFormat="1" ht="19.899999999999999" customHeight="1">
      <c r="B31" s="416" t="s">
        <v>310</v>
      </c>
      <c r="C31" s="529"/>
      <c r="D31" s="529"/>
      <c r="E31" s="529"/>
      <c r="F31" s="415"/>
    </row>
    <row r="32" spans="1:13" s="407" customFormat="1" ht="19.899999999999999" customHeight="1">
      <c r="B32" s="416" t="s">
        <v>311</v>
      </c>
      <c r="C32" s="529"/>
      <c r="D32" s="529"/>
      <c r="E32" s="529"/>
      <c r="F32" s="415"/>
    </row>
    <row r="33" spans="2:6" s="407" customFormat="1" ht="19.899999999999999" customHeight="1">
      <c r="B33" s="413" t="s">
        <v>169</v>
      </c>
      <c r="C33" s="486">
        <f>SUM(C34:C36)</f>
        <v>393267.79000000004</v>
      </c>
      <c r="D33" s="486">
        <f>SUM(D34:D36)</f>
        <v>154311.02000000002</v>
      </c>
      <c r="E33" s="486">
        <f>SUM(E34:E36)</f>
        <v>118340.3</v>
      </c>
      <c r="F33" s="415"/>
    </row>
    <row r="34" spans="2:6" s="407" customFormat="1" ht="19.899999999999999" customHeight="1">
      <c r="B34" s="416" t="s">
        <v>74</v>
      </c>
      <c r="C34" s="529">
        <v>109504.2</v>
      </c>
      <c r="D34" s="529">
        <v>100956.41</v>
      </c>
      <c r="E34" s="529">
        <v>100956.41</v>
      </c>
      <c r="F34" s="415"/>
    </row>
    <row r="35" spans="2:6" s="407" customFormat="1" ht="19.899999999999999" customHeight="1">
      <c r="B35" s="416" t="s">
        <v>250</v>
      </c>
      <c r="C35" s="529"/>
      <c r="D35" s="529"/>
      <c r="E35" s="529"/>
      <c r="F35" s="415"/>
    </row>
    <row r="36" spans="2:6" s="407" customFormat="1" ht="19.899999999999999" customHeight="1">
      <c r="B36" s="416" t="s">
        <v>251</v>
      </c>
      <c r="C36" s="529">
        <v>283763.59000000003</v>
      </c>
      <c r="D36" s="529">
        <f>37000+16354.61</f>
        <v>53354.61</v>
      </c>
      <c r="E36" s="529">
        <v>17383.89</v>
      </c>
      <c r="F36" s="415"/>
    </row>
    <row r="37" spans="2:6" s="407" customFormat="1" ht="19.899999999999999" customHeight="1">
      <c r="B37" s="413" t="s">
        <v>170</v>
      </c>
      <c r="C37" s="528">
        <v>9880.49</v>
      </c>
      <c r="D37" s="528">
        <v>9880.49</v>
      </c>
      <c r="E37" s="528">
        <v>9880.49</v>
      </c>
      <c r="F37" s="415"/>
    </row>
    <row r="38" spans="2:6" s="407" customFormat="1" ht="19.899999999999999" customHeight="1">
      <c r="B38" s="413" t="s">
        <v>171</v>
      </c>
      <c r="C38" s="528"/>
      <c r="D38" s="528"/>
      <c r="E38" s="528"/>
      <c r="F38" s="415"/>
    </row>
    <row r="39" spans="2:6" s="407" customFormat="1" ht="19.899999999999999" customHeight="1">
      <c r="B39" s="413" t="s">
        <v>75</v>
      </c>
      <c r="C39" s="528"/>
      <c r="D39" s="528"/>
      <c r="E39" s="528"/>
      <c r="F39" s="415"/>
    </row>
    <row r="40" spans="2:6" s="407" customFormat="1" ht="19.899999999999999" customHeight="1">
      <c r="B40" s="413" t="s">
        <v>76</v>
      </c>
      <c r="C40" s="486">
        <f>SUM(C41:C42)</f>
        <v>35690.720000000001</v>
      </c>
      <c r="D40" s="486">
        <f>SUM(D41:D42)</f>
        <v>92680.03</v>
      </c>
      <c r="E40" s="486">
        <f>SUM(E41:E42)</f>
        <v>82061.899999999994</v>
      </c>
      <c r="F40" s="415"/>
    </row>
    <row r="41" spans="2:6" s="407" customFormat="1" ht="19.899999999999999" customHeight="1">
      <c r="B41" s="416" t="s">
        <v>77</v>
      </c>
      <c r="C41" s="529">
        <v>35690.720000000001</v>
      </c>
      <c r="D41" s="529">
        <f>92680.04-0.01</f>
        <v>92680.03</v>
      </c>
      <c r="E41" s="529">
        <f>82061.92-0.02</f>
        <v>82061.899999999994</v>
      </c>
      <c r="F41" s="415"/>
    </row>
    <row r="42" spans="2:6" s="407" customFormat="1" ht="19.899999999999999" customHeight="1">
      <c r="B42" s="416" t="s">
        <v>95</v>
      </c>
      <c r="C42" s="529"/>
      <c r="D42" s="529"/>
      <c r="E42" s="529"/>
      <c r="F42" s="415"/>
    </row>
    <row r="43" spans="2:6" s="407" customFormat="1" ht="22.15" customHeight="1">
      <c r="B43" s="419" t="s">
        <v>128</v>
      </c>
      <c r="C43" s="486">
        <f>C23+C6</f>
        <v>501897.77</v>
      </c>
      <c r="D43" s="486">
        <f>D23+D6</f>
        <v>478643.56000000006</v>
      </c>
      <c r="E43" s="486">
        <f>E23+E6</f>
        <v>672102.5</v>
      </c>
      <c r="F43" s="414"/>
    </row>
    <row r="44" spans="2:6" s="407" customFormat="1" ht="40.9" customHeight="1">
      <c r="B44" s="420"/>
      <c r="C44" s="421"/>
      <c r="D44" s="421"/>
      <c r="E44" s="421"/>
      <c r="F44" s="414"/>
    </row>
    <row r="45" spans="2:6" s="407" customFormat="1" hidden="1">
      <c r="B45" s="422" t="s">
        <v>96</v>
      </c>
      <c r="D45" s="417"/>
      <c r="E45" s="423"/>
      <c r="F45" s="424"/>
    </row>
    <row r="46" spans="2:6" s="407" customFormat="1" hidden="1">
      <c r="B46" s="416" t="s">
        <v>667</v>
      </c>
      <c r="C46" s="425">
        <f>C43-PASIVO!C60</f>
        <v>0</v>
      </c>
      <c r="D46" s="425">
        <f>D43-PASIVO!D60</f>
        <v>-1.7222221358679235E-3</v>
      </c>
      <c r="E46" s="425">
        <f>E43-PASIVO!E60</f>
        <v>-1.7222221940755844E-3</v>
      </c>
      <c r="F46" s="426"/>
    </row>
    <row r="47" spans="2:6" s="407" customFormat="1" hidden="1">
      <c r="B47" s="418"/>
      <c r="C47" s="426"/>
      <c r="D47" s="426"/>
      <c r="E47" s="426"/>
      <c r="F47" s="426"/>
    </row>
    <row r="48" spans="2:6" s="407" customFormat="1" hidden="1">
      <c r="B48" s="418"/>
      <c r="C48" s="427"/>
      <c r="D48" s="427"/>
      <c r="E48" s="426"/>
      <c r="F48" s="426"/>
    </row>
    <row r="49" spans="2:6" s="407" customFormat="1" hidden="1">
      <c r="B49" s="418" t="s">
        <v>90</v>
      </c>
      <c r="C49" s="428">
        <f>+C43-PASIVO!C60</f>
        <v>0</v>
      </c>
      <c r="D49" s="428">
        <f>+D43-PASIVO!D60</f>
        <v>-1.7222221358679235E-3</v>
      </c>
      <c r="E49" s="428">
        <f>+E43-PASIVO!E60</f>
        <v>-1.7222221940755844E-3</v>
      </c>
      <c r="F49" s="426"/>
    </row>
    <row r="50" spans="2:6" s="407" customFormat="1" hidden="1">
      <c r="B50" s="418"/>
      <c r="C50" s="427"/>
      <c r="D50" s="427"/>
      <c r="E50" s="426"/>
      <c r="F50" s="426"/>
    </row>
    <row r="51" spans="2:6" s="407" customFormat="1" hidden="1">
      <c r="B51" s="429" t="s">
        <v>89</v>
      </c>
      <c r="C51" s="425">
        <f>+C23-PASIVO!C43</f>
        <v>72469.060000000056</v>
      </c>
      <c r="D51" s="425">
        <f>+D23-PASIVO!D43</f>
        <v>65307.340000000026</v>
      </c>
      <c r="E51" s="425">
        <f>+E23-PASIVO!E43</f>
        <v>71793.5</v>
      </c>
      <c r="F51" s="426"/>
    </row>
    <row r="52" spans="2:6" s="407" customFormat="1" hidden="1">
      <c r="B52" s="430" t="s">
        <v>555</v>
      </c>
      <c r="C52" s="416"/>
      <c r="D52" s="425">
        <f>+D51-C51</f>
        <v>-7161.7200000000303</v>
      </c>
      <c r="E52" s="431">
        <f>+E51-D51</f>
        <v>6486.1599999999744</v>
      </c>
      <c r="F52" s="426"/>
    </row>
    <row r="53" spans="2:6" s="407" customFormat="1" hidden="1">
      <c r="C53" s="432"/>
      <c r="D53" s="432"/>
      <c r="E53" s="433"/>
      <c r="F53" s="433"/>
    </row>
    <row r="54" spans="2:6" s="407" customFormat="1" hidden="1">
      <c r="C54" s="427"/>
      <c r="D54" s="427"/>
      <c r="E54" s="434"/>
      <c r="F54" s="434"/>
    </row>
    <row r="55" spans="2:6" s="407" customFormat="1" hidden="1">
      <c r="C55" s="427"/>
      <c r="D55" s="427"/>
      <c r="E55" s="426"/>
      <c r="F55" s="426"/>
    </row>
    <row r="56" spans="2:6" s="407" customFormat="1">
      <c r="C56" s="426"/>
      <c r="D56" s="426"/>
      <c r="E56" s="426"/>
      <c r="F56" s="426"/>
    </row>
    <row r="57" spans="2:6" s="407" customFormat="1">
      <c r="C57" s="426"/>
      <c r="D57" s="426"/>
      <c r="E57" s="426"/>
      <c r="F57" s="426">
        <f>+F43-F56</f>
        <v>0</v>
      </c>
    </row>
    <row r="58" spans="2:6" s="407" customFormat="1">
      <c r="C58" s="427"/>
      <c r="D58" s="427"/>
      <c r="E58" s="426"/>
      <c r="F58" s="426"/>
    </row>
    <row r="59" spans="2:6" s="407" customFormat="1">
      <c r="C59" s="427"/>
      <c r="D59" s="427"/>
      <c r="E59" s="426"/>
      <c r="F59" s="426"/>
    </row>
    <row r="60" spans="2:6" s="407" customFormat="1">
      <c r="C60" s="427"/>
      <c r="D60" s="427"/>
      <c r="E60" s="426"/>
      <c r="F60" s="426"/>
    </row>
    <row r="61" spans="2:6" s="407" customFormat="1">
      <c r="C61" s="432"/>
      <c r="D61" s="432"/>
      <c r="E61" s="433"/>
      <c r="F61" s="433"/>
    </row>
    <row r="62" spans="2:6" s="407" customFormat="1">
      <c r="C62" s="427"/>
      <c r="D62" s="427"/>
      <c r="E62" s="434"/>
      <c r="F62" s="434"/>
    </row>
    <row r="63" spans="2:6" s="407" customFormat="1">
      <c r="C63" s="427"/>
      <c r="D63" s="427"/>
      <c r="E63" s="434"/>
      <c r="F63" s="434"/>
    </row>
    <row r="64" spans="2:6" s="407" customFormat="1">
      <c r="C64" s="427"/>
      <c r="D64" s="427"/>
      <c r="E64" s="434"/>
      <c r="F64" s="434"/>
    </row>
    <row r="65" spans="5:6" s="407" customFormat="1">
      <c r="E65" s="423"/>
      <c r="F65" s="424"/>
    </row>
    <row r="66" spans="5:6" s="407" customFormat="1">
      <c r="E66" s="423"/>
      <c r="F66" s="424"/>
    </row>
    <row r="67" spans="5:6" s="407" customFormat="1">
      <c r="E67" s="423"/>
      <c r="F67" s="424"/>
    </row>
    <row r="68" spans="5:6" s="407" customFormat="1">
      <c r="E68" s="423"/>
      <c r="F68" s="424"/>
    </row>
    <row r="69" spans="5:6" s="407" customFormat="1">
      <c r="E69" s="423"/>
      <c r="F69" s="424"/>
    </row>
    <row r="70" spans="5:6" s="407" customFormat="1">
      <c r="E70" s="423"/>
      <c r="F70" s="424"/>
    </row>
    <row r="71" spans="5:6" s="407" customFormat="1">
      <c r="E71" s="423"/>
      <c r="F71" s="424"/>
    </row>
    <row r="72" spans="5:6" s="407" customFormat="1">
      <c r="E72" s="423"/>
      <c r="F72" s="424"/>
    </row>
    <row r="73" spans="5:6" s="407" customFormat="1">
      <c r="E73" s="423"/>
      <c r="F73" s="424"/>
    </row>
    <row r="74" spans="5:6" s="407" customFormat="1">
      <c r="E74" s="423"/>
      <c r="F74" s="424"/>
    </row>
    <row r="75" spans="5:6" s="407" customFormat="1">
      <c r="E75" s="423"/>
      <c r="F75" s="424"/>
    </row>
    <row r="76" spans="5:6" s="407" customFormat="1">
      <c r="E76" s="423"/>
      <c r="F76" s="424"/>
    </row>
    <row r="77" spans="5:6" s="407" customFormat="1">
      <c r="E77" s="423"/>
      <c r="F77" s="424"/>
    </row>
    <row r="78" spans="5:6" s="407" customFormat="1">
      <c r="E78" s="423"/>
      <c r="F78" s="424"/>
    </row>
    <row r="79" spans="5:6" s="407" customFormat="1">
      <c r="E79" s="423"/>
      <c r="F79" s="424"/>
    </row>
    <row r="80" spans="5:6" s="407" customFormat="1">
      <c r="E80" s="423"/>
      <c r="F80" s="424"/>
    </row>
    <row r="81" spans="5:6" s="407" customFormat="1">
      <c r="E81" s="423"/>
      <c r="F81" s="424"/>
    </row>
    <row r="82" spans="5:6" s="407" customFormat="1">
      <c r="E82" s="423"/>
      <c r="F82" s="424"/>
    </row>
    <row r="83" spans="5:6" s="407" customFormat="1">
      <c r="E83" s="423"/>
      <c r="F83" s="424"/>
    </row>
    <row r="84" spans="5:6" s="407" customFormat="1">
      <c r="E84" s="423"/>
      <c r="F84" s="424"/>
    </row>
    <row r="85" spans="5:6" s="407" customFormat="1">
      <c r="E85" s="423"/>
      <c r="F85" s="424"/>
    </row>
    <row r="86" spans="5:6" s="407" customFormat="1">
      <c r="E86" s="423"/>
      <c r="F86" s="424"/>
    </row>
    <row r="87" spans="5:6" s="407" customFormat="1">
      <c r="E87" s="423"/>
      <c r="F87" s="424"/>
    </row>
    <row r="88" spans="5:6" s="407" customFormat="1">
      <c r="E88" s="423"/>
      <c r="F88" s="424"/>
    </row>
    <row r="89" spans="5:6" s="407" customFormat="1">
      <c r="E89" s="423"/>
      <c r="F89" s="424"/>
    </row>
    <row r="90" spans="5:6" s="407" customFormat="1">
      <c r="E90" s="423"/>
      <c r="F90" s="424"/>
    </row>
    <row r="91" spans="5:6" s="407" customFormat="1">
      <c r="E91" s="423"/>
      <c r="F91" s="424"/>
    </row>
    <row r="92" spans="5:6" s="407" customFormat="1">
      <c r="E92" s="423"/>
      <c r="F92" s="424"/>
    </row>
    <row r="93" spans="5:6" s="407" customFormat="1">
      <c r="E93" s="423"/>
      <c r="F93" s="424"/>
    </row>
    <row r="94" spans="5:6" s="407" customFormat="1">
      <c r="E94" s="423"/>
      <c r="F94" s="424"/>
    </row>
    <row r="95" spans="5:6" s="407" customFormat="1">
      <c r="E95" s="423"/>
      <c r="F95" s="424"/>
    </row>
    <row r="96" spans="5:6" s="407" customFormat="1">
      <c r="E96" s="423"/>
      <c r="F96" s="424"/>
    </row>
    <row r="97" spans="5:6" s="407" customFormat="1">
      <c r="E97" s="423"/>
      <c r="F97" s="424"/>
    </row>
    <row r="98" spans="5:6" s="407" customFormat="1">
      <c r="E98" s="423"/>
      <c r="F98" s="424"/>
    </row>
    <row r="99" spans="5:6" s="407" customFormat="1">
      <c r="E99" s="423"/>
      <c r="F99" s="424"/>
    </row>
    <row r="100" spans="5:6" s="407" customFormat="1">
      <c r="E100" s="423"/>
      <c r="F100" s="424"/>
    </row>
    <row r="101" spans="5:6" s="407" customFormat="1">
      <c r="E101" s="423"/>
      <c r="F101" s="424"/>
    </row>
    <row r="102" spans="5:6" s="407" customFormat="1">
      <c r="E102" s="423"/>
      <c r="F102" s="424"/>
    </row>
    <row r="103" spans="5:6" s="407" customFormat="1">
      <c r="E103" s="423"/>
      <c r="F103" s="424"/>
    </row>
    <row r="104" spans="5:6" s="407" customFormat="1">
      <c r="E104" s="423"/>
      <c r="F104" s="424"/>
    </row>
    <row r="105" spans="5:6" s="407" customFormat="1">
      <c r="E105" s="423"/>
      <c r="F105" s="424"/>
    </row>
    <row r="106" spans="5:6" s="407" customFormat="1">
      <c r="E106" s="423"/>
      <c r="F106" s="424"/>
    </row>
    <row r="107" spans="5:6" s="407" customFormat="1">
      <c r="E107" s="423"/>
      <c r="F107" s="424"/>
    </row>
    <row r="108" spans="5:6" s="407" customFormat="1">
      <c r="E108" s="423"/>
      <c r="F108" s="424"/>
    </row>
    <row r="109" spans="5:6" s="407" customFormat="1">
      <c r="E109" s="423"/>
      <c r="F109" s="424"/>
    </row>
    <row r="110" spans="5:6" s="407" customFormat="1">
      <c r="E110" s="423"/>
      <c r="F110" s="424"/>
    </row>
    <row r="111" spans="5:6" s="407" customFormat="1">
      <c r="E111" s="423"/>
      <c r="F111" s="424"/>
    </row>
    <row r="112" spans="5:6" s="407" customFormat="1">
      <c r="E112" s="423"/>
      <c r="F112" s="424"/>
    </row>
    <row r="113" spans="5:6" s="407" customFormat="1">
      <c r="E113" s="423"/>
      <c r="F113" s="424"/>
    </row>
    <row r="114" spans="5:6" s="407" customFormat="1">
      <c r="E114" s="423"/>
      <c r="F114" s="424"/>
    </row>
    <row r="115" spans="5:6" s="407" customFormat="1">
      <c r="E115" s="423"/>
      <c r="F115" s="424"/>
    </row>
    <row r="116" spans="5:6" s="407" customFormat="1">
      <c r="E116" s="423"/>
      <c r="F116" s="424"/>
    </row>
    <row r="117" spans="5:6" s="407" customFormat="1">
      <c r="E117" s="423"/>
      <c r="F117" s="424"/>
    </row>
    <row r="118" spans="5:6" s="407" customFormat="1">
      <c r="E118" s="423"/>
      <c r="F118" s="424"/>
    </row>
    <row r="119" spans="5:6" s="407" customFormat="1">
      <c r="E119" s="423"/>
      <c r="F119" s="424"/>
    </row>
    <row r="120" spans="5:6" s="407" customFormat="1">
      <c r="E120" s="423"/>
      <c r="F120" s="424"/>
    </row>
    <row r="121" spans="5:6" s="407" customFormat="1">
      <c r="E121" s="423"/>
      <c r="F121" s="424"/>
    </row>
    <row r="122" spans="5:6" s="407" customFormat="1">
      <c r="E122" s="423"/>
      <c r="F122" s="424"/>
    </row>
    <row r="123" spans="5:6" s="407" customFormat="1">
      <c r="E123" s="423"/>
      <c r="F123" s="424"/>
    </row>
    <row r="124" spans="5:6" s="407" customFormat="1">
      <c r="E124" s="423"/>
      <c r="F124" s="424"/>
    </row>
    <row r="125" spans="5:6" s="407" customFormat="1">
      <c r="E125" s="423"/>
      <c r="F125" s="424"/>
    </row>
    <row r="126" spans="5:6" s="407" customFormat="1">
      <c r="E126" s="423"/>
      <c r="F126" s="424"/>
    </row>
    <row r="127" spans="5:6" s="407" customFormat="1">
      <c r="E127" s="423"/>
      <c r="F127" s="424"/>
    </row>
    <row r="128" spans="5:6" s="407" customFormat="1">
      <c r="E128" s="423"/>
      <c r="F128" s="424"/>
    </row>
    <row r="129" spans="5:6" s="407" customFormat="1">
      <c r="E129" s="423"/>
      <c r="F129" s="424"/>
    </row>
    <row r="130" spans="5:6" s="407" customFormat="1">
      <c r="E130" s="423"/>
      <c r="F130" s="424"/>
    </row>
    <row r="131" spans="5:6" s="407" customFormat="1">
      <c r="E131" s="423"/>
      <c r="F131" s="424"/>
    </row>
    <row r="132" spans="5:6" s="407" customFormat="1">
      <c r="E132" s="423"/>
      <c r="F132" s="424"/>
    </row>
    <row r="133" spans="5:6" s="407" customFormat="1">
      <c r="E133" s="423"/>
      <c r="F133" s="424"/>
    </row>
    <row r="134" spans="5:6" s="407" customFormat="1">
      <c r="E134" s="423"/>
      <c r="F134" s="424"/>
    </row>
    <row r="135" spans="5:6" s="407" customFormat="1">
      <c r="E135" s="423"/>
      <c r="F135" s="424"/>
    </row>
    <row r="136" spans="5:6" s="407" customFormat="1">
      <c r="E136" s="423"/>
      <c r="F136" s="424"/>
    </row>
    <row r="137" spans="5:6" s="407" customFormat="1">
      <c r="E137" s="423"/>
      <c r="F137" s="424"/>
    </row>
    <row r="138" spans="5:6" s="407" customFormat="1">
      <c r="E138" s="423"/>
      <c r="F138" s="424"/>
    </row>
    <row r="139" spans="5:6" s="407" customFormat="1">
      <c r="E139" s="423"/>
      <c r="F139" s="424"/>
    </row>
    <row r="140" spans="5:6" s="407" customFormat="1">
      <c r="E140" s="423"/>
      <c r="F140" s="424"/>
    </row>
    <row r="141" spans="5:6" s="407" customFormat="1">
      <c r="E141" s="423"/>
      <c r="F141" s="424"/>
    </row>
    <row r="142" spans="5:6" s="407" customFormat="1">
      <c r="E142" s="423"/>
      <c r="F142" s="424"/>
    </row>
    <row r="143" spans="5:6" s="407" customFormat="1">
      <c r="E143" s="423"/>
      <c r="F143" s="424"/>
    </row>
    <row r="144" spans="5:6" s="407" customFormat="1">
      <c r="E144" s="423"/>
      <c r="F144" s="424"/>
    </row>
    <row r="145" spans="5:6" s="407" customFormat="1">
      <c r="E145" s="423"/>
      <c r="F145" s="424"/>
    </row>
    <row r="146" spans="5:6" s="407" customFormat="1">
      <c r="E146" s="423"/>
      <c r="F146" s="424"/>
    </row>
    <row r="147" spans="5:6" s="407" customFormat="1">
      <c r="E147" s="423"/>
      <c r="F147" s="424"/>
    </row>
    <row r="148" spans="5:6" s="407" customFormat="1">
      <c r="E148" s="423"/>
      <c r="F148" s="424"/>
    </row>
    <row r="149" spans="5:6" s="407" customFormat="1">
      <c r="E149" s="423"/>
      <c r="F149" s="424"/>
    </row>
    <row r="150" spans="5:6" s="407" customFormat="1">
      <c r="E150" s="423"/>
      <c r="F150" s="424"/>
    </row>
    <row r="151" spans="5:6" s="407" customFormat="1">
      <c r="E151" s="423"/>
      <c r="F151" s="424"/>
    </row>
    <row r="152" spans="5:6" s="407" customFormat="1">
      <c r="E152" s="423"/>
      <c r="F152" s="424"/>
    </row>
    <row r="153" spans="5:6" s="407" customFormat="1">
      <c r="E153" s="423"/>
      <c r="F153" s="424"/>
    </row>
    <row r="154" spans="5:6" s="407" customFormat="1">
      <c r="E154" s="423"/>
      <c r="F154" s="424"/>
    </row>
    <row r="155" spans="5:6" s="407" customFormat="1">
      <c r="E155" s="423"/>
      <c r="F155" s="424"/>
    </row>
    <row r="156" spans="5:6" s="407" customFormat="1">
      <c r="E156" s="423"/>
      <c r="F156" s="424"/>
    </row>
    <row r="157" spans="5:6" s="407" customFormat="1">
      <c r="E157" s="423"/>
      <c r="F157" s="424"/>
    </row>
    <row r="158" spans="5:6" s="407" customFormat="1">
      <c r="E158" s="423"/>
      <c r="F158" s="424"/>
    </row>
    <row r="159" spans="5:6" s="407" customFormat="1">
      <c r="E159" s="423"/>
      <c r="F159" s="424"/>
    </row>
    <row r="160" spans="5:6" s="407" customFormat="1">
      <c r="E160" s="423"/>
      <c r="F160" s="424"/>
    </row>
    <row r="161" spans="5:6" s="407" customFormat="1">
      <c r="E161" s="423"/>
      <c r="F161" s="424"/>
    </row>
    <row r="162" spans="5:6" s="407" customFormat="1">
      <c r="E162" s="423"/>
      <c r="F162" s="424"/>
    </row>
    <row r="163" spans="5:6" s="407" customFormat="1">
      <c r="E163" s="423"/>
      <c r="F163" s="424"/>
    </row>
    <row r="164" spans="5:6" s="407" customFormat="1">
      <c r="E164" s="423"/>
      <c r="F164" s="424"/>
    </row>
    <row r="165" spans="5:6" s="407" customFormat="1">
      <c r="E165" s="423"/>
      <c r="F165" s="424"/>
    </row>
    <row r="166" spans="5:6" s="407" customFormat="1">
      <c r="E166" s="423"/>
      <c r="F166" s="424"/>
    </row>
    <row r="167" spans="5:6" s="407" customFormat="1">
      <c r="E167" s="423"/>
      <c r="F167" s="424"/>
    </row>
    <row r="168" spans="5:6" s="407" customFormat="1">
      <c r="E168" s="423"/>
      <c r="F168" s="424"/>
    </row>
    <row r="169" spans="5:6" s="407" customFormat="1">
      <c r="E169" s="423"/>
      <c r="F169" s="424"/>
    </row>
    <row r="170" spans="5:6" s="407" customFormat="1">
      <c r="E170" s="423"/>
      <c r="F170" s="424"/>
    </row>
    <row r="171" spans="5:6" s="407" customFormat="1">
      <c r="E171" s="423"/>
      <c r="F171" s="424"/>
    </row>
    <row r="172" spans="5:6" s="407" customFormat="1">
      <c r="E172" s="423"/>
      <c r="F172" s="424"/>
    </row>
    <row r="173" spans="5:6" s="407" customFormat="1">
      <c r="E173" s="423"/>
      <c r="F173" s="424"/>
    </row>
    <row r="174" spans="5:6" s="407" customFormat="1">
      <c r="E174" s="423"/>
      <c r="F174" s="424"/>
    </row>
    <row r="175" spans="5:6" s="407" customFormat="1">
      <c r="E175" s="423"/>
      <c r="F175" s="424"/>
    </row>
    <row r="176" spans="5:6" s="407" customFormat="1">
      <c r="E176" s="423"/>
      <c r="F176" s="424"/>
    </row>
    <row r="177" spans="5:6" s="407" customFormat="1">
      <c r="E177" s="423"/>
      <c r="F177" s="424"/>
    </row>
    <row r="178" spans="5:6" s="407" customFormat="1">
      <c r="E178" s="423"/>
      <c r="F178" s="424"/>
    </row>
    <row r="179" spans="5:6" s="407" customFormat="1">
      <c r="E179" s="423"/>
      <c r="F179" s="424"/>
    </row>
    <row r="180" spans="5:6" s="407" customFormat="1">
      <c r="E180" s="423"/>
      <c r="F180" s="424"/>
    </row>
    <row r="181" spans="5:6" s="407" customFormat="1">
      <c r="E181" s="423"/>
      <c r="F181" s="424"/>
    </row>
    <row r="182" spans="5:6" s="407" customFormat="1">
      <c r="E182" s="423"/>
      <c r="F182" s="424"/>
    </row>
    <row r="183" spans="5:6" s="407" customFormat="1">
      <c r="E183" s="423"/>
      <c r="F183" s="424"/>
    </row>
    <row r="184" spans="5:6" s="407" customFormat="1">
      <c r="E184" s="423"/>
      <c r="F184" s="424"/>
    </row>
    <row r="185" spans="5:6" s="407" customFormat="1">
      <c r="E185" s="423"/>
      <c r="F185" s="424"/>
    </row>
    <row r="186" spans="5:6" s="407" customFormat="1">
      <c r="E186" s="423"/>
      <c r="F186" s="424"/>
    </row>
    <row r="187" spans="5:6" s="407" customFormat="1">
      <c r="E187" s="423"/>
      <c r="F187" s="424"/>
    </row>
    <row r="188" spans="5:6" s="407" customFormat="1">
      <c r="E188" s="423"/>
      <c r="F188" s="424"/>
    </row>
    <row r="189" spans="5:6" s="407" customFormat="1">
      <c r="E189" s="423"/>
      <c r="F189" s="424"/>
    </row>
    <row r="190" spans="5:6" s="407" customFormat="1">
      <c r="E190" s="423"/>
      <c r="F190" s="424"/>
    </row>
    <row r="191" spans="5:6" s="407" customFormat="1">
      <c r="E191" s="423"/>
      <c r="F191" s="424"/>
    </row>
    <row r="192" spans="5:6" s="407" customFormat="1">
      <c r="E192" s="423"/>
      <c r="F192" s="424"/>
    </row>
    <row r="193" spans="5:6" s="407" customFormat="1">
      <c r="E193" s="423"/>
      <c r="F193" s="424"/>
    </row>
    <row r="194" spans="5:6" s="407" customFormat="1">
      <c r="E194" s="423"/>
      <c r="F194" s="424"/>
    </row>
    <row r="195" spans="5:6" s="407" customFormat="1">
      <c r="E195" s="423"/>
      <c r="F195" s="424"/>
    </row>
    <row r="196" spans="5:6" s="407" customFormat="1">
      <c r="E196" s="423"/>
      <c r="F196" s="424"/>
    </row>
    <row r="197" spans="5:6" s="407" customFormat="1">
      <c r="E197" s="423"/>
      <c r="F197" s="424"/>
    </row>
    <row r="198" spans="5:6" s="407" customFormat="1">
      <c r="E198" s="423"/>
      <c r="F198" s="424"/>
    </row>
    <row r="199" spans="5:6" s="407" customFormat="1">
      <c r="E199" s="423"/>
      <c r="F199" s="424"/>
    </row>
    <row r="200" spans="5:6" s="407" customFormat="1">
      <c r="E200" s="423"/>
      <c r="F200" s="424"/>
    </row>
    <row r="201" spans="5:6" s="407" customFormat="1">
      <c r="E201" s="423"/>
      <c r="F201" s="424"/>
    </row>
    <row r="202" spans="5:6" s="407" customFormat="1">
      <c r="E202" s="423"/>
      <c r="F202" s="424"/>
    </row>
    <row r="203" spans="5:6" s="407" customFormat="1">
      <c r="E203" s="423"/>
      <c r="F203" s="424"/>
    </row>
    <row r="204" spans="5:6" s="407" customFormat="1">
      <c r="E204" s="423"/>
      <c r="F204" s="424"/>
    </row>
    <row r="205" spans="5:6" s="407" customFormat="1">
      <c r="E205" s="423"/>
      <c r="F205" s="424"/>
    </row>
    <row r="206" spans="5:6" s="407" customFormat="1">
      <c r="E206" s="423"/>
      <c r="F206" s="424"/>
    </row>
    <row r="207" spans="5:6" s="407" customFormat="1">
      <c r="E207" s="423"/>
      <c r="F207" s="424"/>
    </row>
    <row r="208" spans="5:6" s="407" customFormat="1">
      <c r="E208" s="423"/>
      <c r="F208" s="424"/>
    </row>
    <row r="209" spans="5:6" s="407" customFormat="1">
      <c r="E209" s="423"/>
      <c r="F209" s="424"/>
    </row>
    <row r="210" spans="5:6" s="407" customFormat="1">
      <c r="E210" s="423"/>
      <c r="F210" s="424"/>
    </row>
    <row r="211" spans="5:6" s="407" customFormat="1">
      <c r="E211" s="423"/>
      <c r="F211" s="424"/>
    </row>
    <row r="212" spans="5:6" s="407" customFormat="1">
      <c r="E212" s="423"/>
      <c r="F212" s="424"/>
    </row>
    <row r="213" spans="5:6" s="407" customFormat="1">
      <c r="E213" s="423"/>
      <c r="F213" s="424"/>
    </row>
    <row r="214" spans="5:6" s="407" customFormat="1">
      <c r="E214" s="423"/>
      <c r="F214" s="424"/>
    </row>
    <row r="215" spans="5:6" s="407" customFormat="1">
      <c r="E215" s="423"/>
      <c r="F215" s="424"/>
    </row>
    <row r="216" spans="5:6" s="407" customFormat="1">
      <c r="E216" s="423"/>
      <c r="F216" s="424"/>
    </row>
    <row r="217" spans="5:6" s="407" customFormat="1">
      <c r="E217" s="423"/>
      <c r="F217" s="424"/>
    </row>
    <row r="218" spans="5:6" s="407" customFormat="1">
      <c r="E218" s="423"/>
      <c r="F218" s="424"/>
    </row>
    <row r="219" spans="5:6" s="407" customFormat="1">
      <c r="E219" s="423"/>
      <c r="F219" s="424"/>
    </row>
    <row r="220" spans="5:6" s="407" customFormat="1">
      <c r="E220" s="423"/>
      <c r="F220" s="424"/>
    </row>
    <row r="221" spans="5:6" s="407" customFormat="1">
      <c r="E221" s="423"/>
      <c r="F221" s="424"/>
    </row>
    <row r="222" spans="5:6" s="407" customFormat="1">
      <c r="E222" s="423"/>
      <c r="F222" s="424"/>
    </row>
    <row r="223" spans="5:6" s="407" customFormat="1">
      <c r="E223" s="423"/>
      <c r="F223" s="424"/>
    </row>
    <row r="224" spans="5:6" s="407" customFormat="1">
      <c r="E224" s="423"/>
      <c r="F224" s="424"/>
    </row>
    <row r="225" spans="5:6" s="407" customFormat="1">
      <c r="E225" s="423"/>
      <c r="F225" s="424"/>
    </row>
    <row r="226" spans="5:6" s="407" customFormat="1">
      <c r="E226" s="423"/>
      <c r="F226" s="424"/>
    </row>
    <row r="227" spans="5:6" s="407" customFormat="1">
      <c r="E227" s="423"/>
      <c r="F227" s="424"/>
    </row>
    <row r="228" spans="5:6" s="407" customFormat="1">
      <c r="E228" s="423"/>
      <c r="F228" s="424"/>
    </row>
    <row r="229" spans="5:6" s="407" customFormat="1">
      <c r="E229" s="423"/>
      <c r="F229" s="424"/>
    </row>
    <row r="230" spans="5:6" s="407" customFormat="1">
      <c r="E230" s="423"/>
      <c r="F230" s="424"/>
    </row>
    <row r="231" spans="5:6" s="407" customFormat="1">
      <c r="E231" s="423"/>
      <c r="F231" s="424"/>
    </row>
    <row r="232" spans="5:6" s="407" customFormat="1">
      <c r="E232" s="423"/>
      <c r="F232" s="424"/>
    </row>
    <row r="233" spans="5:6" s="407" customFormat="1">
      <c r="E233" s="423"/>
      <c r="F233" s="424"/>
    </row>
    <row r="234" spans="5:6" s="407" customFormat="1">
      <c r="E234" s="423"/>
      <c r="F234" s="424"/>
    </row>
    <row r="235" spans="5:6" s="407" customFormat="1">
      <c r="E235" s="423"/>
      <c r="F235" s="424"/>
    </row>
    <row r="236" spans="5:6" s="407" customFormat="1">
      <c r="E236" s="423"/>
      <c r="F236" s="424"/>
    </row>
    <row r="237" spans="5:6" s="407" customFormat="1">
      <c r="E237" s="423"/>
      <c r="F237" s="424"/>
    </row>
    <row r="238" spans="5:6" s="407" customFormat="1">
      <c r="E238" s="423"/>
      <c r="F238" s="424"/>
    </row>
    <row r="239" spans="5:6" s="407" customFormat="1">
      <c r="E239" s="423"/>
      <c r="F239" s="424"/>
    </row>
    <row r="240" spans="5:6" s="407" customFormat="1">
      <c r="E240" s="423"/>
      <c r="F240" s="424"/>
    </row>
    <row r="241" spans="5:6" s="407" customFormat="1">
      <c r="E241" s="423"/>
      <c r="F241" s="424"/>
    </row>
    <row r="242" spans="5:6" s="407" customFormat="1">
      <c r="E242" s="423"/>
      <c r="F242" s="424"/>
    </row>
    <row r="243" spans="5:6" s="407" customFormat="1">
      <c r="E243" s="423"/>
      <c r="F243" s="424"/>
    </row>
    <row r="244" spans="5:6" s="407" customFormat="1">
      <c r="E244" s="423"/>
      <c r="F244" s="424"/>
    </row>
    <row r="245" spans="5:6" s="407" customFormat="1">
      <c r="E245" s="423"/>
      <c r="F245" s="424"/>
    </row>
    <row r="246" spans="5:6" s="407" customFormat="1">
      <c r="E246" s="423"/>
      <c r="F246" s="424"/>
    </row>
    <row r="247" spans="5:6" s="407" customFormat="1">
      <c r="E247" s="423"/>
      <c r="F247" s="424"/>
    </row>
    <row r="248" spans="5:6" s="407" customFormat="1">
      <c r="E248" s="423"/>
      <c r="F248" s="424"/>
    </row>
    <row r="249" spans="5:6" s="407" customFormat="1">
      <c r="E249" s="423"/>
      <c r="F249" s="424"/>
    </row>
    <row r="250" spans="5:6" s="407" customFormat="1">
      <c r="E250" s="423"/>
      <c r="F250" s="424"/>
    </row>
    <row r="251" spans="5:6" s="407" customFormat="1">
      <c r="E251" s="423"/>
      <c r="F251" s="424"/>
    </row>
    <row r="252" spans="5:6" s="407" customFormat="1">
      <c r="E252" s="423"/>
      <c r="F252" s="424"/>
    </row>
    <row r="253" spans="5:6" s="407" customFormat="1">
      <c r="E253" s="423"/>
      <c r="F253" s="424"/>
    </row>
    <row r="254" spans="5:6" s="407" customFormat="1">
      <c r="E254" s="423"/>
      <c r="F254" s="424"/>
    </row>
    <row r="255" spans="5:6" s="407" customFormat="1">
      <c r="E255" s="423"/>
      <c r="F255" s="424"/>
    </row>
    <row r="256" spans="5:6" s="407" customFormat="1">
      <c r="E256" s="423"/>
      <c r="F256" s="424"/>
    </row>
    <row r="257" spans="5:6" s="407" customFormat="1">
      <c r="E257" s="423"/>
      <c r="F257" s="424"/>
    </row>
    <row r="258" spans="5:6" s="407" customFormat="1">
      <c r="E258" s="423"/>
      <c r="F258" s="424"/>
    </row>
    <row r="259" spans="5:6" s="407" customFormat="1">
      <c r="E259" s="423"/>
      <c r="F259" s="424"/>
    </row>
    <row r="260" spans="5:6" s="407" customFormat="1">
      <c r="E260" s="423"/>
      <c r="F260" s="424"/>
    </row>
    <row r="261" spans="5:6" s="407" customFormat="1">
      <c r="E261" s="423"/>
      <c r="F261" s="424"/>
    </row>
    <row r="262" spans="5:6" s="407" customFormat="1">
      <c r="E262" s="423"/>
      <c r="F262" s="424"/>
    </row>
    <row r="263" spans="5:6" s="407" customFormat="1">
      <c r="E263" s="423"/>
      <c r="F263" s="424"/>
    </row>
    <row r="264" spans="5:6" s="407" customFormat="1">
      <c r="E264" s="423"/>
      <c r="F264" s="424"/>
    </row>
    <row r="265" spans="5:6" s="407" customFormat="1">
      <c r="E265" s="423"/>
      <c r="F265" s="424"/>
    </row>
    <row r="266" spans="5:6" s="407" customFormat="1">
      <c r="E266" s="423"/>
      <c r="F266" s="424"/>
    </row>
    <row r="267" spans="5:6" s="407" customFormat="1">
      <c r="E267" s="423"/>
      <c r="F267" s="424"/>
    </row>
    <row r="268" spans="5:6" s="407" customFormat="1">
      <c r="E268" s="423"/>
      <c r="F268" s="424"/>
    </row>
    <row r="269" spans="5:6" s="407" customFormat="1">
      <c r="E269" s="423"/>
      <c r="F269" s="424"/>
    </row>
    <row r="270" spans="5:6" s="407" customFormat="1">
      <c r="E270" s="423"/>
      <c r="F270" s="424"/>
    </row>
    <row r="271" spans="5:6" s="407" customFormat="1">
      <c r="E271" s="423"/>
      <c r="F271" s="424"/>
    </row>
    <row r="272" spans="5:6" s="407" customFormat="1">
      <c r="E272" s="423"/>
      <c r="F272" s="424"/>
    </row>
    <row r="273" spans="5:6" s="407" customFormat="1">
      <c r="E273" s="423"/>
      <c r="F273" s="424"/>
    </row>
    <row r="274" spans="5:6" s="407" customFormat="1">
      <c r="E274" s="423"/>
      <c r="F274" s="424"/>
    </row>
    <row r="275" spans="5:6" s="407" customFormat="1">
      <c r="E275" s="423"/>
      <c r="F275" s="424"/>
    </row>
    <row r="276" spans="5:6" s="407" customFormat="1">
      <c r="E276" s="423"/>
      <c r="F276" s="424"/>
    </row>
    <row r="277" spans="5:6" s="407" customFormat="1">
      <c r="E277" s="423"/>
      <c r="F277" s="424"/>
    </row>
    <row r="278" spans="5:6" s="407" customFormat="1">
      <c r="E278" s="423"/>
      <c r="F278" s="424"/>
    </row>
    <row r="279" spans="5:6" s="407" customFormat="1">
      <c r="E279" s="423"/>
      <c r="F279" s="424"/>
    </row>
    <row r="280" spans="5:6" s="407" customFormat="1">
      <c r="E280" s="423"/>
      <c r="F280" s="424"/>
    </row>
    <row r="281" spans="5:6" s="407" customFormat="1">
      <c r="E281" s="423"/>
      <c r="F281" s="424"/>
    </row>
    <row r="282" spans="5:6" s="407" customFormat="1">
      <c r="E282" s="423"/>
      <c r="F282" s="424"/>
    </row>
    <row r="283" spans="5:6" s="407" customFormat="1">
      <c r="E283" s="423"/>
      <c r="F283" s="424"/>
    </row>
    <row r="284" spans="5:6" s="407" customFormat="1">
      <c r="E284" s="423"/>
      <c r="F284" s="424"/>
    </row>
    <row r="285" spans="5:6" s="407" customFormat="1">
      <c r="E285" s="423"/>
      <c r="F285" s="424"/>
    </row>
    <row r="286" spans="5:6" s="407" customFormat="1">
      <c r="E286" s="423"/>
      <c r="F286" s="424"/>
    </row>
    <row r="287" spans="5:6" s="407" customFormat="1">
      <c r="E287" s="423"/>
      <c r="F287" s="424"/>
    </row>
    <row r="288" spans="5:6" s="407" customFormat="1">
      <c r="E288" s="423"/>
      <c r="F288" s="424"/>
    </row>
    <row r="289" spans="5:6" s="407" customFormat="1">
      <c r="E289" s="423"/>
      <c r="F289" s="424"/>
    </row>
    <row r="290" spans="5:6" s="407" customFormat="1">
      <c r="E290" s="423"/>
      <c r="F290" s="424"/>
    </row>
    <row r="291" spans="5:6" s="407" customFormat="1">
      <c r="E291" s="423"/>
      <c r="F291" s="424"/>
    </row>
    <row r="292" spans="5:6" s="407" customFormat="1">
      <c r="E292" s="423"/>
      <c r="F292" s="424"/>
    </row>
    <row r="293" spans="5:6" s="407" customFormat="1">
      <c r="E293" s="423"/>
      <c r="F293" s="424"/>
    </row>
    <row r="294" spans="5:6" s="407" customFormat="1">
      <c r="E294" s="423"/>
      <c r="F294" s="424"/>
    </row>
    <row r="295" spans="5:6" s="407" customFormat="1">
      <c r="E295" s="423"/>
      <c r="F295" s="424"/>
    </row>
    <row r="296" spans="5:6" s="407" customFormat="1">
      <c r="E296" s="423"/>
      <c r="F296" s="424"/>
    </row>
    <row r="297" spans="5:6" s="407" customFormat="1">
      <c r="E297" s="423"/>
      <c r="F297" s="424"/>
    </row>
    <row r="298" spans="5:6" s="407" customFormat="1">
      <c r="E298" s="423"/>
      <c r="F298" s="424"/>
    </row>
    <row r="299" spans="5:6" s="407" customFormat="1">
      <c r="E299" s="423"/>
      <c r="F299" s="424"/>
    </row>
    <row r="300" spans="5:6" s="407" customFormat="1">
      <c r="E300" s="423"/>
      <c r="F300" s="424"/>
    </row>
    <row r="301" spans="5:6" s="407" customFormat="1">
      <c r="E301" s="423"/>
      <c r="F301" s="424"/>
    </row>
    <row r="302" spans="5:6" s="407" customFormat="1">
      <c r="E302" s="423"/>
      <c r="F302" s="424"/>
    </row>
    <row r="303" spans="5:6" s="407" customFormat="1">
      <c r="E303" s="423"/>
      <c r="F303" s="424"/>
    </row>
    <row r="304" spans="5:6" s="407" customFormat="1">
      <c r="E304" s="423"/>
      <c r="F304" s="424"/>
    </row>
    <row r="305" spans="5:6" s="407" customFormat="1">
      <c r="E305" s="423"/>
      <c r="F305" s="424"/>
    </row>
    <row r="306" spans="5:6" s="407" customFormat="1">
      <c r="E306" s="423"/>
      <c r="F306" s="424"/>
    </row>
    <row r="307" spans="5:6" s="407" customFormat="1">
      <c r="E307" s="423"/>
      <c r="F307" s="424"/>
    </row>
    <row r="308" spans="5:6" s="407" customFormat="1">
      <c r="E308" s="423"/>
      <c r="F308" s="424"/>
    </row>
    <row r="309" spans="5:6" s="407" customFormat="1">
      <c r="E309" s="423"/>
      <c r="F309" s="424"/>
    </row>
    <row r="310" spans="5:6" s="407" customFormat="1">
      <c r="E310" s="423"/>
      <c r="F310" s="424"/>
    </row>
    <row r="311" spans="5:6" s="407" customFormat="1">
      <c r="E311" s="423"/>
      <c r="F311" s="424"/>
    </row>
    <row r="312" spans="5:6" s="407" customFormat="1">
      <c r="E312" s="423"/>
      <c r="F312" s="424"/>
    </row>
    <row r="313" spans="5:6" s="407" customFormat="1">
      <c r="E313" s="423"/>
      <c r="F313" s="424"/>
    </row>
    <row r="314" spans="5:6" s="407" customFormat="1">
      <c r="E314" s="423"/>
      <c r="F314" s="424"/>
    </row>
    <row r="315" spans="5:6" s="407" customFormat="1">
      <c r="E315" s="423"/>
      <c r="F315" s="424"/>
    </row>
    <row r="316" spans="5:6" s="407" customFormat="1">
      <c r="E316" s="423"/>
      <c r="F316" s="424"/>
    </row>
    <row r="317" spans="5:6" s="407" customFormat="1">
      <c r="E317" s="423"/>
      <c r="F317" s="424"/>
    </row>
    <row r="318" spans="5:6" s="407" customFormat="1">
      <c r="E318" s="423"/>
      <c r="F318" s="424"/>
    </row>
    <row r="319" spans="5:6" s="407" customFormat="1">
      <c r="E319" s="423"/>
      <c r="F319" s="424"/>
    </row>
    <row r="320" spans="5:6" s="407" customFormat="1">
      <c r="E320" s="423"/>
      <c r="F320" s="424"/>
    </row>
    <row r="321" spans="5:6" s="407" customFormat="1">
      <c r="E321" s="423"/>
      <c r="F321" s="424"/>
    </row>
    <row r="322" spans="5:6" s="407" customFormat="1">
      <c r="E322" s="423"/>
      <c r="F322" s="424"/>
    </row>
    <row r="323" spans="5:6" s="407" customFormat="1">
      <c r="E323" s="423"/>
      <c r="F323" s="424"/>
    </row>
    <row r="324" spans="5:6" s="407" customFormat="1">
      <c r="E324" s="423"/>
      <c r="F324" s="424"/>
    </row>
    <row r="325" spans="5:6" s="407" customFormat="1">
      <c r="E325" s="423"/>
      <c r="F325" s="424"/>
    </row>
    <row r="326" spans="5:6" s="407" customFormat="1">
      <c r="E326" s="423"/>
      <c r="F326" s="424"/>
    </row>
    <row r="327" spans="5:6" s="407" customFormat="1">
      <c r="E327" s="423"/>
      <c r="F327" s="424"/>
    </row>
    <row r="328" spans="5:6" s="407" customFormat="1">
      <c r="E328" s="423"/>
      <c r="F328" s="424"/>
    </row>
    <row r="329" spans="5:6" s="407" customFormat="1">
      <c r="E329" s="423"/>
      <c r="F329" s="424"/>
    </row>
    <row r="330" spans="5:6" s="407" customFormat="1">
      <c r="E330" s="423"/>
      <c r="F330" s="424"/>
    </row>
    <row r="331" spans="5:6" s="407" customFormat="1">
      <c r="E331" s="423"/>
      <c r="F331" s="424"/>
    </row>
    <row r="332" spans="5:6" s="407" customFormat="1">
      <c r="E332" s="423"/>
      <c r="F332" s="424"/>
    </row>
    <row r="333" spans="5:6" s="407" customFormat="1">
      <c r="E333" s="423"/>
      <c r="F333" s="424"/>
    </row>
    <row r="334" spans="5:6" s="407" customFormat="1">
      <c r="E334" s="423"/>
      <c r="F334" s="424"/>
    </row>
    <row r="335" spans="5:6" s="407" customFormat="1">
      <c r="E335" s="423"/>
      <c r="F335" s="424"/>
    </row>
    <row r="336" spans="5:6" s="407" customFormat="1">
      <c r="E336" s="423"/>
      <c r="F336" s="424"/>
    </row>
    <row r="337" spans="5:6" s="407" customFormat="1">
      <c r="E337" s="423"/>
      <c r="F337" s="424"/>
    </row>
    <row r="338" spans="5:6" s="407" customFormat="1">
      <c r="E338" s="423"/>
      <c r="F338" s="424"/>
    </row>
    <row r="339" spans="5:6" s="407" customFormat="1">
      <c r="E339" s="423"/>
      <c r="F339" s="424"/>
    </row>
    <row r="340" spans="5:6" s="407" customFormat="1">
      <c r="E340" s="423"/>
      <c r="F340" s="424"/>
    </row>
    <row r="341" spans="5:6" s="407" customFormat="1">
      <c r="E341" s="423"/>
      <c r="F341" s="424"/>
    </row>
    <row r="342" spans="5:6" s="407" customFormat="1">
      <c r="E342" s="423"/>
      <c r="F342" s="424"/>
    </row>
    <row r="343" spans="5:6" s="407" customFormat="1">
      <c r="E343" s="423"/>
      <c r="F343" s="424"/>
    </row>
    <row r="344" spans="5:6" s="407" customFormat="1">
      <c r="E344" s="423"/>
      <c r="F344" s="424"/>
    </row>
    <row r="345" spans="5:6" s="407" customFormat="1">
      <c r="E345" s="423"/>
      <c r="F345" s="424"/>
    </row>
    <row r="346" spans="5:6" s="407" customFormat="1">
      <c r="E346" s="423"/>
      <c r="F346" s="424"/>
    </row>
    <row r="347" spans="5:6" s="407" customFormat="1">
      <c r="E347" s="423"/>
      <c r="F347" s="424"/>
    </row>
    <row r="348" spans="5:6" s="407" customFormat="1">
      <c r="E348" s="423"/>
      <c r="F348" s="424"/>
    </row>
    <row r="349" spans="5:6" s="407" customFormat="1">
      <c r="E349" s="423"/>
      <c r="F349" s="424"/>
    </row>
    <row r="350" spans="5:6" s="407" customFormat="1">
      <c r="E350" s="423"/>
      <c r="F350" s="424"/>
    </row>
    <row r="351" spans="5:6" s="407" customFormat="1">
      <c r="E351" s="423"/>
      <c r="F351" s="424"/>
    </row>
    <row r="352" spans="5:6" s="407" customFormat="1">
      <c r="E352" s="423"/>
      <c r="F352" s="424"/>
    </row>
    <row r="353" spans="5:6" s="407" customFormat="1">
      <c r="E353" s="423"/>
      <c r="F353" s="424"/>
    </row>
    <row r="354" spans="5:6" s="407" customFormat="1">
      <c r="E354" s="423"/>
      <c r="F354" s="424"/>
    </row>
    <row r="355" spans="5:6" s="407" customFormat="1">
      <c r="E355" s="423"/>
      <c r="F355" s="424"/>
    </row>
    <row r="356" spans="5:6" s="407" customFormat="1">
      <c r="E356" s="423"/>
      <c r="F356" s="424"/>
    </row>
    <row r="357" spans="5:6" s="407" customFormat="1">
      <c r="E357" s="423"/>
      <c r="F357" s="424"/>
    </row>
    <row r="358" spans="5:6" s="407" customFormat="1">
      <c r="E358" s="423"/>
      <c r="F358" s="424"/>
    </row>
    <row r="359" spans="5:6" s="407" customFormat="1">
      <c r="E359" s="423"/>
      <c r="F359" s="424"/>
    </row>
    <row r="360" spans="5:6" s="407" customFormat="1">
      <c r="E360" s="423"/>
      <c r="F360" s="424"/>
    </row>
    <row r="361" spans="5:6" s="407" customFormat="1">
      <c r="E361" s="423"/>
      <c r="F361" s="424"/>
    </row>
    <row r="362" spans="5:6" s="407" customFormat="1">
      <c r="E362" s="423"/>
      <c r="F362" s="424"/>
    </row>
    <row r="363" spans="5:6" s="407" customFormat="1">
      <c r="E363" s="423"/>
      <c r="F363" s="424"/>
    </row>
    <row r="364" spans="5:6" s="407" customFormat="1">
      <c r="E364" s="423"/>
      <c r="F364" s="424"/>
    </row>
    <row r="365" spans="5:6" s="407" customFormat="1">
      <c r="E365" s="423"/>
      <c r="F365" s="424"/>
    </row>
    <row r="366" spans="5:6" s="407" customFormat="1">
      <c r="E366" s="423"/>
      <c r="F366" s="424"/>
    </row>
    <row r="367" spans="5:6" s="407" customFormat="1">
      <c r="E367" s="423"/>
      <c r="F367" s="424"/>
    </row>
    <row r="368" spans="5:6" s="407" customFormat="1">
      <c r="E368" s="423"/>
      <c r="F368" s="424"/>
    </row>
    <row r="369" spans="5:6" s="407" customFormat="1">
      <c r="E369" s="423"/>
      <c r="F369" s="424"/>
    </row>
    <row r="370" spans="5:6" s="407" customFormat="1">
      <c r="E370" s="423"/>
      <c r="F370" s="424"/>
    </row>
    <row r="371" spans="5:6" s="407" customFormat="1">
      <c r="E371" s="423"/>
      <c r="F371" s="424"/>
    </row>
    <row r="372" spans="5:6" s="407" customFormat="1">
      <c r="E372" s="423"/>
      <c r="F372" s="424"/>
    </row>
    <row r="373" spans="5:6" s="407" customFormat="1">
      <c r="E373" s="423"/>
      <c r="F373" s="424"/>
    </row>
    <row r="374" spans="5:6" s="407" customFormat="1">
      <c r="E374" s="423"/>
      <c r="F374" s="424"/>
    </row>
    <row r="375" spans="5:6" s="407" customFormat="1">
      <c r="E375" s="423"/>
      <c r="F375" s="424"/>
    </row>
    <row r="376" spans="5:6" s="407" customFormat="1">
      <c r="E376" s="423"/>
      <c r="F376" s="424"/>
    </row>
    <row r="377" spans="5:6" s="407" customFormat="1">
      <c r="E377" s="423"/>
      <c r="F377" s="424"/>
    </row>
    <row r="378" spans="5:6" s="407" customFormat="1">
      <c r="E378" s="423"/>
      <c r="F378" s="424"/>
    </row>
    <row r="379" spans="5:6" s="407" customFormat="1">
      <c r="E379" s="423"/>
      <c r="F379" s="424"/>
    </row>
    <row r="380" spans="5:6" s="407" customFormat="1">
      <c r="E380" s="423"/>
      <c r="F380" s="424"/>
    </row>
    <row r="381" spans="5:6" s="407" customFormat="1">
      <c r="E381" s="423"/>
      <c r="F381" s="424"/>
    </row>
    <row r="382" spans="5:6" s="407" customFormat="1">
      <c r="E382" s="423"/>
      <c r="F382" s="424"/>
    </row>
    <row r="383" spans="5:6" s="407" customFormat="1">
      <c r="E383" s="423"/>
      <c r="F383" s="424"/>
    </row>
    <row r="384" spans="5:6" s="407" customFormat="1">
      <c r="E384" s="423"/>
      <c r="F384" s="424"/>
    </row>
    <row r="385" spans="5:6" s="407" customFormat="1">
      <c r="E385" s="423"/>
      <c r="F385" s="424"/>
    </row>
    <row r="386" spans="5:6" s="407" customFormat="1">
      <c r="E386" s="423"/>
      <c r="F386" s="424"/>
    </row>
    <row r="387" spans="5:6" s="407" customFormat="1">
      <c r="E387" s="423"/>
      <c r="F387" s="424"/>
    </row>
    <row r="388" spans="5:6" s="407" customFormat="1">
      <c r="E388" s="423"/>
      <c r="F388" s="424"/>
    </row>
    <row r="389" spans="5:6" s="407" customFormat="1">
      <c r="E389" s="423"/>
      <c r="F389" s="424"/>
    </row>
    <row r="390" spans="5:6" s="407" customFormat="1">
      <c r="E390" s="423"/>
      <c r="F390" s="424"/>
    </row>
    <row r="391" spans="5:6" s="407" customFormat="1">
      <c r="E391" s="423"/>
      <c r="F391" s="424"/>
    </row>
    <row r="392" spans="5:6" s="407" customFormat="1">
      <c r="E392" s="423"/>
      <c r="F392" s="424"/>
    </row>
    <row r="393" spans="5:6" s="407" customFormat="1">
      <c r="E393" s="423"/>
      <c r="F393" s="424"/>
    </row>
    <row r="394" spans="5:6" s="407" customFormat="1">
      <c r="E394" s="423"/>
      <c r="F394" s="424"/>
    </row>
    <row r="395" spans="5:6" s="407" customFormat="1">
      <c r="E395" s="423"/>
      <c r="F395" s="424"/>
    </row>
    <row r="396" spans="5:6" s="407" customFormat="1">
      <c r="E396" s="423"/>
      <c r="F396" s="424"/>
    </row>
    <row r="397" spans="5:6" s="407" customFormat="1">
      <c r="E397" s="423"/>
      <c r="F397" s="424"/>
    </row>
    <row r="398" spans="5:6" s="407" customFormat="1">
      <c r="E398" s="423"/>
      <c r="F398" s="424"/>
    </row>
    <row r="399" spans="5:6" s="407" customFormat="1">
      <c r="E399" s="423"/>
      <c r="F399" s="424"/>
    </row>
    <row r="400" spans="5:6" s="407" customFormat="1">
      <c r="E400" s="423"/>
      <c r="F400" s="424"/>
    </row>
    <row r="401" spans="5:6" s="407" customFormat="1">
      <c r="E401" s="423"/>
      <c r="F401" s="424"/>
    </row>
    <row r="402" spans="5:6" s="407" customFormat="1">
      <c r="E402" s="423"/>
      <c r="F402" s="424"/>
    </row>
    <row r="403" spans="5:6" s="407" customFormat="1">
      <c r="E403" s="423"/>
      <c r="F403" s="424"/>
    </row>
    <row r="404" spans="5:6" s="407" customFormat="1">
      <c r="E404" s="423"/>
      <c r="F404" s="424"/>
    </row>
    <row r="405" spans="5:6" s="407" customFormat="1">
      <c r="E405" s="423"/>
      <c r="F405" s="424"/>
    </row>
    <row r="406" spans="5:6" s="407" customFormat="1">
      <c r="E406" s="423"/>
      <c r="F406" s="424"/>
    </row>
    <row r="407" spans="5:6" s="407" customFormat="1">
      <c r="E407" s="423"/>
      <c r="F407" s="424"/>
    </row>
    <row r="408" spans="5:6" s="407" customFormat="1">
      <c r="E408" s="423"/>
      <c r="F408" s="424"/>
    </row>
    <row r="409" spans="5:6" s="407" customFormat="1">
      <c r="E409" s="423"/>
      <c r="F409" s="424"/>
    </row>
    <row r="410" spans="5:6" s="407" customFormat="1">
      <c r="E410" s="423"/>
      <c r="F410" s="424"/>
    </row>
    <row r="411" spans="5:6" s="407" customFormat="1">
      <c r="E411" s="423"/>
      <c r="F411" s="424"/>
    </row>
    <row r="412" spans="5:6" s="407" customFormat="1">
      <c r="E412" s="423"/>
      <c r="F412" s="424"/>
    </row>
    <row r="413" spans="5:6" s="407" customFormat="1">
      <c r="E413" s="423"/>
      <c r="F413" s="424"/>
    </row>
    <row r="414" spans="5:6" s="407" customFormat="1">
      <c r="E414" s="423"/>
      <c r="F414" s="424"/>
    </row>
    <row r="415" spans="5:6" s="407" customFormat="1">
      <c r="E415" s="423"/>
      <c r="F415" s="424"/>
    </row>
    <row r="416" spans="5:6" s="407" customFormat="1">
      <c r="E416" s="423"/>
      <c r="F416" s="424"/>
    </row>
    <row r="417" spans="5:6" s="407" customFormat="1">
      <c r="E417" s="423"/>
      <c r="F417" s="424"/>
    </row>
    <row r="418" spans="5:6" s="407" customFormat="1">
      <c r="E418" s="423"/>
      <c r="F418" s="424"/>
    </row>
    <row r="419" spans="5:6" s="407" customFormat="1">
      <c r="E419" s="423"/>
      <c r="F419" s="424"/>
    </row>
    <row r="420" spans="5:6" s="407" customFormat="1">
      <c r="E420" s="423"/>
      <c r="F420" s="424"/>
    </row>
    <row r="421" spans="5:6" s="407" customFormat="1">
      <c r="E421" s="423"/>
      <c r="F421" s="424"/>
    </row>
    <row r="422" spans="5:6" s="407" customFormat="1">
      <c r="E422" s="423"/>
      <c r="F422" s="424"/>
    </row>
    <row r="423" spans="5:6" s="407" customFormat="1">
      <c r="E423" s="423"/>
      <c r="F423" s="424"/>
    </row>
    <row r="424" spans="5:6" s="407" customFormat="1">
      <c r="E424" s="423"/>
      <c r="F424" s="424"/>
    </row>
    <row r="425" spans="5:6" s="407" customFormat="1">
      <c r="E425" s="423"/>
      <c r="F425" s="424"/>
    </row>
    <row r="426" spans="5:6" s="407" customFormat="1">
      <c r="E426" s="423"/>
      <c r="F426" s="424"/>
    </row>
    <row r="427" spans="5:6" s="407" customFormat="1">
      <c r="E427" s="423"/>
      <c r="F427" s="424"/>
    </row>
    <row r="428" spans="5:6" s="407" customFormat="1">
      <c r="E428" s="423"/>
      <c r="F428" s="424"/>
    </row>
    <row r="429" spans="5:6" s="407" customFormat="1">
      <c r="E429" s="423"/>
      <c r="F429" s="424"/>
    </row>
    <row r="430" spans="5:6" s="407" customFormat="1">
      <c r="E430" s="423"/>
      <c r="F430" s="424"/>
    </row>
    <row r="431" spans="5:6" s="407" customFormat="1">
      <c r="E431" s="423"/>
      <c r="F431" s="424"/>
    </row>
    <row r="432" spans="5:6" s="407" customFormat="1">
      <c r="E432" s="423"/>
      <c r="F432" s="424"/>
    </row>
    <row r="433" spans="5:6" s="407" customFormat="1">
      <c r="E433" s="423"/>
      <c r="F433" s="424"/>
    </row>
    <row r="434" spans="5:6" s="407" customFormat="1">
      <c r="E434" s="423"/>
      <c r="F434" s="424"/>
    </row>
    <row r="435" spans="5:6" s="407" customFormat="1">
      <c r="E435" s="423"/>
      <c r="F435" s="424"/>
    </row>
    <row r="436" spans="5:6" s="407" customFormat="1">
      <c r="E436" s="423"/>
      <c r="F436" s="424"/>
    </row>
    <row r="437" spans="5:6" s="407" customFormat="1">
      <c r="E437" s="423"/>
      <c r="F437" s="424"/>
    </row>
    <row r="438" spans="5:6" s="407" customFormat="1">
      <c r="E438" s="423"/>
      <c r="F438" s="424"/>
    </row>
    <row r="439" spans="5:6" s="407" customFormat="1">
      <c r="E439" s="423"/>
      <c r="F439" s="424"/>
    </row>
    <row r="440" spans="5:6" s="407" customFormat="1">
      <c r="E440" s="423"/>
      <c r="F440" s="424"/>
    </row>
    <row r="441" spans="5:6" s="407" customFormat="1">
      <c r="E441" s="423"/>
      <c r="F441" s="424"/>
    </row>
    <row r="442" spans="5:6" s="407" customFormat="1">
      <c r="E442" s="423"/>
      <c r="F442" s="424"/>
    </row>
    <row r="443" spans="5:6" s="407" customFormat="1">
      <c r="E443" s="423"/>
      <c r="F443" s="424"/>
    </row>
    <row r="444" spans="5:6" s="407" customFormat="1">
      <c r="E444" s="423"/>
      <c r="F444" s="424"/>
    </row>
    <row r="445" spans="5:6" s="407" customFormat="1">
      <c r="E445" s="423"/>
      <c r="F445" s="424"/>
    </row>
    <row r="446" spans="5:6" s="407" customFormat="1">
      <c r="E446" s="423"/>
      <c r="F446" s="424"/>
    </row>
    <row r="447" spans="5:6" s="407" customFormat="1">
      <c r="E447" s="423"/>
      <c r="F447" s="424"/>
    </row>
    <row r="448" spans="5:6" s="407" customFormat="1">
      <c r="E448" s="423"/>
      <c r="F448" s="424"/>
    </row>
    <row r="449" spans="5:6" s="407" customFormat="1">
      <c r="E449" s="423"/>
      <c r="F449" s="424"/>
    </row>
    <row r="450" spans="5:6" s="407" customFormat="1">
      <c r="E450" s="423"/>
      <c r="F450" s="424"/>
    </row>
    <row r="451" spans="5:6" s="407" customFormat="1">
      <c r="E451" s="423"/>
      <c r="F451" s="424"/>
    </row>
    <row r="452" spans="5:6" s="407" customFormat="1">
      <c r="E452" s="423"/>
      <c r="F452" s="424"/>
    </row>
    <row r="453" spans="5:6" s="407" customFormat="1">
      <c r="E453" s="423"/>
      <c r="F453" s="424"/>
    </row>
    <row r="454" spans="5:6" s="407" customFormat="1">
      <c r="E454" s="423"/>
      <c r="F454" s="424"/>
    </row>
    <row r="455" spans="5:6" s="407" customFormat="1">
      <c r="E455" s="423"/>
      <c r="F455" s="424"/>
    </row>
    <row r="456" spans="5:6" s="407" customFormat="1">
      <c r="E456" s="423"/>
      <c r="F456" s="424"/>
    </row>
    <row r="457" spans="5:6" s="407" customFormat="1">
      <c r="E457" s="423"/>
      <c r="F457" s="424"/>
    </row>
    <row r="458" spans="5:6" s="407" customFormat="1">
      <c r="E458" s="423"/>
      <c r="F458" s="424"/>
    </row>
    <row r="459" spans="5:6" s="407" customFormat="1">
      <c r="E459" s="423"/>
      <c r="F459" s="424"/>
    </row>
    <row r="460" spans="5:6" s="407" customFormat="1">
      <c r="E460" s="423"/>
      <c r="F460" s="424"/>
    </row>
    <row r="461" spans="5:6" s="407" customFormat="1">
      <c r="E461" s="423"/>
      <c r="F461" s="424"/>
    </row>
    <row r="462" spans="5:6" s="407" customFormat="1">
      <c r="E462" s="423"/>
      <c r="F462" s="424"/>
    </row>
    <row r="463" spans="5:6" s="407" customFormat="1">
      <c r="E463" s="423"/>
      <c r="F463" s="424"/>
    </row>
    <row r="464" spans="5:6" s="407" customFormat="1">
      <c r="E464" s="423"/>
      <c r="F464" s="424"/>
    </row>
    <row r="465" spans="5:6" s="407" customFormat="1">
      <c r="E465" s="423"/>
      <c r="F465" s="424"/>
    </row>
    <row r="466" spans="5:6" s="407" customFormat="1">
      <c r="E466" s="423"/>
      <c r="F466" s="424"/>
    </row>
    <row r="467" spans="5:6" s="407" customFormat="1">
      <c r="E467" s="423"/>
      <c r="F467" s="424"/>
    </row>
    <row r="468" spans="5:6" s="407" customFormat="1">
      <c r="E468" s="423"/>
      <c r="F468" s="424"/>
    </row>
    <row r="469" spans="5:6" s="407" customFormat="1">
      <c r="E469" s="423"/>
      <c r="F469" s="424"/>
    </row>
    <row r="470" spans="5:6" s="407" customFormat="1">
      <c r="E470" s="423"/>
      <c r="F470" s="424"/>
    </row>
    <row r="471" spans="5:6" s="407" customFormat="1">
      <c r="E471" s="423"/>
      <c r="F471" s="424"/>
    </row>
    <row r="472" spans="5:6" s="407" customFormat="1">
      <c r="E472" s="423"/>
      <c r="F472" s="424"/>
    </row>
    <row r="473" spans="5:6" s="407" customFormat="1">
      <c r="E473" s="423"/>
      <c r="F473" s="424"/>
    </row>
    <row r="474" spans="5:6" s="407" customFormat="1">
      <c r="E474" s="423"/>
      <c r="F474" s="424"/>
    </row>
    <row r="475" spans="5:6" s="407" customFormat="1">
      <c r="E475" s="423"/>
      <c r="F475" s="424"/>
    </row>
    <row r="476" spans="5:6" s="407" customFormat="1">
      <c r="E476" s="423"/>
      <c r="F476" s="424"/>
    </row>
    <row r="477" spans="5:6" s="407" customFormat="1">
      <c r="E477" s="423"/>
      <c r="F477" s="424"/>
    </row>
    <row r="478" spans="5:6" s="407" customFormat="1">
      <c r="E478" s="423"/>
      <c r="F478" s="424"/>
    </row>
    <row r="479" spans="5:6" s="407" customFormat="1">
      <c r="E479" s="423"/>
      <c r="F479" s="424"/>
    </row>
    <row r="480" spans="5:6" s="407" customFormat="1">
      <c r="E480" s="423"/>
      <c r="F480" s="424"/>
    </row>
    <row r="481" spans="5:6" s="407" customFormat="1">
      <c r="E481" s="423"/>
      <c r="F481" s="424"/>
    </row>
    <row r="482" spans="5:6" s="407" customFormat="1">
      <c r="E482" s="423"/>
      <c r="F482" s="424"/>
    </row>
    <row r="483" spans="5:6" s="407" customFormat="1">
      <c r="E483" s="423"/>
      <c r="F483" s="424"/>
    </row>
    <row r="484" spans="5:6" s="407" customFormat="1">
      <c r="E484" s="423"/>
      <c r="F484" s="424"/>
    </row>
    <row r="485" spans="5:6" s="407" customFormat="1">
      <c r="E485" s="423"/>
      <c r="F485" s="424"/>
    </row>
    <row r="486" spans="5:6" s="407" customFormat="1">
      <c r="E486" s="423"/>
      <c r="F486" s="424"/>
    </row>
    <row r="487" spans="5:6" s="407" customFormat="1">
      <c r="E487" s="423"/>
      <c r="F487" s="424"/>
    </row>
    <row r="488" spans="5:6" s="407" customFormat="1">
      <c r="E488" s="423"/>
      <c r="F488" s="424"/>
    </row>
    <row r="489" spans="5:6" s="407" customFormat="1">
      <c r="E489" s="423"/>
      <c r="F489" s="424"/>
    </row>
    <row r="490" spans="5:6" s="407" customFormat="1">
      <c r="E490" s="423"/>
      <c r="F490" s="424"/>
    </row>
    <row r="491" spans="5:6" s="407" customFormat="1">
      <c r="E491" s="423"/>
      <c r="F491" s="424"/>
    </row>
    <row r="492" spans="5:6" s="407" customFormat="1">
      <c r="E492" s="423"/>
      <c r="F492" s="424"/>
    </row>
    <row r="493" spans="5:6" s="407" customFormat="1">
      <c r="E493" s="423"/>
      <c r="F493" s="424"/>
    </row>
    <row r="494" spans="5:6" s="407" customFormat="1">
      <c r="E494" s="423"/>
      <c r="F494" s="424"/>
    </row>
    <row r="495" spans="5:6" s="407" customFormat="1">
      <c r="E495" s="423"/>
      <c r="F495" s="424"/>
    </row>
    <row r="496" spans="5:6" s="407" customFormat="1">
      <c r="E496" s="423"/>
      <c r="F496" s="424"/>
    </row>
    <row r="497" spans="5:6" s="407" customFormat="1">
      <c r="E497" s="423"/>
      <c r="F497" s="424"/>
    </row>
    <row r="498" spans="5:6" s="407" customFormat="1">
      <c r="E498" s="423"/>
      <c r="F498" s="424"/>
    </row>
    <row r="499" spans="5:6" s="407" customFormat="1">
      <c r="E499" s="423"/>
      <c r="F499" s="424"/>
    </row>
    <row r="500" spans="5:6" s="407" customFormat="1">
      <c r="E500" s="423"/>
      <c r="F500" s="424"/>
    </row>
    <row r="501" spans="5:6" s="407" customFormat="1">
      <c r="E501" s="423"/>
      <c r="F501" s="424"/>
    </row>
    <row r="502" spans="5:6" s="407" customFormat="1">
      <c r="E502" s="423"/>
      <c r="F502" s="424"/>
    </row>
    <row r="503" spans="5:6" s="407" customFormat="1">
      <c r="E503" s="423"/>
      <c r="F503" s="424"/>
    </row>
    <row r="504" spans="5:6" s="407" customFormat="1">
      <c r="E504" s="423"/>
      <c r="F504" s="424"/>
    </row>
    <row r="505" spans="5:6" s="407" customFormat="1">
      <c r="E505" s="423"/>
      <c r="F505" s="424"/>
    </row>
    <row r="506" spans="5:6" s="407" customFormat="1">
      <c r="E506" s="423"/>
      <c r="F506" s="424"/>
    </row>
    <row r="507" spans="5:6" s="407" customFormat="1">
      <c r="E507" s="423"/>
      <c r="F507" s="424"/>
    </row>
    <row r="508" spans="5:6" s="407" customFormat="1">
      <c r="E508" s="423"/>
      <c r="F508" s="424"/>
    </row>
    <row r="509" spans="5:6" s="407" customFormat="1">
      <c r="E509" s="423"/>
      <c r="F509" s="424"/>
    </row>
    <row r="510" spans="5:6" s="407" customFormat="1">
      <c r="E510" s="423"/>
      <c r="F510" s="424"/>
    </row>
    <row r="511" spans="5:6" s="407" customFormat="1">
      <c r="E511" s="423"/>
      <c r="F511" s="424"/>
    </row>
    <row r="512" spans="5:6" s="407" customFormat="1">
      <c r="E512" s="423"/>
      <c r="F512" s="424"/>
    </row>
    <row r="513" spans="5:6" s="407" customFormat="1">
      <c r="E513" s="423"/>
      <c r="F513" s="424"/>
    </row>
    <row r="514" spans="5:6" s="407" customFormat="1">
      <c r="E514" s="423"/>
      <c r="F514" s="424"/>
    </row>
    <row r="515" spans="5:6" s="407" customFormat="1">
      <c r="E515" s="423"/>
      <c r="F515" s="424"/>
    </row>
    <row r="516" spans="5:6" s="407" customFormat="1">
      <c r="E516" s="423"/>
      <c r="F516" s="424"/>
    </row>
    <row r="517" spans="5:6" s="407" customFormat="1">
      <c r="E517" s="423"/>
      <c r="F517" s="424"/>
    </row>
    <row r="518" spans="5:6" s="407" customFormat="1">
      <c r="E518" s="423"/>
      <c r="F518" s="424"/>
    </row>
    <row r="519" spans="5:6" s="407" customFormat="1">
      <c r="E519" s="423"/>
      <c r="F519" s="424"/>
    </row>
    <row r="520" spans="5:6" s="407" customFormat="1">
      <c r="E520" s="423"/>
      <c r="F520" s="424"/>
    </row>
    <row r="521" spans="5:6" s="407" customFormat="1">
      <c r="E521" s="423"/>
      <c r="F521" s="424"/>
    </row>
    <row r="522" spans="5:6" s="407" customFormat="1">
      <c r="E522" s="423"/>
      <c r="F522" s="424"/>
    </row>
    <row r="523" spans="5:6" s="407" customFormat="1">
      <c r="E523" s="423"/>
      <c r="F523" s="424"/>
    </row>
    <row r="524" spans="5:6" s="407" customFormat="1">
      <c r="E524" s="423"/>
      <c r="F524" s="424"/>
    </row>
    <row r="525" spans="5:6" s="407" customFormat="1">
      <c r="E525" s="423"/>
      <c r="F525" s="424"/>
    </row>
    <row r="526" spans="5:6" s="407" customFormat="1">
      <c r="E526" s="423"/>
      <c r="F526" s="424"/>
    </row>
    <row r="527" spans="5:6" s="407" customFormat="1">
      <c r="E527" s="423"/>
      <c r="F527" s="424"/>
    </row>
    <row r="528" spans="5:6" s="407" customFormat="1">
      <c r="E528" s="423"/>
      <c r="F528" s="424"/>
    </row>
    <row r="529" spans="5:6" s="407" customFormat="1">
      <c r="E529" s="423"/>
      <c r="F529" s="424"/>
    </row>
    <row r="530" spans="5:6" s="407" customFormat="1">
      <c r="E530" s="423"/>
      <c r="F530" s="424"/>
    </row>
    <row r="531" spans="5:6" s="407" customFormat="1">
      <c r="E531" s="423"/>
      <c r="F531" s="424"/>
    </row>
    <row r="532" spans="5:6" s="407" customFormat="1">
      <c r="E532" s="423"/>
      <c r="F532" s="424"/>
    </row>
    <row r="533" spans="5:6" s="407" customFormat="1">
      <c r="E533" s="423"/>
      <c r="F533" s="424"/>
    </row>
    <row r="534" spans="5:6" s="407" customFormat="1">
      <c r="E534" s="423"/>
      <c r="F534" s="424"/>
    </row>
    <row r="535" spans="5:6" s="407" customFormat="1">
      <c r="E535" s="423"/>
      <c r="F535" s="424"/>
    </row>
    <row r="536" spans="5:6" s="407" customFormat="1">
      <c r="E536" s="423"/>
      <c r="F536" s="424"/>
    </row>
    <row r="537" spans="5:6" s="407" customFormat="1">
      <c r="E537" s="423"/>
      <c r="F537" s="424"/>
    </row>
    <row r="538" spans="5:6" s="407" customFormat="1">
      <c r="E538" s="423"/>
      <c r="F538" s="424"/>
    </row>
    <row r="539" spans="5:6" s="407" customFormat="1">
      <c r="E539" s="423"/>
      <c r="F539" s="424"/>
    </row>
    <row r="540" spans="5:6" s="407" customFormat="1">
      <c r="E540" s="423"/>
      <c r="F540" s="424"/>
    </row>
    <row r="541" spans="5:6" s="407" customFormat="1">
      <c r="E541" s="423"/>
      <c r="F541" s="424"/>
    </row>
    <row r="542" spans="5:6" s="407" customFormat="1">
      <c r="E542" s="423"/>
      <c r="F542" s="424"/>
    </row>
    <row r="543" spans="5:6" s="407" customFormat="1">
      <c r="E543" s="423"/>
      <c r="F543" s="424"/>
    </row>
    <row r="544" spans="5:6" s="407" customFormat="1">
      <c r="E544" s="423"/>
      <c r="F544" s="424"/>
    </row>
    <row r="545" spans="2:6" s="407" customFormat="1">
      <c r="E545" s="423"/>
      <c r="F545" s="424"/>
    </row>
    <row r="546" spans="2:6" s="407" customFormat="1">
      <c r="B546" s="435"/>
      <c r="C546" s="435"/>
      <c r="D546" s="435"/>
      <c r="E546" s="436"/>
      <c r="F546" s="437"/>
    </row>
    <row r="547" spans="2:6" s="407" customFormat="1">
      <c r="B547" s="435"/>
      <c r="C547" s="435"/>
      <c r="D547" s="435"/>
      <c r="E547" s="436"/>
      <c r="F547" s="437"/>
    </row>
  </sheetData>
  <sheetProtection formatCells="0" formatColumns="0" formatRows="0" insertColumns="0" insertRows="0" insertHyperlinks="0" deleteColumns="0" deleteRows="0" sort="0" autoFilter="0" pivotTables="0"/>
  <mergeCells count="3">
    <mergeCell ref="B2:D2"/>
    <mergeCell ref="B3:D3"/>
    <mergeCell ref="B4:E4"/>
  </mergeCells>
  <phoneticPr fontId="0" type="noConversion"/>
  <printOptions horizontalCentered="1" verticalCentered="1"/>
  <pageMargins left="0.27559055118110237" right="0.27559055118110237" top="0.19685039370078741" bottom="0.27559055118110237" header="0.86614173228346458" footer="0.35433070866141736"/>
  <pageSetup paperSize="9" scale="80" orientation="portrait" horizontalDpi="4294967292" verticalDpi="300" r:id="rId1"/>
  <headerFooter alignWithMargins="0">
    <oddHeader xml:space="preserve">&amp;L                     &amp;R      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11" enableFormatConditionsCalculation="0">
    <tabColor theme="0"/>
  </sheetPr>
  <dimension ref="A1:H564"/>
  <sheetViews>
    <sheetView showGridLines="0" zoomScaleNormal="75" workbookViewId="0">
      <selection activeCell="H22" sqref="H1:H1048576"/>
    </sheetView>
  </sheetViews>
  <sheetFormatPr baseColWidth="10" defaultColWidth="10.7109375" defaultRowHeight="12.75"/>
  <cols>
    <col min="1" max="1" width="6.140625" style="435" customWidth="1"/>
    <col min="2" max="2" width="54.28515625" style="435" customWidth="1"/>
    <col min="3" max="3" width="18.140625" style="435" customWidth="1"/>
    <col min="4" max="4" width="17.42578125" style="435" customWidth="1"/>
    <col min="5" max="5" width="18.140625" style="435" customWidth="1"/>
    <col min="6" max="6" width="2.42578125" style="438" customWidth="1"/>
    <col min="7" max="7" width="10.7109375" style="435"/>
    <col min="8" max="8" width="11.7109375" style="435" hidden="1" customWidth="1"/>
    <col min="9" max="16384" width="10.7109375" style="435"/>
  </cols>
  <sheetData>
    <row r="1" spans="2:6" ht="27.6" customHeight="1"/>
    <row r="2" spans="2:6" s="407" customFormat="1" ht="49.9" customHeight="1">
      <c r="B2" s="990" t="s">
        <v>131</v>
      </c>
      <c r="C2" s="991"/>
      <c r="D2" s="992"/>
      <c r="E2" s="406">
        <f>CPYG!E2</f>
        <v>2017</v>
      </c>
      <c r="F2" s="439"/>
    </row>
    <row r="3" spans="2:6" s="407" customFormat="1" ht="25.9" customHeight="1">
      <c r="B3" s="998" t="str">
        <f>CPYG!B3</f>
        <v>ENTIDAD: INSTITUTO VOLCANOLOGICO DE CANARIAS</v>
      </c>
      <c r="C3" s="999"/>
      <c r="D3" s="999"/>
      <c r="E3" s="406" t="s">
        <v>133</v>
      </c>
      <c r="F3" s="349"/>
    </row>
    <row r="4" spans="2:6" s="407" customFormat="1" ht="25.15" customHeight="1">
      <c r="B4" s="997" t="s">
        <v>216</v>
      </c>
      <c r="C4" s="997"/>
      <c r="D4" s="997"/>
      <c r="E4" s="997"/>
      <c r="F4" s="408"/>
    </row>
    <row r="5" spans="2:6" s="407" customFormat="1" ht="40.9" customHeight="1">
      <c r="B5" s="409" t="s">
        <v>361</v>
      </c>
      <c r="C5" s="229" t="s">
        <v>426</v>
      </c>
      <c r="D5" s="440" t="s">
        <v>432</v>
      </c>
      <c r="E5" s="440" t="s">
        <v>424</v>
      </c>
      <c r="F5" s="441"/>
    </row>
    <row r="6" spans="2:6" s="407" customFormat="1" ht="22.5" customHeight="1">
      <c r="B6" s="442" t="s">
        <v>172</v>
      </c>
      <c r="C6" s="486">
        <f>C7+C23+C27</f>
        <v>117897.64</v>
      </c>
      <c r="D6" s="486">
        <f>D7+D23+D27</f>
        <v>231776.61172222221</v>
      </c>
      <c r="E6" s="486">
        <f>E7+E23+E27</f>
        <v>418298.61172222218</v>
      </c>
      <c r="F6" s="414"/>
    </row>
    <row r="7" spans="2:6" s="407" customFormat="1" ht="19.899999999999999" customHeight="1">
      <c r="B7" s="443" t="s">
        <v>173</v>
      </c>
      <c r="C7" s="523">
        <f>+C8+C11+C12+C15+C16+C19+C20+C21+C22</f>
        <v>65007.07</v>
      </c>
      <c r="D7" s="523">
        <f>+D8+D11+D12+D15+D16+D19+D20+D21+D22</f>
        <v>65868.361722222209</v>
      </c>
      <c r="E7" s="523">
        <f>+E8+E11+E12+E15+E16+E19+E20+E21+E22</f>
        <v>72354.521722222184</v>
      </c>
      <c r="F7" s="433"/>
    </row>
    <row r="8" spans="2:6" s="407" customFormat="1" ht="19.899999999999999" customHeight="1">
      <c r="B8" s="443" t="s">
        <v>174</v>
      </c>
      <c r="C8" s="524">
        <f>SUM(C9:C10)</f>
        <v>60200</v>
      </c>
      <c r="D8" s="524">
        <f>SUM(D9:D10)</f>
        <v>60200</v>
      </c>
      <c r="E8" s="524">
        <f>SUM(E9:E10)</f>
        <v>60200</v>
      </c>
      <c r="F8" s="426"/>
    </row>
    <row r="9" spans="2:6" s="407" customFormat="1" ht="19.899999999999999" customHeight="1">
      <c r="B9" s="444" t="s">
        <v>36</v>
      </c>
      <c r="C9" s="518">
        <v>60200</v>
      </c>
      <c r="D9" s="518">
        <v>60200</v>
      </c>
      <c r="E9" s="518">
        <v>60200</v>
      </c>
      <c r="F9" s="426"/>
    </row>
    <row r="10" spans="2:6" s="407" customFormat="1" ht="19.899999999999999" customHeight="1">
      <c r="B10" s="444" t="s">
        <v>37</v>
      </c>
      <c r="C10" s="518"/>
      <c r="D10" s="518"/>
      <c r="E10" s="518"/>
      <c r="F10" s="426"/>
    </row>
    <row r="11" spans="2:6" s="407" customFormat="1" ht="19.899999999999999" customHeight="1">
      <c r="B11" s="443" t="s">
        <v>134</v>
      </c>
      <c r="C11" s="518"/>
      <c r="D11" s="518"/>
      <c r="E11" s="518"/>
      <c r="F11" s="426"/>
    </row>
    <row r="12" spans="2:6" s="407" customFormat="1" ht="19.899999999999999" customHeight="1">
      <c r="B12" s="443" t="s">
        <v>175</v>
      </c>
      <c r="C12" s="524">
        <f>SUM(C13:C14)</f>
        <v>7873.84</v>
      </c>
      <c r="D12" s="524">
        <f>SUM(D13:D14)</f>
        <v>19417.07</v>
      </c>
      <c r="E12" s="524">
        <f>SUM(E13:E14)</f>
        <v>20278.361722222206</v>
      </c>
      <c r="F12" s="426"/>
    </row>
    <row r="13" spans="2:6" s="407" customFormat="1" ht="19.899999999999999" customHeight="1">
      <c r="B13" s="444" t="s">
        <v>38</v>
      </c>
      <c r="C13" s="518">
        <v>932.58</v>
      </c>
      <c r="D13" s="518">
        <f>932.58+5024.51</f>
        <v>5957.09</v>
      </c>
      <c r="E13" s="518">
        <f>+D13+(D20*0.1)</f>
        <v>6043.2191722222205</v>
      </c>
      <c r="F13" s="426"/>
    </row>
    <row r="14" spans="2:6" s="407" customFormat="1" ht="19.899999999999999" customHeight="1">
      <c r="B14" s="444" t="s">
        <v>39</v>
      </c>
      <c r="C14" s="518">
        <v>6941.26</v>
      </c>
      <c r="D14" s="518">
        <f>6941.26+6518.72</f>
        <v>13459.98</v>
      </c>
      <c r="E14" s="518">
        <f>+D14+(D20*0.9)</f>
        <v>14235.142549999986</v>
      </c>
      <c r="F14" s="426"/>
    </row>
    <row r="15" spans="2:6" s="407" customFormat="1" ht="19.899999999999999" customHeight="1">
      <c r="B15" s="443" t="s">
        <v>40</v>
      </c>
      <c r="C15" s="518"/>
      <c r="D15" s="518"/>
      <c r="E15" s="518"/>
      <c r="F15" s="426"/>
    </row>
    <row r="16" spans="2:6" s="407" customFormat="1" ht="19.899999999999999" customHeight="1">
      <c r="B16" s="443" t="s">
        <v>135</v>
      </c>
      <c r="C16" s="524">
        <f>SUM(C17:C18)</f>
        <v>-14610</v>
      </c>
      <c r="D16" s="524">
        <f>+D17+D18</f>
        <v>-14610</v>
      </c>
      <c r="E16" s="524">
        <f>E17+E18</f>
        <v>-14610</v>
      </c>
      <c r="F16" s="426"/>
    </row>
    <row r="17" spans="1:8" s="407" customFormat="1" ht="19.899999999999999" customHeight="1">
      <c r="B17" s="444" t="s">
        <v>41</v>
      </c>
      <c r="C17" s="518"/>
      <c r="D17" s="518"/>
      <c r="E17" s="518"/>
      <c r="F17" s="426"/>
    </row>
    <row r="18" spans="1:8" s="407" customFormat="1" ht="19.899999999999999" customHeight="1">
      <c r="B18" s="444" t="s">
        <v>176</v>
      </c>
      <c r="C18" s="518">
        <v>-14610</v>
      </c>
      <c r="D18" s="519">
        <v>-14610</v>
      </c>
      <c r="E18" s="519">
        <f>+D18</f>
        <v>-14610</v>
      </c>
      <c r="F18" s="426"/>
    </row>
    <row r="19" spans="1:8" s="407" customFormat="1" ht="19.899999999999999" customHeight="1">
      <c r="B19" s="443" t="s">
        <v>44</v>
      </c>
      <c r="C19" s="519"/>
      <c r="D19" s="519"/>
      <c r="E19" s="519"/>
      <c r="F19" s="426"/>
    </row>
    <row r="20" spans="1:8" s="407" customFormat="1" ht="19.899999999999999" customHeight="1">
      <c r="B20" s="443" t="s">
        <v>45</v>
      </c>
      <c r="C20" s="520">
        <f>CPYG!C94</f>
        <v>11543.230000000003</v>
      </c>
      <c r="D20" s="521">
        <f>CPYG!D94</f>
        <v>861.29172222220757</v>
      </c>
      <c r="E20" s="521">
        <f>CPYG!E94</f>
        <v>6486.1599999999726</v>
      </c>
      <c r="F20" s="445"/>
    </row>
    <row r="21" spans="1:8" s="407" customFormat="1" ht="19.899999999999999" customHeight="1">
      <c r="B21" s="443" t="s">
        <v>46</v>
      </c>
      <c r="C21" s="518"/>
      <c r="D21" s="518"/>
      <c r="E21" s="518"/>
      <c r="F21" s="426"/>
    </row>
    <row r="22" spans="1:8" s="407" customFormat="1" ht="19.899999999999999" customHeight="1">
      <c r="B22" s="443" t="s">
        <v>47</v>
      </c>
      <c r="C22" s="518"/>
      <c r="D22" s="518"/>
      <c r="E22" s="518"/>
      <c r="F22" s="426"/>
    </row>
    <row r="23" spans="1:8" s="407" customFormat="1" ht="19.899999999999999" customHeight="1">
      <c r="B23" s="443" t="s">
        <v>48</v>
      </c>
      <c r="C23" s="523">
        <f>SUM(C24:C26)</f>
        <v>0</v>
      </c>
      <c r="D23" s="523">
        <f>SUM(D24:D26)</f>
        <v>0</v>
      </c>
      <c r="E23" s="523">
        <f>SUM(E24:E26)</f>
        <v>0</v>
      </c>
      <c r="F23" s="433"/>
    </row>
    <row r="24" spans="1:8" s="407" customFormat="1" ht="19.899999999999999" customHeight="1">
      <c r="B24" s="443" t="s">
        <v>49</v>
      </c>
      <c r="C24" s="518"/>
      <c r="D24" s="518"/>
      <c r="E24" s="518"/>
      <c r="F24" s="426"/>
    </row>
    <row r="25" spans="1:8" s="407" customFormat="1" ht="19.899999999999999" customHeight="1">
      <c r="B25" s="443" t="s">
        <v>50</v>
      </c>
      <c r="C25" s="518"/>
      <c r="D25" s="518"/>
      <c r="E25" s="518"/>
      <c r="F25" s="426"/>
    </row>
    <row r="26" spans="1:8" s="407" customFormat="1" ht="19.899999999999999" customHeight="1">
      <c r="B26" s="443" t="s">
        <v>51</v>
      </c>
      <c r="C26" s="518"/>
      <c r="D26" s="519"/>
      <c r="E26" s="519"/>
      <c r="F26" s="426"/>
    </row>
    <row r="27" spans="1:8" s="407" customFormat="1" ht="19.899999999999999" customHeight="1">
      <c r="A27" s="418"/>
      <c r="B27" s="443" t="s">
        <v>52</v>
      </c>
      <c r="C27" s="518">
        <v>52890.57</v>
      </c>
      <c r="D27" s="519">
        <v>165908.25</v>
      </c>
      <c r="E27" s="519">
        <v>345944.09</v>
      </c>
      <c r="F27" s="426"/>
      <c r="H27" s="417">
        <f>E27-D27+'Transf. y subv.'!F17</f>
        <v>125083.63000000003</v>
      </c>
    </row>
    <row r="28" spans="1:8" s="407" customFormat="1" ht="19.899999999999999" customHeight="1">
      <c r="B28" s="442" t="s">
        <v>177</v>
      </c>
      <c r="C28" s="523">
        <f>C29+C33+C38+C39+C40+C41+C4+C42</f>
        <v>17630.189999999999</v>
      </c>
      <c r="D28" s="523">
        <f>D29+D33+D38+D39+D40+D41+D4+D42</f>
        <v>55302.75</v>
      </c>
      <c r="E28" s="523">
        <f>E29+E33+E38+E39+E40+E41+E4+E42</f>
        <v>115314.7</v>
      </c>
      <c r="F28" s="433"/>
    </row>
    <row r="29" spans="1:8" s="407" customFormat="1" ht="19.899999999999999" customHeight="1">
      <c r="B29" s="413" t="s">
        <v>53</v>
      </c>
      <c r="C29" s="525">
        <f>SUM(C30:C32)</f>
        <v>0</v>
      </c>
      <c r="D29" s="525">
        <f>SUM(D30:D32)</f>
        <v>0</v>
      </c>
      <c r="E29" s="525">
        <f>SUM(E30:E32)</f>
        <v>0</v>
      </c>
      <c r="F29" s="426"/>
    </row>
    <row r="30" spans="1:8" s="407" customFormat="1" ht="19.899999999999999" customHeight="1">
      <c r="B30" s="416" t="s">
        <v>364</v>
      </c>
      <c r="C30" s="519"/>
      <c r="D30" s="519"/>
      <c r="E30" s="519"/>
      <c r="F30" s="426"/>
    </row>
    <row r="31" spans="1:8" s="407" customFormat="1" ht="28.9" customHeight="1">
      <c r="B31" s="446" t="s">
        <v>365</v>
      </c>
      <c r="C31" s="519"/>
      <c r="D31" s="519"/>
      <c r="E31" s="519"/>
      <c r="F31" s="426"/>
    </row>
    <row r="32" spans="1:8" s="407" customFormat="1" ht="19.899999999999999" customHeight="1">
      <c r="B32" s="416" t="s">
        <v>366</v>
      </c>
      <c r="C32" s="522"/>
      <c r="D32" s="522"/>
      <c r="E32" s="522"/>
      <c r="F32" s="433"/>
    </row>
    <row r="33" spans="1:6" s="407" customFormat="1" ht="19.899999999999999" customHeight="1">
      <c r="B33" s="413" t="s">
        <v>54</v>
      </c>
      <c r="C33" s="525">
        <f>SUM(C34:C37)</f>
        <v>0</v>
      </c>
      <c r="D33" s="525">
        <f>SUM(D34:D37)</f>
        <v>0</v>
      </c>
      <c r="E33" s="525">
        <f>SUM(E34:E37)</f>
        <v>0</v>
      </c>
      <c r="F33" s="426"/>
    </row>
    <row r="34" spans="1:6" s="407" customFormat="1" ht="19.899999999999999" customHeight="1">
      <c r="B34" s="416" t="s">
        <v>56</v>
      </c>
      <c r="C34" s="522"/>
      <c r="D34" s="522"/>
      <c r="E34" s="522"/>
      <c r="F34" s="433"/>
    </row>
    <row r="35" spans="1:6" s="407" customFormat="1" ht="19.899999999999999" customHeight="1">
      <c r="B35" s="416" t="s">
        <v>67</v>
      </c>
      <c r="C35" s="519"/>
      <c r="D35" s="519"/>
      <c r="E35" s="519"/>
      <c r="F35" s="426"/>
    </row>
    <row r="36" spans="1:6" s="407" customFormat="1" ht="19.899999999999999" customHeight="1">
      <c r="B36" s="416" t="s">
        <v>57</v>
      </c>
      <c r="C36" s="519"/>
      <c r="D36" s="519"/>
      <c r="E36" s="519"/>
      <c r="F36" s="426"/>
    </row>
    <row r="37" spans="1:6" s="407" customFormat="1" ht="19.899999999999999" customHeight="1">
      <c r="B37" s="416" t="s">
        <v>367</v>
      </c>
      <c r="C37" s="519"/>
      <c r="D37" s="519"/>
      <c r="E37" s="519"/>
      <c r="F37" s="426"/>
    </row>
    <row r="38" spans="1:6" s="407" customFormat="1" ht="19.899999999999999" customHeight="1">
      <c r="B38" s="413" t="s">
        <v>58</v>
      </c>
      <c r="C38" s="522"/>
      <c r="D38" s="522"/>
      <c r="E38" s="522"/>
      <c r="F38" s="426"/>
    </row>
    <row r="39" spans="1:6" s="407" customFormat="1" ht="19.899999999999999" customHeight="1">
      <c r="A39" s="418"/>
      <c r="B39" s="413" t="s">
        <v>59</v>
      </c>
      <c r="C39" s="522">
        <v>17630.189999999999</v>
      </c>
      <c r="D39" s="522">
        <v>55302.75</v>
      </c>
      <c r="E39" s="522">
        <v>115314.7</v>
      </c>
      <c r="F39" s="426"/>
    </row>
    <row r="40" spans="1:6" s="407" customFormat="1" ht="19.899999999999999" customHeight="1">
      <c r="B40" s="413" t="s">
        <v>60</v>
      </c>
      <c r="C40" s="522"/>
      <c r="D40" s="522"/>
      <c r="E40" s="522"/>
      <c r="F40" s="433"/>
    </row>
    <row r="41" spans="1:6" s="407" customFormat="1" ht="19.899999999999999" customHeight="1">
      <c r="B41" s="413" t="s">
        <v>368</v>
      </c>
      <c r="C41" s="522"/>
      <c r="D41" s="522"/>
      <c r="E41" s="522"/>
      <c r="F41" s="433"/>
    </row>
    <row r="42" spans="1:6" s="407" customFormat="1" ht="19.899999999999999" customHeight="1">
      <c r="B42" s="413" t="s">
        <v>369</v>
      </c>
      <c r="C42" s="522"/>
      <c r="D42" s="522"/>
      <c r="E42" s="522"/>
      <c r="F42" s="433"/>
    </row>
    <row r="43" spans="1:6" s="407" customFormat="1" ht="19.899999999999999" customHeight="1">
      <c r="B43" s="442" t="s">
        <v>129</v>
      </c>
      <c r="C43" s="525">
        <f>+C44+C45+C49+C54+C55+C58+C59</f>
        <v>366369.93999999994</v>
      </c>
      <c r="D43" s="525">
        <f>+D44+D45+D49+D54+D55+D58+D59</f>
        <v>191564.19999999998</v>
      </c>
      <c r="E43" s="525">
        <f>+E44+E45+E49+E54+E55+E58+E59</f>
        <v>138489.19</v>
      </c>
      <c r="F43" s="433"/>
    </row>
    <row r="44" spans="1:6" s="407" customFormat="1" ht="30" customHeight="1">
      <c r="B44" s="447" t="s">
        <v>64</v>
      </c>
      <c r="C44" s="522"/>
      <c r="D44" s="522"/>
      <c r="E44" s="522"/>
      <c r="F44" s="433"/>
    </row>
    <row r="45" spans="1:6" s="407" customFormat="1" ht="19.899999999999999" customHeight="1">
      <c r="B45" s="413" t="s">
        <v>65</v>
      </c>
      <c r="C45" s="525">
        <f>+C46+C47+C48</f>
        <v>0</v>
      </c>
      <c r="D45" s="525">
        <f>+D46+D47+D48</f>
        <v>0</v>
      </c>
      <c r="E45" s="525">
        <f>+E46+E47+E48</f>
        <v>0</v>
      </c>
      <c r="F45" s="433"/>
    </row>
    <row r="46" spans="1:6" s="407" customFormat="1" ht="19.899999999999999" customHeight="1">
      <c r="B46" s="416" t="s">
        <v>364</v>
      </c>
      <c r="C46" s="522"/>
      <c r="D46" s="522"/>
      <c r="E46" s="522"/>
      <c r="F46" s="433"/>
    </row>
    <row r="47" spans="1:6" s="407" customFormat="1" ht="28.9" customHeight="1">
      <c r="B47" s="446" t="s">
        <v>365</v>
      </c>
      <c r="C47" s="522"/>
      <c r="D47" s="522"/>
      <c r="E47" s="522"/>
      <c r="F47" s="433"/>
    </row>
    <row r="48" spans="1:6" s="407" customFormat="1" ht="19.899999999999999" customHeight="1">
      <c r="B48" s="416" t="s">
        <v>366</v>
      </c>
      <c r="C48" s="522"/>
      <c r="D48" s="522"/>
      <c r="E48" s="522"/>
      <c r="F48" s="433"/>
    </row>
    <row r="49" spans="1:6" s="407" customFormat="1" ht="19.899999999999999" customHeight="1">
      <c r="B49" s="413" t="s">
        <v>66</v>
      </c>
      <c r="C49" s="525">
        <f>SUM(C50:C53)</f>
        <v>2479.9899999999998</v>
      </c>
      <c r="D49" s="525">
        <f>SUM(D50:D53)</f>
        <v>2329.9899999999998</v>
      </c>
      <c r="E49" s="525">
        <f>SUM(E50:E53)</f>
        <v>2329.9899999999998</v>
      </c>
      <c r="F49" s="426"/>
    </row>
    <row r="50" spans="1:6" s="407" customFormat="1" ht="19.899999999999999" customHeight="1">
      <c r="B50" s="416" t="s">
        <v>56</v>
      </c>
      <c r="C50" s="519"/>
      <c r="D50" s="519"/>
      <c r="E50" s="519"/>
      <c r="F50" s="426"/>
    </row>
    <row r="51" spans="1:6" s="407" customFormat="1" ht="19.899999999999999" customHeight="1">
      <c r="B51" s="416" t="s">
        <v>67</v>
      </c>
      <c r="C51" s="519"/>
      <c r="D51" s="519"/>
      <c r="E51" s="519"/>
    </row>
    <row r="52" spans="1:6" s="407" customFormat="1" ht="19.899999999999999" customHeight="1">
      <c r="B52" s="416" t="s">
        <v>57</v>
      </c>
      <c r="C52" s="522"/>
      <c r="D52" s="522"/>
      <c r="E52" s="522"/>
      <c r="F52" s="433"/>
    </row>
    <row r="53" spans="1:6" s="407" customFormat="1" ht="19.899999999999999" customHeight="1">
      <c r="B53" s="416" t="s">
        <v>370</v>
      </c>
      <c r="C53" s="522">
        <v>2479.9899999999998</v>
      </c>
      <c r="D53" s="522">
        <v>2329.9899999999998</v>
      </c>
      <c r="E53" s="522">
        <v>2329.9899999999998</v>
      </c>
      <c r="F53" s="433"/>
    </row>
    <row r="54" spans="1:6" s="407" customFormat="1" ht="19.899999999999999" customHeight="1">
      <c r="B54" s="413" t="s">
        <v>68</v>
      </c>
      <c r="C54" s="522">
        <v>187728.8</v>
      </c>
      <c r="D54" s="522">
        <v>160181.21</v>
      </c>
      <c r="E54" s="522">
        <v>104452.79</v>
      </c>
      <c r="F54" s="433"/>
    </row>
    <row r="55" spans="1:6" s="407" customFormat="1" ht="19.899999999999999" customHeight="1">
      <c r="B55" s="413" t="s">
        <v>69</v>
      </c>
      <c r="C55" s="525">
        <f>SUM(C56:C57)</f>
        <v>176161.15</v>
      </c>
      <c r="D55" s="525">
        <f>SUM(D56:D57)</f>
        <v>29053</v>
      </c>
      <c r="E55" s="525">
        <f>SUM(E56:E57)</f>
        <v>31706.41</v>
      </c>
      <c r="F55" s="426"/>
    </row>
    <row r="56" spans="1:6" s="407" customFormat="1" ht="19.899999999999999" customHeight="1">
      <c r="B56" s="416" t="s">
        <v>70</v>
      </c>
      <c r="C56" s="519"/>
      <c r="D56" s="519"/>
      <c r="E56" s="519"/>
      <c r="F56" s="426"/>
    </row>
    <row r="57" spans="1:6" s="407" customFormat="1" ht="19.899999999999999" customHeight="1">
      <c r="B57" s="416" t="s">
        <v>371</v>
      </c>
      <c r="C57" s="519">
        <v>176161.15</v>
      </c>
      <c r="D57" s="519">
        <v>29053</v>
      </c>
      <c r="E57" s="519">
        <v>31706.41</v>
      </c>
      <c r="F57" s="426"/>
    </row>
    <row r="58" spans="1:6" s="407" customFormat="1" ht="19.899999999999999" customHeight="1">
      <c r="A58" s="418"/>
      <c r="B58" s="413" t="s">
        <v>91</v>
      </c>
      <c r="C58" s="522"/>
      <c r="D58" s="522"/>
      <c r="E58" s="522"/>
      <c r="F58" s="433"/>
    </row>
    <row r="59" spans="1:6" s="407" customFormat="1" ht="19.899999999999999" customHeight="1">
      <c r="A59" s="418"/>
      <c r="B59" s="413" t="s">
        <v>372</v>
      </c>
      <c r="C59" s="522"/>
      <c r="D59" s="522"/>
      <c r="E59" s="522"/>
      <c r="F59" s="433"/>
    </row>
    <row r="60" spans="1:6" s="407" customFormat="1" ht="30" customHeight="1">
      <c r="B60" s="419" t="s">
        <v>130</v>
      </c>
      <c r="C60" s="526">
        <f>C43+C28+C6</f>
        <v>501897.76999999996</v>
      </c>
      <c r="D60" s="526">
        <f>D43+D28+D6</f>
        <v>478643.56172222219</v>
      </c>
      <c r="E60" s="526">
        <f>E43+E28+E6</f>
        <v>672102.50172222219</v>
      </c>
      <c r="F60" s="414"/>
    </row>
    <row r="61" spans="1:6" s="407" customFormat="1">
      <c r="C61" s="417"/>
      <c r="D61" s="417"/>
      <c r="E61" s="417"/>
      <c r="F61" s="448"/>
    </row>
    <row r="62" spans="1:6" s="407" customFormat="1">
      <c r="C62" s="417"/>
      <c r="D62" s="417"/>
      <c r="E62" s="417"/>
      <c r="F62" s="448"/>
    </row>
    <row r="63" spans="1:6" s="407" customFormat="1" hidden="1">
      <c r="B63" s="422" t="s">
        <v>71</v>
      </c>
      <c r="C63" s="417"/>
      <c r="D63" s="417"/>
      <c r="E63" s="417"/>
      <c r="F63" s="448"/>
    </row>
    <row r="64" spans="1:6" s="407" customFormat="1">
      <c r="F64" s="418"/>
    </row>
    <row r="65" spans="2:6" s="407" customFormat="1">
      <c r="C65" s="417"/>
      <c r="D65" s="417"/>
      <c r="E65" s="417"/>
      <c r="F65" s="448"/>
    </row>
    <row r="66" spans="2:6" s="407" customFormat="1" hidden="1">
      <c r="C66" s="417"/>
      <c r="D66" s="417"/>
      <c r="E66" s="417"/>
      <c r="F66" s="448"/>
    </row>
    <row r="67" spans="2:6" s="407" customFormat="1" hidden="1">
      <c r="B67" s="407" t="s">
        <v>92</v>
      </c>
      <c r="C67" s="417">
        <f>+ACTIVO!C43</f>
        <v>501897.77</v>
      </c>
      <c r="D67" s="417">
        <f>+ACTIVO!D43</f>
        <v>478643.56000000006</v>
      </c>
      <c r="E67" s="417">
        <f>+ACTIVO!E43</f>
        <v>672102.5</v>
      </c>
      <c r="F67" s="448"/>
    </row>
    <row r="68" spans="2:6" s="407" customFormat="1" hidden="1">
      <c r="B68" s="418" t="s">
        <v>90</v>
      </c>
      <c r="C68" s="428">
        <f>+C60-C67</f>
        <v>0</v>
      </c>
      <c r="D68" s="428">
        <f>+D60-D67</f>
        <v>1.7222221358679235E-3</v>
      </c>
      <c r="E68" s="428">
        <f>+E60-E67</f>
        <v>1.7222221940755844E-3</v>
      </c>
      <c r="F68" s="426"/>
    </row>
    <row r="69" spans="2:6" s="407" customFormat="1" hidden="1">
      <c r="F69" s="418"/>
    </row>
    <row r="70" spans="2:6" s="407" customFormat="1" hidden="1">
      <c r="E70" s="417"/>
      <c r="F70" s="448"/>
    </row>
    <row r="71" spans="2:6" s="407" customFormat="1">
      <c r="F71" s="418"/>
    </row>
    <row r="72" spans="2:6" s="407" customFormat="1">
      <c r="F72" s="418"/>
    </row>
    <row r="73" spans="2:6" s="407" customFormat="1">
      <c r="F73" s="418"/>
    </row>
    <row r="74" spans="2:6" s="407" customFormat="1">
      <c r="F74" s="418"/>
    </row>
    <row r="75" spans="2:6" s="407" customFormat="1">
      <c r="F75" s="418"/>
    </row>
    <row r="76" spans="2:6" s="407" customFormat="1">
      <c r="F76" s="418"/>
    </row>
    <row r="77" spans="2:6" s="407" customFormat="1">
      <c r="F77" s="418"/>
    </row>
    <row r="78" spans="2:6" s="407" customFormat="1">
      <c r="F78" s="418"/>
    </row>
    <row r="79" spans="2:6" s="407" customFormat="1">
      <c r="F79" s="418"/>
    </row>
    <row r="80" spans="2:6" s="407" customFormat="1">
      <c r="F80" s="418"/>
    </row>
    <row r="81" spans="6:6" s="407" customFormat="1">
      <c r="F81" s="418"/>
    </row>
    <row r="82" spans="6:6" s="407" customFormat="1">
      <c r="F82" s="418"/>
    </row>
    <row r="83" spans="6:6" s="407" customFormat="1">
      <c r="F83" s="418"/>
    </row>
    <row r="84" spans="6:6" s="407" customFormat="1">
      <c r="F84" s="418"/>
    </row>
    <row r="85" spans="6:6" s="407" customFormat="1">
      <c r="F85" s="418"/>
    </row>
    <row r="86" spans="6:6" s="407" customFormat="1">
      <c r="F86" s="418"/>
    </row>
    <row r="87" spans="6:6" s="407" customFormat="1">
      <c r="F87" s="418"/>
    </row>
    <row r="88" spans="6:6" s="407" customFormat="1">
      <c r="F88" s="418"/>
    </row>
    <row r="89" spans="6:6" s="407" customFormat="1">
      <c r="F89" s="418"/>
    </row>
    <row r="90" spans="6:6" s="407" customFormat="1">
      <c r="F90" s="418"/>
    </row>
    <row r="91" spans="6:6" s="407" customFormat="1">
      <c r="F91" s="418"/>
    </row>
    <row r="92" spans="6:6" s="407" customFormat="1">
      <c r="F92" s="418"/>
    </row>
    <row r="93" spans="6:6" s="407" customFormat="1">
      <c r="F93" s="418"/>
    </row>
    <row r="94" spans="6:6" s="407" customFormat="1">
      <c r="F94" s="418"/>
    </row>
    <row r="95" spans="6:6" s="407" customFormat="1">
      <c r="F95" s="418"/>
    </row>
    <row r="96" spans="6:6" s="407" customFormat="1">
      <c r="F96" s="418"/>
    </row>
    <row r="97" spans="6:6" s="407" customFormat="1">
      <c r="F97" s="418"/>
    </row>
    <row r="98" spans="6:6" s="407" customFormat="1">
      <c r="F98" s="418"/>
    </row>
    <row r="99" spans="6:6" s="407" customFormat="1">
      <c r="F99" s="418"/>
    </row>
    <row r="100" spans="6:6" s="407" customFormat="1">
      <c r="F100" s="418"/>
    </row>
    <row r="101" spans="6:6" s="407" customFormat="1">
      <c r="F101" s="418"/>
    </row>
    <row r="102" spans="6:6" s="407" customFormat="1">
      <c r="F102" s="418"/>
    </row>
    <row r="103" spans="6:6" s="407" customFormat="1">
      <c r="F103" s="418"/>
    </row>
    <row r="104" spans="6:6" s="407" customFormat="1">
      <c r="F104" s="418"/>
    </row>
    <row r="105" spans="6:6" s="407" customFormat="1">
      <c r="F105" s="418"/>
    </row>
    <row r="106" spans="6:6" s="407" customFormat="1">
      <c r="F106" s="418"/>
    </row>
    <row r="107" spans="6:6" s="407" customFormat="1">
      <c r="F107" s="418"/>
    </row>
    <row r="108" spans="6:6" s="407" customFormat="1">
      <c r="F108" s="418"/>
    </row>
    <row r="109" spans="6:6" s="407" customFormat="1">
      <c r="F109" s="418"/>
    </row>
    <row r="110" spans="6:6" s="407" customFormat="1">
      <c r="F110" s="418"/>
    </row>
    <row r="111" spans="6:6" s="407" customFormat="1">
      <c r="F111" s="418"/>
    </row>
    <row r="112" spans="6:6" s="407" customFormat="1">
      <c r="F112" s="418"/>
    </row>
    <row r="113" spans="6:6" s="407" customFormat="1">
      <c r="F113" s="418"/>
    </row>
    <row r="114" spans="6:6" s="407" customFormat="1">
      <c r="F114" s="418"/>
    </row>
    <row r="115" spans="6:6" s="407" customFormat="1">
      <c r="F115" s="418"/>
    </row>
    <row r="116" spans="6:6" s="407" customFormat="1">
      <c r="F116" s="418"/>
    </row>
    <row r="117" spans="6:6" s="407" customFormat="1">
      <c r="F117" s="418"/>
    </row>
    <row r="118" spans="6:6" s="407" customFormat="1">
      <c r="F118" s="418"/>
    </row>
    <row r="119" spans="6:6" s="407" customFormat="1">
      <c r="F119" s="418"/>
    </row>
    <row r="120" spans="6:6" s="407" customFormat="1">
      <c r="F120" s="418"/>
    </row>
    <row r="121" spans="6:6" s="407" customFormat="1">
      <c r="F121" s="418"/>
    </row>
    <row r="122" spans="6:6" s="407" customFormat="1">
      <c r="F122" s="418"/>
    </row>
    <row r="123" spans="6:6" s="407" customFormat="1">
      <c r="F123" s="418"/>
    </row>
    <row r="124" spans="6:6" s="407" customFormat="1">
      <c r="F124" s="418"/>
    </row>
    <row r="125" spans="6:6" s="407" customFormat="1">
      <c r="F125" s="418"/>
    </row>
    <row r="126" spans="6:6" s="407" customFormat="1">
      <c r="F126" s="418"/>
    </row>
    <row r="127" spans="6:6" s="407" customFormat="1">
      <c r="F127" s="418"/>
    </row>
    <row r="128" spans="6:6" s="407" customFormat="1">
      <c r="F128" s="418"/>
    </row>
    <row r="129" spans="6:6" s="407" customFormat="1">
      <c r="F129" s="418"/>
    </row>
    <row r="130" spans="6:6" s="407" customFormat="1">
      <c r="F130" s="418"/>
    </row>
    <row r="131" spans="6:6" s="407" customFormat="1">
      <c r="F131" s="418"/>
    </row>
    <row r="132" spans="6:6" s="407" customFormat="1">
      <c r="F132" s="418"/>
    </row>
    <row r="133" spans="6:6" s="407" customFormat="1">
      <c r="F133" s="418"/>
    </row>
    <row r="134" spans="6:6" s="407" customFormat="1">
      <c r="F134" s="418"/>
    </row>
    <row r="135" spans="6:6" s="407" customFormat="1">
      <c r="F135" s="418"/>
    </row>
    <row r="136" spans="6:6" s="407" customFormat="1">
      <c r="F136" s="418"/>
    </row>
    <row r="137" spans="6:6" s="407" customFormat="1">
      <c r="F137" s="418"/>
    </row>
    <row r="138" spans="6:6" s="407" customFormat="1">
      <c r="F138" s="418"/>
    </row>
    <row r="139" spans="6:6" s="407" customFormat="1">
      <c r="F139" s="418"/>
    </row>
    <row r="140" spans="6:6" s="407" customFormat="1">
      <c r="F140" s="418"/>
    </row>
    <row r="141" spans="6:6" s="407" customFormat="1">
      <c r="F141" s="418"/>
    </row>
    <row r="142" spans="6:6" s="407" customFormat="1">
      <c r="F142" s="418"/>
    </row>
    <row r="143" spans="6:6" s="407" customFormat="1">
      <c r="F143" s="418"/>
    </row>
    <row r="144" spans="6:6" s="407" customFormat="1">
      <c r="F144" s="418"/>
    </row>
    <row r="145" spans="6:6" s="407" customFormat="1">
      <c r="F145" s="418"/>
    </row>
    <row r="146" spans="6:6" s="407" customFormat="1">
      <c r="F146" s="418"/>
    </row>
    <row r="147" spans="6:6" s="407" customFormat="1">
      <c r="F147" s="418"/>
    </row>
    <row r="148" spans="6:6" s="407" customFormat="1">
      <c r="F148" s="418"/>
    </row>
    <row r="149" spans="6:6" s="407" customFormat="1">
      <c r="F149" s="418"/>
    </row>
    <row r="150" spans="6:6" s="407" customFormat="1">
      <c r="F150" s="418"/>
    </row>
    <row r="151" spans="6:6" s="407" customFormat="1">
      <c r="F151" s="418"/>
    </row>
    <row r="152" spans="6:6" s="407" customFormat="1">
      <c r="F152" s="418"/>
    </row>
    <row r="153" spans="6:6" s="407" customFormat="1">
      <c r="F153" s="418"/>
    </row>
    <row r="154" spans="6:6" s="407" customFormat="1">
      <c r="F154" s="418"/>
    </row>
    <row r="155" spans="6:6" s="407" customFormat="1">
      <c r="F155" s="418"/>
    </row>
    <row r="156" spans="6:6" s="407" customFormat="1">
      <c r="F156" s="418"/>
    </row>
    <row r="157" spans="6:6" s="407" customFormat="1">
      <c r="F157" s="418"/>
    </row>
    <row r="158" spans="6:6" s="407" customFormat="1">
      <c r="F158" s="418"/>
    </row>
    <row r="159" spans="6:6" s="407" customFormat="1">
      <c r="F159" s="418"/>
    </row>
    <row r="160" spans="6:6" s="407" customFormat="1">
      <c r="F160" s="418"/>
    </row>
    <row r="161" spans="6:6" s="407" customFormat="1">
      <c r="F161" s="418"/>
    </row>
    <row r="162" spans="6:6" s="407" customFormat="1">
      <c r="F162" s="418"/>
    </row>
    <row r="163" spans="6:6" s="407" customFormat="1">
      <c r="F163" s="418"/>
    </row>
    <row r="164" spans="6:6" s="407" customFormat="1">
      <c r="F164" s="418"/>
    </row>
    <row r="165" spans="6:6" s="407" customFormat="1">
      <c r="F165" s="418"/>
    </row>
    <row r="166" spans="6:6" s="407" customFormat="1">
      <c r="F166" s="418"/>
    </row>
    <row r="167" spans="6:6" s="407" customFormat="1">
      <c r="F167" s="418"/>
    </row>
    <row r="168" spans="6:6" s="407" customFormat="1">
      <c r="F168" s="418"/>
    </row>
    <row r="169" spans="6:6" s="407" customFormat="1">
      <c r="F169" s="418"/>
    </row>
    <row r="170" spans="6:6" s="407" customFormat="1">
      <c r="F170" s="418"/>
    </row>
    <row r="171" spans="6:6" s="407" customFormat="1">
      <c r="F171" s="418"/>
    </row>
    <row r="172" spans="6:6" s="407" customFormat="1">
      <c r="F172" s="418"/>
    </row>
    <row r="173" spans="6:6" s="407" customFormat="1">
      <c r="F173" s="418"/>
    </row>
    <row r="174" spans="6:6" s="407" customFormat="1">
      <c r="F174" s="418"/>
    </row>
    <row r="175" spans="6:6" s="407" customFormat="1">
      <c r="F175" s="418"/>
    </row>
    <row r="176" spans="6:6" s="407" customFormat="1">
      <c r="F176" s="418"/>
    </row>
    <row r="177" spans="6:6" s="407" customFormat="1">
      <c r="F177" s="418"/>
    </row>
    <row r="178" spans="6:6" s="407" customFormat="1">
      <c r="F178" s="418"/>
    </row>
    <row r="179" spans="6:6" s="407" customFormat="1">
      <c r="F179" s="418"/>
    </row>
    <row r="180" spans="6:6" s="407" customFormat="1">
      <c r="F180" s="418"/>
    </row>
    <row r="181" spans="6:6" s="407" customFormat="1">
      <c r="F181" s="418"/>
    </row>
    <row r="182" spans="6:6" s="407" customFormat="1">
      <c r="F182" s="418"/>
    </row>
    <row r="183" spans="6:6" s="407" customFormat="1">
      <c r="F183" s="418"/>
    </row>
    <row r="184" spans="6:6" s="407" customFormat="1">
      <c r="F184" s="418"/>
    </row>
    <row r="185" spans="6:6" s="407" customFormat="1">
      <c r="F185" s="418"/>
    </row>
    <row r="186" spans="6:6" s="407" customFormat="1">
      <c r="F186" s="418"/>
    </row>
    <row r="187" spans="6:6" s="407" customFormat="1">
      <c r="F187" s="418"/>
    </row>
    <row r="188" spans="6:6" s="407" customFormat="1">
      <c r="F188" s="418"/>
    </row>
    <row r="189" spans="6:6" s="407" customFormat="1">
      <c r="F189" s="418"/>
    </row>
    <row r="190" spans="6:6" s="407" customFormat="1">
      <c r="F190" s="418"/>
    </row>
    <row r="191" spans="6:6" s="407" customFormat="1">
      <c r="F191" s="418"/>
    </row>
    <row r="192" spans="6:6" s="407" customFormat="1">
      <c r="F192" s="418"/>
    </row>
    <row r="193" spans="6:6" s="407" customFormat="1">
      <c r="F193" s="418"/>
    </row>
    <row r="194" spans="6:6" s="407" customFormat="1">
      <c r="F194" s="418"/>
    </row>
    <row r="195" spans="6:6" s="407" customFormat="1">
      <c r="F195" s="418"/>
    </row>
    <row r="196" spans="6:6" s="407" customFormat="1">
      <c r="F196" s="418"/>
    </row>
    <row r="197" spans="6:6" s="407" customFormat="1">
      <c r="F197" s="418"/>
    </row>
    <row r="198" spans="6:6" s="407" customFormat="1">
      <c r="F198" s="418"/>
    </row>
    <row r="199" spans="6:6" s="407" customFormat="1">
      <c r="F199" s="418"/>
    </row>
    <row r="200" spans="6:6" s="407" customFormat="1">
      <c r="F200" s="418"/>
    </row>
    <row r="201" spans="6:6" s="407" customFormat="1">
      <c r="F201" s="418"/>
    </row>
    <row r="202" spans="6:6" s="407" customFormat="1">
      <c r="F202" s="418"/>
    </row>
    <row r="203" spans="6:6" s="407" customFormat="1">
      <c r="F203" s="418"/>
    </row>
    <row r="204" spans="6:6" s="407" customFormat="1">
      <c r="F204" s="418"/>
    </row>
    <row r="205" spans="6:6" s="407" customFormat="1">
      <c r="F205" s="418"/>
    </row>
    <row r="206" spans="6:6" s="407" customFormat="1">
      <c r="F206" s="418"/>
    </row>
    <row r="207" spans="6:6" s="407" customFormat="1">
      <c r="F207" s="418"/>
    </row>
    <row r="208" spans="6:6" s="407" customFormat="1">
      <c r="F208" s="418"/>
    </row>
    <row r="209" spans="6:6" s="407" customFormat="1">
      <c r="F209" s="418"/>
    </row>
    <row r="210" spans="6:6" s="407" customFormat="1">
      <c r="F210" s="418"/>
    </row>
    <row r="211" spans="6:6" s="407" customFormat="1">
      <c r="F211" s="418"/>
    </row>
    <row r="212" spans="6:6" s="407" customFormat="1">
      <c r="F212" s="418"/>
    </row>
    <row r="213" spans="6:6" s="407" customFormat="1">
      <c r="F213" s="418"/>
    </row>
    <row r="214" spans="6:6" s="407" customFormat="1">
      <c r="F214" s="418"/>
    </row>
    <row r="215" spans="6:6" s="407" customFormat="1">
      <c r="F215" s="418"/>
    </row>
    <row r="216" spans="6:6" s="407" customFormat="1">
      <c r="F216" s="418"/>
    </row>
    <row r="217" spans="6:6" s="407" customFormat="1">
      <c r="F217" s="418"/>
    </row>
    <row r="218" spans="6:6" s="407" customFormat="1">
      <c r="F218" s="418"/>
    </row>
    <row r="219" spans="6:6" s="407" customFormat="1">
      <c r="F219" s="418"/>
    </row>
    <row r="220" spans="6:6" s="407" customFormat="1">
      <c r="F220" s="418"/>
    </row>
    <row r="221" spans="6:6" s="407" customFormat="1">
      <c r="F221" s="418"/>
    </row>
    <row r="222" spans="6:6" s="407" customFormat="1">
      <c r="F222" s="418"/>
    </row>
    <row r="223" spans="6:6" s="407" customFormat="1">
      <c r="F223" s="418"/>
    </row>
    <row r="224" spans="6:6" s="407" customFormat="1">
      <c r="F224" s="418"/>
    </row>
    <row r="225" spans="6:6" s="407" customFormat="1">
      <c r="F225" s="418"/>
    </row>
    <row r="226" spans="6:6" s="407" customFormat="1">
      <c r="F226" s="418"/>
    </row>
    <row r="227" spans="6:6" s="407" customFormat="1">
      <c r="F227" s="418"/>
    </row>
    <row r="228" spans="6:6" s="407" customFormat="1">
      <c r="F228" s="418"/>
    </row>
    <row r="229" spans="6:6" s="407" customFormat="1">
      <c r="F229" s="418"/>
    </row>
    <row r="230" spans="6:6" s="407" customFormat="1">
      <c r="F230" s="418"/>
    </row>
    <row r="231" spans="6:6" s="407" customFormat="1">
      <c r="F231" s="418"/>
    </row>
    <row r="232" spans="6:6" s="407" customFormat="1">
      <c r="F232" s="418"/>
    </row>
    <row r="233" spans="6:6" s="407" customFormat="1">
      <c r="F233" s="418"/>
    </row>
    <row r="234" spans="6:6" s="407" customFormat="1">
      <c r="F234" s="418"/>
    </row>
    <row r="235" spans="6:6" s="407" customFormat="1">
      <c r="F235" s="418"/>
    </row>
    <row r="236" spans="6:6" s="407" customFormat="1">
      <c r="F236" s="418"/>
    </row>
    <row r="237" spans="6:6" s="407" customFormat="1">
      <c r="F237" s="418"/>
    </row>
    <row r="238" spans="6:6" s="407" customFormat="1">
      <c r="F238" s="418"/>
    </row>
    <row r="239" spans="6:6" s="407" customFormat="1">
      <c r="F239" s="418"/>
    </row>
    <row r="240" spans="6:6" s="407" customFormat="1">
      <c r="F240" s="418"/>
    </row>
    <row r="241" spans="6:6" s="407" customFormat="1">
      <c r="F241" s="418"/>
    </row>
    <row r="242" spans="6:6" s="407" customFormat="1">
      <c r="F242" s="418"/>
    </row>
    <row r="243" spans="6:6" s="407" customFormat="1">
      <c r="F243" s="418"/>
    </row>
    <row r="244" spans="6:6" s="407" customFormat="1">
      <c r="F244" s="418"/>
    </row>
    <row r="245" spans="6:6" s="407" customFormat="1">
      <c r="F245" s="418"/>
    </row>
    <row r="246" spans="6:6" s="407" customFormat="1">
      <c r="F246" s="418"/>
    </row>
    <row r="247" spans="6:6" s="407" customFormat="1">
      <c r="F247" s="418"/>
    </row>
    <row r="248" spans="6:6" s="407" customFormat="1">
      <c r="F248" s="418"/>
    </row>
    <row r="249" spans="6:6" s="407" customFormat="1">
      <c r="F249" s="418"/>
    </row>
    <row r="250" spans="6:6" s="407" customFormat="1">
      <c r="F250" s="418"/>
    </row>
    <row r="251" spans="6:6" s="407" customFormat="1">
      <c r="F251" s="418"/>
    </row>
    <row r="252" spans="6:6" s="407" customFormat="1">
      <c r="F252" s="418"/>
    </row>
    <row r="253" spans="6:6" s="407" customFormat="1">
      <c r="F253" s="418"/>
    </row>
    <row r="254" spans="6:6" s="407" customFormat="1">
      <c r="F254" s="418"/>
    </row>
    <row r="255" spans="6:6" s="407" customFormat="1">
      <c r="F255" s="418"/>
    </row>
    <row r="256" spans="6:6" s="407" customFormat="1">
      <c r="F256" s="418"/>
    </row>
    <row r="257" spans="6:6" s="407" customFormat="1">
      <c r="F257" s="418"/>
    </row>
    <row r="258" spans="6:6" s="407" customFormat="1">
      <c r="F258" s="418"/>
    </row>
    <row r="259" spans="6:6" s="407" customFormat="1">
      <c r="F259" s="418"/>
    </row>
    <row r="260" spans="6:6" s="407" customFormat="1">
      <c r="F260" s="418"/>
    </row>
    <row r="261" spans="6:6" s="407" customFormat="1">
      <c r="F261" s="418"/>
    </row>
    <row r="262" spans="6:6" s="407" customFormat="1">
      <c r="F262" s="418"/>
    </row>
    <row r="263" spans="6:6" s="407" customFormat="1">
      <c r="F263" s="418"/>
    </row>
    <row r="264" spans="6:6" s="407" customFormat="1">
      <c r="F264" s="418"/>
    </row>
    <row r="265" spans="6:6" s="407" customFormat="1">
      <c r="F265" s="418"/>
    </row>
    <row r="266" spans="6:6" s="407" customFormat="1">
      <c r="F266" s="418"/>
    </row>
    <row r="267" spans="6:6" s="407" customFormat="1">
      <c r="F267" s="418"/>
    </row>
    <row r="268" spans="6:6" s="407" customFormat="1">
      <c r="F268" s="418"/>
    </row>
    <row r="269" spans="6:6" s="407" customFormat="1">
      <c r="F269" s="418"/>
    </row>
    <row r="270" spans="6:6" s="407" customFormat="1">
      <c r="F270" s="418"/>
    </row>
    <row r="271" spans="6:6" s="407" customFormat="1">
      <c r="F271" s="418"/>
    </row>
    <row r="272" spans="6:6" s="407" customFormat="1">
      <c r="F272" s="418"/>
    </row>
    <row r="273" spans="6:6" s="407" customFormat="1">
      <c r="F273" s="418"/>
    </row>
    <row r="274" spans="6:6" s="407" customFormat="1">
      <c r="F274" s="418"/>
    </row>
    <row r="275" spans="6:6" s="407" customFormat="1">
      <c r="F275" s="418"/>
    </row>
    <row r="276" spans="6:6" s="407" customFormat="1">
      <c r="F276" s="418"/>
    </row>
    <row r="277" spans="6:6" s="407" customFormat="1">
      <c r="F277" s="418"/>
    </row>
    <row r="278" spans="6:6" s="407" customFormat="1">
      <c r="F278" s="418"/>
    </row>
    <row r="279" spans="6:6" s="407" customFormat="1">
      <c r="F279" s="418"/>
    </row>
    <row r="280" spans="6:6" s="407" customFormat="1">
      <c r="F280" s="418"/>
    </row>
    <row r="281" spans="6:6" s="407" customFormat="1">
      <c r="F281" s="418"/>
    </row>
    <row r="282" spans="6:6" s="407" customFormat="1">
      <c r="F282" s="418"/>
    </row>
    <row r="283" spans="6:6" s="407" customFormat="1">
      <c r="F283" s="418"/>
    </row>
    <row r="284" spans="6:6" s="407" customFormat="1">
      <c r="F284" s="418"/>
    </row>
    <row r="285" spans="6:6" s="407" customFormat="1">
      <c r="F285" s="418"/>
    </row>
    <row r="286" spans="6:6" s="407" customFormat="1">
      <c r="F286" s="418"/>
    </row>
    <row r="287" spans="6:6" s="407" customFormat="1">
      <c r="F287" s="418"/>
    </row>
    <row r="288" spans="6:6" s="407" customFormat="1">
      <c r="F288" s="418"/>
    </row>
    <row r="289" spans="6:6" s="407" customFormat="1">
      <c r="F289" s="418"/>
    </row>
    <row r="290" spans="6:6" s="407" customFormat="1">
      <c r="F290" s="418"/>
    </row>
    <row r="291" spans="6:6" s="407" customFormat="1">
      <c r="F291" s="418"/>
    </row>
    <row r="292" spans="6:6" s="407" customFormat="1">
      <c r="F292" s="418"/>
    </row>
    <row r="293" spans="6:6" s="407" customFormat="1">
      <c r="F293" s="418"/>
    </row>
    <row r="294" spans="6:6" s="407" customFormat="1">
      <c r="F294" s="418"/>
    </row>
    <row r="295" spans="6:6" s="407" customFormat="1">
      <c r="F295" s="418"/>
    </row>
    <row r="296" spans="6:6" s="407" customFormat="1">
      <c r="F296" s="418"/>
    </row>
    <row r="297" spans="6:6" s="407" customFormat="1">
      <c r="F297" s="418"/>
    </row>
    <row r="298" spans="6:6" s="407" customFormat="1">
      <c r="F298" s="418"/>
    </row>
    <row r="299" spans="6:6" s="407" customFormat="1">
      <c r="F299" s="418"/>
    </row>
    <row r="300" spans="6:6" s="407" customFormat="1">
      <c r="F300" s="418"/>
    </row>
    <row r="301" spans="6:6" s="407" customFormat="1">
      <c r="F301" s="418"/>
    </row>
    <row r="302" spans="6:6" s="407" customFormat="1">
      <c r="F302" s="418"/>
    </row>
    <row r="303" spans="6:6" s="407" customFormat="1">
      <c r="F303" s="418"/>
    </row>
    <row r="304" spans="6:6" s="407" customFormat="1">
      <c r="F304" s="418"/>
    </row>
    <row r="305" spans="6:6" s="407" customFormat="1">
      <c r="F305" s="418"/>
    </row>
    <row r="306" spans="6:6" s="407" customFormat="1">
      <c r="F306" s="418"/>
    </row>
    <row r="307" spans="6:6" s="407" customFormat="1">
      <c r="F307" s="418"/>
    </row>
    <row r="308" spans="6:6" s="407" customFormat="1">
      <c r="F308" s="418"/>
    </row>
    <row r="309" spans="6:6" s="407" customFormat="1">
      <c r="F309" s="418"/>
    </row>
    <row r="310" spans="6:6" s="407" customFormat="1">
      <c r="F310" s="418"/>
    </row>
    <row r="311" spans="6:6" s="407" customFormat="1">
      <c r="F311" s="418"/>
    </row>
    <row r="312" spans="6:6" s="407" customFormat="1">
      <c r="F312" s="418"/>
    </row>
    <row r="313" spans="6:6" s="407" customFormat="1">
      <c r="F313" s="418"/>
    </row>
    <row r="314" spans="6:6" s="407" customFormat="1">
      <c r="F314" s="418"/>
    </row>
    <row r="315" spans="6:6" s="407" customFormat="1">
      <c r="F315" s="418"/>
    </row>
    <row r="316" spans="6:6" s="407" customFormat="1">
      <c r="F316" s="418"/>
    </row>
    <row r="317" spans="6:6" s="407" customFormat="1">
      <c r="F317" s="418"/>
    </row>
    <row r="318" spans="6:6" s="407" customFormat="1">
      <c r="F318" s="418"/>
    </row>
    <row r="319" spans="6:6" s="407" customFormat="1">
      <c r="F319" s="418"/>
    </row>
    <row r="320" spans="6:6" s="407" customFormat="1">
      <c r="F320" s="418"/>
    </row>
    <row r="321" spans="6:6" s="407" customFormat="1">
      <c r="F321" s="418"/>
    </row>
    <row r="322" spans="6:6" s="407" customFormat="1">
      <c r="F322" s="418"/>
    </row>
    <row r="323" spans="6:6" s="407" customFormat="1">
      <c r="F323" s="418"/>
    </row>
    <row r="324" spans="6:6" s="407" customFormat="1">
      <c r="F324" s="418"/>
    </row>
    <row r="325" spans="6:6" s="407" customFormat="1">
      <c r="F325" s="418"/>
    </row>
    <row r="326" spans="6:6" s="407" customFormat="1">
      <c r="F326" s="418"/>
    </row>
    <row r="327" spans="6:6" s="407" customFormat="1">
      <c r="F327" s="418"/>
    </row>
    <row r="328" spans="6:6" s="407" customFormat="1">
      <c r="F328" s="418"/>
    </row>
    <row r="329" spans="6:6" s="407" customFormat="1">
      <c r="F329" s="418"/>
    </row>
    <row r="330" spans="6:6" s="407" customFormat="1">
      <c r="F330" s="418"/>
    </row>
    <row r="331" spans="6:6" s="407" customFormat="1">
      <c r="F331" s="418"/>
    </row>
    <row r="332" spans="6:6" s="407" customFormat="1">
      <c r="F332" s="418"/>
    </row>
    <row r="333" spans="6:6" s="407" customFormat="1">
      <c r="F333" s="418"/>
    </row>
    <row r="334" spans="6:6" s="407" customFormat="1">
      <c r="F334" s="418"/>
    </row>
    <row r="335" spans="6:6" s="407" customFormat="1">
      <c r="F335" s="418"/>
    </row>
    <row r="336" spans="6:6" s="407" customFormat="1">
      <c r="F336" s="418"/>
    </row>
    <row r="337" spans="6:6" s="407" customFormat="1">
      <c r="F337" s="418"/>
    </row>
    <row r="338" spans="6:6" s="407" customFormat="1">
      <c r="F338" s="418"/>
    </row>
    <row r="339" spans="6:6" s="407" customFormat="1">
      <c r="F339" s="418"/>
    </row>
    <row r="340" spans="6:6" s="407" customFormat="1">
      <c r="F340" s="418"/>
    </row>
    <row r="341" spans="6:6" s="407" customFormat="1">
      <c r="F341" s="418"/>
    </row>
    <row r="342" spans="6:6" s="407" customFormat="1">
      <c r="F342" s="418"/>
    </row>
    <row r="343" spans="6:6" s="407" customFormat="1">
      <c r="F343" s="418"/>
    </row>
    <row r="344" spans="6:6" s="407" customFormat="1">
      <c r="F344" s="418"/>
    </row>
    <row r="345" spans="6:6" s="407" customFormat="1">
      <c r="F345" s="418"/>
    </row>
    <row r="346" spans="6:6" s="407" customFormat="1">
      <c r="F346" s="418"/>
    </row>
    <row r="347" spans="6:6" s="407" customFormat="1">
      <c r="F347" s="418"/>
    </row>
    <row r="348" spans="6:6" s="407" customFormat="1">
      <c r="F348" s="418"/>
    </row>
    <row r="349" spans="6:6" s="407" customFormat="1">
      <c r="F349" s="418"/>
    </row>
    <row r="350" spans="6:6" s="407" customFormat="1">
      <c r="F350" s="418"/>
    </row>
    <row r="351" spans="6:6" s="407" customFormat="1">
      <c r="F351" s="418"/>
    </row>
    <row r="352" spans="6:6" s="407" customFormat="1">
      <c r="F352" s="418"/>
    </row>
    <row r="353" spans="6:6" s="407" customFormat="1">
      <c r="F353" s="418"/>
    </row>
    <row r="354" spans="6:6" s="407" customFormat="1">
      <c r="F354" s="418"/>
    </row>
    <row r="355" spans="6:6" s="407" customFormat="1">
      <c r="F355" s="418"/>
    </row>
    <row r="356" spans="6:6" s="407" customFormat="1">
      <c r="F356" s="418"/>
    </row>
    <row r="357" spans="6:6" s="407" customFormat="1">
      <c r="F357" s="418"/>
    </row>
    <row r="358" spans="6:6" s="407" customFormat="1">
      <c r="F358" s="418"/>
    </row>
    <row r="359" spans="6:6" s="407" customFormat="1">
      <c r="F359" s="418"/>
    </row>
    <row r="360" spans="6:6" s="407" customFormat="1">
      <c r="F360" s="418"/>
    </row>
    <row r="361" spans="6:6" s="407" customFormat="1">
      <c r="F361" s="418"/>
    </row>
    <row r="362" spans="6:6" s="407" customFormat="1">
      <c r="F362" s="418"/>
    </row>
    <row r="363" spans="6:6" s="407" customFormat="1">
      <c r="F363" s="418"/>
    </row>
    <row r="364" spans="6:6" s="407" customFormat="1">
      <c r="F364" s="418"/>
    </row>
    <row r="365" spans="6:6" s="407" customFormat="1">
      <c r="F365" s="418"/>
    </row>
    <row r="366" spans="6:6" s="407" customFormat="1">
      <c r="F366" s="418"/>
    </row>
    <row r="367" spans="6:6" s="407" customFormat="1">
      <c r="F367" s="418"/>
    </row>
    <row r="368" spans="6:6" s="407" customFormat="1">
      <c r="F368" s="418"/>
    </row>
    <row r="369" spans="6:6" s="407" customFormat="1">
      <c r="F369" s="418"/>
    </row>
    <row r="370" spans="6:6" s="407" customFormat="1">
      <c r="F370" s="418"/>
    </row>
    <row r="371" spans="6:6" s="407" customFormat="1">
      <c r="F371" s="418"/>
    </row>
    <row r="372" spans="6:6" s="407" customFormat="1">
      <c r="F372" s="418"/>
    </row>
    <row r="373" spans="6:6" s="407" customFormat="1">
      <c r="F373" s="418"/>
    </row>
    <row r="374" spans="6:6" s="407" customFormat="1">
      <c r="F374" s="418"/>
    </row>
    <row r="375" spans="6:6" s="407" customFormat="1">
      <c r="F375" s="418"/>
    </row>
    <row r="376" spans="6:6" s="407" customFormat="1">
      <c r="F376" s="418"/>
    </row>
    <row r="377" spans="6:6" s="407" customFormat="1">
      <c r="F377" s="418"/>
    </row>
    <row r="378" spans="6:6" s="407" customFormat="1">
      <c r="F378" s="418"/>
    </row>
    <row r="379" spans="6:6" s="407" customFormat="1">
      <c r="F379" s="418"/>
    </row>
    <row r="380" spans="6:6" s="407" customFormat="1">
      <c r="F380" s="418"/>
    </row>
    <row r="381" spans="6:6" s="407" customFormat="1">
      <c r="F381" s="418"/>
    </row>
    <row r="382" spans="6:6" s="407" customFormat="1">
      <c r="F382" s="418"/>
    </row>
    <row r="383" spans="6:6" s="407" customFormat="1">
      <c r="F383" s="418"/>
    </row>
    <row r="384" spans="6:6" s="407" customFormat="1">
      <c r="F384" s="418"/>
    </row>
    <row r="385" spans="6:6" s="407" customFormat="1">
      <c r="F385" s="418"/>
    </row>
    <row r="386" spans="6:6" s="407" customFormat="1">
      <c r="F386" s="418"/>
    </row>
    <row r="387" spans="6:6" s="407" customFormat="1">
      <c r="F387" s="418"/>
    </row>
    <row r="388" spans="6:6" s="407" customFormat="1">
      <c r="F388" s="418"/>
    </row>
    <row r="389" spans="6:6" s="407" customFormat="1">
      <c r="F389" s="418"/>
    </row>
    <row r="390" spans="6:6" s="407" customFormat="1">
      <c r="F390" s="418"/>
    </row>
    <row r="391" spans="6:6" s="407" customFormat="1">
      <c r="F391" s="418"/>
    </row>
    <row r="392" spans="6:6" s="407" customFormat="1">
      <c r="F392" s="418"/>
    </row>
    <row r="393" spans="6:6" s="407" customFormat="1">
      <c r="F393" s="418"/>
    </row>
    <row r="394" spans="6:6" s="407" customFormat="1">
      <c r="F394" s="418"/>
    </row>
    <row r="395" spans="6:6" s="407" customFormat="1">
      <c r="F395" s="418"/>
    </row>
    <row r="396" spans="6:6" s="407" customFormat="1">
      <c r="F396" s="418"/>
    </row>
    <row r="397" spans="6:6" s="407" customFormat="1">
      <c r="F397" s="418"/>
    </row>
    <row r="398" spans="6:6" s="407" customFormat="1">
      <c r="F398" s="418"/>
    </row>
    <row r="399" spans="6:6" s="407" customFormat="1">
      <c r="F399" s="418"/>
    </row>
    <row r="400" spans="6:6" s="407" customFormat="1">
      <c r="F400" s="418"/>
    </row>
    <row r="401" spans="6:6" s="407" customFormat="1">
      <c r="F401" s="418"/>
    </row>
    <row r="402" spans="6:6" s="407" customFormat="1">
      <c r="F402" s="418"/>
    </row>
    <row r="403" spans="6:6" s="407" customFormat="1">
      <c r="F403" s="418"/>
    </row>
    <row r="404" spans="6:6" s="407" customFormat="1">
      <c r="F404" s="418"/>
    </row>
    <row r="405" spans="6:6" s="407" customFormat="1">
      <c r="F405" s="418"/>
    </row>
    <row r="406" spans="6:6" s="407" customFormat="1">
      <c r="F406" s="418"/>
    </row>
    <row r="407" spans="6:6" s="407" customFormat="1">
      <c r="F407" s="418"/>
    </row>
    <row r="408" spans="6:6" s="407" customFormat="1">
      <c r="F408" s="418"/>
    </row>
    <row r="409" spans="6:6" s="407" customFormat="1">
      <c r="F409" s="418"/>
    </row>
    <row r="410" spans="6:6" s="407" customFormat="1">
      <c r="F410" s="418"/>
    </row>
    <row r="411" spans="6:6" s="407" customFormat="1">
      <c r="F411" s="418"/>
    </row>
    <row r="412" spans="6:6" s="407" customFormat="1">
      <c r="F412" s="418"/>
    </row>
    <row r="413" spans="6:6" s="407" customFormat="1">
      <c r="F413" s="418"/>
    </row>
    <row r="414" spans="6:6" s="407" customFormat="1">
      <c r="F414" s="418"/>
    </row>
    <row r="415" spans="6:6" s="407" customFormat="1">
      <c r="F415" s="418"/>
    </row>
    <row r="416" spans="6:6" s="407" customFormat="1">
      <c r="F416" s="418"/>
    </row>
    <row r="417" spans="6:6" s="407" customFormat="1">
      <c r="F417" s="418"/>
    </row>
    <row r="418" spans="6:6" s="407" customFormat="1">
      <c r="F418" s="418"/>
    </row>
    <row r="419" spans="6:6" s="407" customFormat="1">
      <c r="F419" s="418"/>
    </row>
    <row r="420" spans="6:6" s="407" customFormat="1">
      <c r="F420" s="418"/>
    </row>
    <row r="421" spans="6:6" s="407" customFormat="1">
      <c r="F421" s="418"/>
    </row>
    <row r="422" spans="6:6" s="407" customFormat="1">
      <c r="F422" s="418"/>
    </row>
    <row r="423" spans="6:6" s="407" customFormat="1">
      <c r="F423" s="418"/>
    </row>
    <row r="424" spans="6:6" s="407" customFormat="1">
      <c r="F424" s="418"/>
    </row>
    <row r="425" spans="6:6" s="407" customFormat="1">
      <c r="F425" s="418"/>
    </row>
    <row r="426" spans="6:6" s="407" customFormat="1">
      <c r="F426" s="418"/>
    </row>
    <row r="427" spans="6:6" s="407" customFormat="1">
      <c r="F427" s="418"/>
    </row>
    <row r="428" spans="6:6" s="407" customFormat="1">
      <c r="F428" s="418"/>
    </row>
    <row r="429" spans="6:6" s="407" customFormat="1">
      <c r="F429" s="418"/>
    </row>
    <row r="430" spans="6:6" s="407" customFormat="1">
      <c r="F430" s="418"/>
    </row>
    <row r="431" spans="6:6" s="407" customFormat="1">
      <c r="F431" s="418"/>
    </row>
    <row r="432" spans="6:6" s="407" customFormat="1">
      <c r="F432" s="418"/>
    </row>
    <row r="433" spans="6:6" s="407" customFormat="1">
      <c r="F433" s="418"/>
    </row>
    <row r="434" spans="6:6" s="407" customFormat="1">
      <c r="F434" s="418"/>
    </row>
    <row r="435" spans="6:6" s="407" customFormat="1">
      <c r="F435" s="418"/>
    </row>
    <row r="436" spans="6:6" s="407" customFormat="1">
      <c r="F436" s="418"/>
    </row>
    <row r="437" spans="6:6" s="407" customFormat="1">
      <c r="F437" s="418"/>
    </row>
    <row r="438" spans="6:6" s="407" customFormat="1">
      <c r="F438" s="418"/>
    </row>
    <row r="439" spans="6:6" s="407" customFormat="1">
      <c r="F439" s="418"/>
    </row>
    <row r="440" spans="6:6" s="407" customFormat="1">
      <c r="F440" s="418"/>
    </row>
    <row r="441" spans="6:6" s="407" customFormat="1">
      <c r="F441" s="418"/>
    </row>
    <row r="442" spans="6:6" s="407" customFormat="1">
      <c r="F442" s="418"/>
    </row>
    <row r="443" spans="6:6" s="407" customFormat="1">
      <c r="F443" s="418"/>
    </row>
    <row r="444" spans="6:6" s="407" customFormat="1">
      <c r="F444" s="418"/>
    </row>
    <row r="445" spans="6:6" s="407" customFormat="1">
      <c r="F445" s="418"/>
    </row>
    <row r="446" spans="6:6" s="407" customFormat="1">
      <c r="F446" s="418"/>
    </row>
    <row r="447" spans="6:6" s="407" customFormat="1">
      <c r="F447" s="418"/>
    </row>
    <row r="448" spans="6:6" s="407" customFormat="1">
      <c r="F448" s="418"/>
    </row>
    <row r="449" spans="6:6" s="407" customFormat="1">
      <c r="F449" s="418"/>
    </row>
    <row r="450" spans="6:6" s="407" customFormat="1">
      <c r="F450" s="418"/>
    </row>
    <row r="451" spans="6:6" s="407" customFormat="1">
      <c r="F451" s="418"/>
    </row>
    <row r="452" spans="6:6" s="407" customFormat="1">
      <c r="F452" s="418"/>
    </row>
    <row r="453" spans="6:6" s="407" customFormat="1">
      <c r="F453" s="418"/>
    </row>
    <row r="454" spans="6:6" s="407" customFormat="1">
      <c r="F454" s="418"/>
    </row>
    <row r="455" spans="6:6" s="407" customFormat="1">
      <c r="F455" s="418"/>
    </row>
    <row r="456" spans="6:6" s="407" customFormat="1">
      <c r="F456" s="418"/>
    </row>
    <row r="457" spans="6:6" s="407" customFormat="1">
      <c r="F457" s="418"/>
    </row>
    <row r="458" spans="6:6" s="407" customFormat="1">
      <c r="F458" s="418"/>
    </row>
    <row r="459" spans="6:6" s="407" customFormat="1">
      <c r="F459" s="418"/>
    </row>
    <row r="460" spans="6:6" s="407" customFormat="1">
      <c r="F460" s="418"/>
    </row>
    <row r="461" spans="6:6" s="407" customFormat="1">
      <c r="F461" s="418"/>
    </row>
    <row r="462" spans="6:6" s="407" customFormat="1">
      <c r="F462" s="418"/>
    </row>
    <row r="463" spans="6:6" s="407" customFormat="1">
      <c r="F463" s="418"/>
    </row>
    <row r="464" spans="6:6" s="407" customFormat="1">
      <c r="F464" s="418"/>
    </row>
    <row r="465" spans="6:6" s="407" customFormat="1">
      <c r="F465" s="418"/>
    </row>
    <row r="466" spans="6:6" s="407" customFormat="1">
      <c r="F466" s="418"/>
    </row>
    <row r="467" spans="6:6" s="407" customFormat="1">
      <c r="F467" s="418"/>
    </row>
    <row r="468" spans="6:6" s="407" customFormat="1">
      <c r="F468" s="418"/>
    </row>
    <row r="469" spans="6:6" s="407" customFormat="1">
      <c r="F469" s="418"/>
    </row>
    <row r="470" spans="6:6" s="407" customFormat="1">
      <c r="F470" s="418"/>
    </row>
    <row r="471" spans="6:6" s="407" customFormat="1">
      <c r="F471" s="418"/>
    </row>
    <row r="472" spans="6:6" s="407" customFormat="1">
      <c r="F472" s="418"/>
    </row>
    <row r="473" spans="6:6" s="407" customFormat="1">
      <c r="F473" s="418"/>
    </row>
    <row r="474" spans="6:6" s="407" customFormat="1">
      <c r="F474" s="418"/>
    </row>
    <row r="475" spans="6:6" s="407" customFormat="1">
      <c r="F475" s="418"/>
    </row>
    <row r="476" spans="6:6" s="407" customFormat="1">
      <c r="F476" s="418"/>
    </row>
    <row r="477" spans="6:6" s="407" customFormat="1">
      <c r="F477" s="418"/>
    </row>
    <row r="478" spans="6:6" s="407" customFormat="1">
      <c r="F478" s="418"/>
    </row>
    <row r="479" spans="6:6" s="407" customFormat="1">
      <c r="F479" s="418"/>
    </row>
    <row r="480" spans="6:6" s="407" customFormat="1">
      <c r="F480" s="418"/>
    </row>
    <row r="481" spans="6:6" s="407" customFormat="1">
      <c r="F481" s="418"/>
    </row>
    <row r="482" spans="6:6" s="407" customFormat="1">
      <c r="F482" s="418"/>
    </row>
    <row r="483" spans="6:6" s="407" customFormat="1">
      <c r="F483" s="418"/>
    </row>
    <row r="484" spans="6:6" s="407" customFormat="1">
      <c r="F484" s="418"/>
    </row>
    <row r="485" spans="6:6" s="407" customFormat="1">
      <c r="F485" s="418"/>
    </row>
    <row r="486" spans="6:6" s="407" customFormat="1">
      <c r="F486" s="418"/>
    </row>
    <row r="487" spans="6:6" s="407" customFormat="1">
      <c r="F487" s="418"/>
    </row>
    <row r="488" spans="6:6" s="407" customFormat="1">
      <c r="F488" s="418"/>
    </row>
    <row r="489" spans="6:6" s="407" customFormat="1">
      <c r="F489" s="418"/>
    </row>
    <row r="490" spans="6:6" s="407" customFormat="1">
      <c r="F490" s="418"/>
    </row>
    <row r="491" spans="6:6" s="407" customFormat="1">
      <c r="F491" s="418"/>
    </row>
    <row r="492" spans="6:6" s="407" customFormat="1">
      <c r="F492" s="418"/>
    </row>
    <row r="493" spans="6:6" s="407" customFormat="1">
      <c r="F493" s="418"/>
    </row>
    <row r="494" spans="6:6" s="407" customFormat="1">
      <c r="F494" s="418"/>
    </row>
    <row r="495" spans="6:6" s="407" customFormat="1">
      <c r="F495" s="418"/>
    </row>
    <row r="496" spans="6:6" s="407" customFormat="1">
      <c r="F496" s="418"/>
    </row>
    <row r="497" spans="6:6" s="407" customFormat="1">
      <c r="F497" s="418"/>
    </row>
    <row r="498" spans="6:6" s="407" customFormat="1">
      <c r="F498" s="418"/>
    </row>
    <row r="499" spans="6:6" s="407" customFormat="1">
      <c r="F499" s="418"/>
    </row>
    <row r="500" spans="6:6" s="407" customFormat="1">
      <c r="F500" s="418"/>
    </row>
    <row r="501" spans="6:6" s="407" customFormat="1">
      <c r="F501" s="418"/>
    </row>
    <row r="502" spans="6:6" s="407" customFormat="1">
      <c r="F502" s="418"/>
    </row>
    <row r="503" spans="6:6" s="407" customFormat="1">
      <c r="F503" s="418"/>
    </row>
    <row r="504" spans="6:6" s="407" customFormat="1">
      <c r="F504" s="418"/>
    </row>
    <row r="505" spans="6:6" s="407" customFormat="1">
      <c r="F505" s="418"/>
    </row>
    <row r="506" spans="6:6" s="407" customFormat="1">
      <c r="F506" s="418"/>
    </row>
    <row r="507" spans="6:6" s="407" customFormat="1">
      <c r="F507" s="418"/>
    </row>
    <row r="508" spans="6:6" s="407" customFormat="1">
      <c r="F508" s="418"/>
    </row>
    <row r="509" spans="6:6" s="407" customFormat="1">
      <c r="F509" s="418"/>
    </row>
    <row r="510" spans="6:6" s="407" customFormat="1">
      <c r="F510" s="418"/>
    </row>
    <row r="511" spans="6:6" s="407" customFormat="1">
      <c r="F511" s="418"/>
    </row>
    <row r="512" spans="6:6" s="407" customFormat="1">
      <c r="F512" s="418"/>
    </row>
    <row r="513" spans="6:6" s="407" customFormat="1">
      <c r="F513" s="418"/>
    </row>
    <row r="514" spans="6:6" s="407" customFormat="1">
      <c r="F514" s="418"/>
    </row>
    <row r="515" spans="6:6" s="407" customFormat="1">
      <c r="F515" s="418"/>
    </row>
    <row r="516" spans="6:6" s="407" customFormat="1">
      <c r="F516" s="418"/>
    </row>
    <row r="517" spans="6:6" s="407" customFormat="1">
      <c r="F517" s="418"/>
    </row>
    <row r="518" spans="6:6" s="407" customFormat="1">
      <c r="F518" s="418"/>
    </row>
    <row r="519" spans="6:6" s="407" customFormat="1">
      <c r="F519" s="418"/>
    </row>
    <row r="520" spans="6:6" s="407" customFormat="1">
      <c r="F520" s="418"/>
    </row>
    <row r="521" spans="6:6" s="407" customFormat="1">
      <c r="F521" s="418"/>
    </row>
    <row r="522" spans="6:6" s="407" customFormat="1">
      <c r="F522" s="418"/>
    </row>
    <row r="523" spans="6:6" s="407" customFormat="1">
      <c r="F523" s="418"/>
    </row>
    <row r="524" spans="6:6" s="407" customFormat="1">
      <c r="F524" s="418"/>
    </row>
    <row r="525" spans="6:6" s="407" customFormat="1">
      <c r="F525" s="418"/>
    </row>
    <row r="526" spans="6:6" s="407" customFormat="1">
      <c r="F526" s="418"/>
    </row>
    <row r="527" spans="6:6" s="407" customFormat="1">
      <c r="F527" s="418"/>
    </row>
    <row r="528" spans="6:6" s="407" customFormat="1">
      <c r="F528" s="418"/>
    </row>
    <row r="529" spans="6:6" s="407" customFormat="1">
      <c r="F529" s="418"/>
    </row>
    <row r="530" spans="6:6" s="407" customFormat="1">
      <c r="F530" s="418"/>
    </row>
    <row r="531" spans="6:6" s="407" customFormat="1">
      <c r="F531" s="418"/>
    </row>
    <row r="532" spans="6:6" s="407" customFormat="1">
      <c r="F532" s="418"/>
    </row>
    <row r="533" spans="6:6" s="407" customFormat="1">
      <c r="F533" s="418"/>
    </row>
    <row r="534" spans="6:6" s="407" customFormat="1">
      <c r="F534" s="418"/>
    </row>
    <row r="535" spans="6:6" s="407" customFormat="1">
      <c r="F535" s="418"/>
    </row>
    <row r="536" spans="6:6" s="407" customFormat="1">
      <c r="F536" s="418"/>
    </row>
    <row r="537" spans="6:6" s="407" customFormat="1">
      <c r="F537" s="418"/>
    </row>
    <row r="538" spans="6:6" s="407" customFormat="1">
      <c r="F538" s="418"/>
    </row>
    <row r="539" spans="6:6" s="407" customFormat="1">
      <c r="F539" s="418"/>
    </row>
    <row r="540" spans="6:6" s="407" customFormat="1">
      <c r="F540" s="418"/>
    </row>
    <row r="541" spans="6:6" s="407" customFormat="1">
      <c r="F541" s="418"/>
    </row>
    <row r="542" spans="6:6" s="407" customFormat="1">
      <c r="F542" s="418"/>
    </row>
    <row r="543" spans="6:6" s="407" customFormat="1">
      <c r="F543" s="418"/>
    </row>
    <row r="544" spans="6:6" s="407" customFormat="1">
      <c r="F544" s="418"/>
    </row>
    <row r="545" spans="6:6" s="407" customFormat="1">
      <c r="F545" s="418"/>
    </row>
    <row r="546" spans="6:6" s="407" customFormat="1">
      <c r="F546" s="418"/>
    </row>
    <row r="547" spans="6:6" s="407" customFormat="1">
      <c r="F547" s="418"/>
    </row>
    <row r="548" spans="6:6" s="407" customFormat="1">
      <c r="F548" s="418"/>
    </row>
    <row r="549" spans="6:6" s="407" customFormat="1">
      <c r="F549" s="418"/>
    </row>
    <row r="550" spans="6:6" s="407" customFormat="1">
      <c r="F550" s="418"/>
    </row>
    <row r="551" spans="6:6" s="407" customFormat="1">
      <c r="F551" s="418"/>
    </row>
    <row r="552" spans="6:6" s="407" customFormat="1">
      <c r="F552" s="418"/>
    </row>
    <row r="553" spans="6:6" s="407" customFormat="1">
      <c r="F553" s="418"/>
    </row>
    <row r="554" spans="6:6" s="407" customFormat="1">
      <c r="F554" s="418"/>
    </row>
    <row r="555" spans="6:6" s="407" customFormat="1">
      <c r="F555" s="418"/>
    </row>
    <row r="556" spans="6:6" s="407" customFormat="1">
      <c r="F556" s="418"/>
    </row>
    <row r="557" spans="6:6" s="407" customFormat="1">
      <c r="F557" s="418"/>
    </row>
    <row r="558" spans="6:6" s="407" customFormat="1">
      <c r="F558" s="418"/>
    </row>
    <row r="559" spans="6:6" s="407" customFormat="1">
      <c r="F559" s="418"/>
    </row>
    <row r="560" spans="6:6" s="407" customFormat="1">
      <c r="F560" s="418"/>
    </row>
    <row r="561" spans="2:6" s="407" customFormat="1">
      <c r="F561" s="418"/>
    </row>
    <row r="562" spans="2:6" s="407" customFormat="1">
      <c r="F562" s="418"/>
    </row>
    <row r="563" spans="2:6" s="407" customFormat="1">
      <c r="F563" s="418"/>
    </row>
    <row r="564" spans="2:6">
      <c r="B564" s="407"/>
      <c r="C564" s="407"/>
      <c r="D564" s="407"/>
      <c r="E564" s="407"/>
      <c r="F564" s="418"/>
    </row>
  </sheetData>
  <sheetProtection formatCells="0" formatColumns="0" formatRows="0" insertColumns="0" insertRows="0" insertHyperlinks="0" deleteColumns="0" deleteRows="0" sort="0" autoFilter="0" pivotTables="0"/>
  <mergeCells count="3">
    <mergeCell ref="B2:D2"/>
    <mergeCell ref="B3:D3"/>
    <mergeCell ref="B4:E4"/>
  </mergeCells>
  <phoneticPr fontId="0" type="noConversion"/>
  <printOptions horizontalCentered="1" verticalCentered="1"/>
  <pageMargins left="0.27559055118110237" right="0.27559055118110237" top="0.47244094488188981" bottom="0.31496062992125984" header="0.6692913385826772" footer="0.51181102362204722"/>
  <pageSetup paperSize="9" scale="60" orientation="portrait" horizontalDpi="4294967292" verticalDpi="300" r:id="rId1"/>
  <headerFooter alignWithMargins="0">
    <oddHeader xml:space="preserve">&amp;L                     &amp;R      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B1:S50"/>
  <sheetViews>
    <sheetView zoomScale="79" zoomScaleNormal="79" workbookViewId="0">
      <selection activeCell="B2" sqref="B2:M50"/>
    </sheetView>
  </sheetViews>
  <sheetFormatPr baseColWidth="10" defaultColWidth="11.42578125" defaultRowHeight="12.75"/>
  <cols>
    <col min="1" max="1" width="11.42578125" style="722"/>
    <col min="2" max="2" width="2.7109375" style="722" customWidth="1"/>
    <col min="3" max="3" width="23.5703125" style="722" customWidth="1"/>
    <col min="4" max="4" width="29.28515625" style="722" customWidth="1"/>
    <col min="5" max="5" width="20.28515625" style="722" customWidth="1"/>
    <col min="6" max="6" width="20.7109375" style="722" customWidth="1"/>
    <col min="7" max="7" width="19.42578125" style="722" customWidth="1"/>
    <col min="8" max="8" width="15.85546875" style="722" customWidth="1"/>
    <col min="9" max="9" width="15.28515625" style="722" customWidth="1"/>
    <col min="10" max="10" width="16.42578125" style="722" customWidth="1"/>
    <col min="11" max="11" width="15.7109375" style="722" customWidth="1"/>
    <col min="12" max="12" width="15.28515625" style="722" customWidth="1"/>
    <col min="13" max="13" width="19" style="722" customWidth="1"/>
    <col min="14" max="14" width="11.42578125" style="722"/>
    <col min="15" max="16" width="5" style="722" hidden="1" customWidth="1"/>
    <col min="17" max="17" width="11.42578125" style="722" hidden="1" customWidth="1"/>
    <col min="18" max="16384" width="11.42578125" style="722"/>
  </cols>
  <sheetData>
    <row r="1" spans="2:13" ht="25.5" customHeight="1" thickBot="1"/>
    <row r="2" spans="2:13" ht="44.45" customHeight="1">
      <c r="B2" s="1031" t="s">
        <v>215</v>
      </c>
      <c r="C2" s="1032"/>
      <c r="D2" s="1032"/>
      <c r="E2" s="1032"/>
      <c r="F2" s="1032"/>
      <c r="G2" s="1032"/>
      <c r="H2" s="1032"/>
      <c r="I2" s="1032"/>
      <c r="J2" s="1032"/>
      <c r="K2" s="1032"/>
      <c r="L2" s="1033"/>
      <c r="M2" s="723">
        <f>CPYG!E2</f>
        <v>2017</v>
      </c>
    </row>
    <row r="3" spans="2:13" ht="24.6" customHeight="1">
      <c r="B3" s="1038" t="str">
        <f>'ORGANOS DE GOBIERNO'!B4:I4</f>
        <v>ENTIDAD: INSTITUTO VOLCANOLOGICO DE CANARIAS</v>
      </c>
      <c r="C3" s="1039"/>
      <c r="D3" s="1039"/>
      <c r="E3" s="1039"/>
      <c r="F3" s="1039"/>
      <c r="G3" s="1039"/>
      <c r="H3" s="1039"/>
      <c r="I3" s="1039"/>
      <c r="J3" s="1039"/>
      <c r="K3" s="1039"/>
      <c r="L3" s="1040"/>
      <c r="M3" s="237" t="s">
        <v>203</v>
      </c>
    </row>
    <row r="4" spans="2:13" ht="23.25" customHeight="1" thickBot="1">
      <c r="B4" s="1034" t="s">
        <v>391</v>
      </c>
      <c r="C4" s="1035"/>
      <c r="D4" s="1035"/>
      <c r="E4" s="1035"/>
      <c r="F4" s="1035"/>
      <c r="G4" s="1035"/>
      <c r="H4" s="1036"/>
      <c r="I4" s="1036"/>
      <c r="J4" s="1036"/>
      <c r="K4" s="1036"/>
      <c r="L4" s="1036"/>
      <c r="M4" s="1037"/>
    </row>
    <row r="5" spans="2:13" ht="28.9" customHeight="1">
      <c r="B5" s="1041" t="s">
        <v>419</v>
      </c>
      <c r="C5" s="1042"/>
      <c r="D5" s="1042"/>
      <c r="E5" s="1042" t="s">
        <v>427</v>
      </c>
      <c r="F5" s="1042"/>
      <c r="G5" s="1045"/>
      <c r="H5" s="1042" t="s">
        <v>392</v>
      </c>
      <c r="I5" s="1042"/>
      <c r="J5" s="1045"/>
      <c r="K5" s="1041" t="s">
        <v>393</v>
      </c>
      <c r="L5" s="1042"/>
      <c r="M5" s="1045"/>
    </row>
    <row r="6" spans="2:13" ht="28.9" customHeight="1" thickBot="1">
      <c r="B6" s="1043"/>
      <c r="C6" s="1044"/>
      <c r="D6" s="1044"/>
      <c r="E6" s="725" t="s">
        <v>394</v>
      </c>
      <c r="F6" s="725" t="s">
        <v>395</v>
      </c>
      <c r="G6" s="726" t="s">
        <v>515</v>
      </c>
      <c r="H6" s="725" t="s">
        <v>394</v>
      </c>
      <c r="I6" s="725" t="s">
        <v>395</v>
      </c>
      <c r="J6" s="726" t="s">
        <v>515</v>
      </c>
      <c r="K6" s="724" t="s">
        <v>394</v>
      </c>
      <c r="L6" s="725" t="s">
        <v>395</v>
      </c>
      <c r="M6" s="726" t="s">
        <v>515</v>
      </c>
    </row>
    <row r="7" spans="2:13" ht="28.9" customHeight="1">
      <c r="B7" s="727" t="s">
        <v>396</v>
      </c>
      <c r="C7" s="728"/>
      <c r="D7" s="729"/>
      <c r="E7" s="906">
        <f>+E8+E9</f>
        <v>0</v>
      </c>
      <c r="F7" s="906">
        <f>+F8+F9</f>
        <v>0</v>
      </c>
      <c r="G7" s="730"/>
      <c r="H7" s="906">
        <f>+H8+H9</f>
        <v>0</v>
      </c>
      <c r="I7" s="906">
        <f>+I8+I9</f>
        <v>0</v>
      </c>
      <c r="J7" s="730"/>
      <c r="K7" s="735">
        <f>+K8+K9</f>
        <v>0</v>
      </c>
      <c r="L7" s="906">
        <f>+L8+L9</f>
        <v>0</v>
      </c>
      <c r="M7" s="730"/>
    </row>
    <row r="8" spans="2:13" ht="18" customHeight="1">
      <c r="B8" s="731"/>
      <c r="C8" s="732"/>
      <c r="D8" s="733" t="s">
        <v>397</v>
      </c>
      <c r="E8" s="906"/>
      <c r="F8" s="906"/>
      <c r="G8" s="730"/>
      <c r="H8" s="906"/>
      <c r="I8" s="906"/>
      <c r="J8" s="730"/>
      <c r="K8" s="735"/>
      <c r="L8" s="906"/>
      <c r="M8" s="730"/>
    </row>
    <row r="9" spans="2:13" ht="25.5" customHeight="1">
      <c r="B9" s="731"/>
      <c r="C9" s="732"/>
      <c r="D9" s="733" t="s">
        <v>398</v>
      </c>
      <c r="E9" s="906"/>
      <c r="F9" s="906"/>
      <c r="G9" s="730"/>
      <c r="H9" s="906"/>
      <c r="I9" s="906"/>
      <c r="J9" s="730"/>
      <c r="K9" s="735"/>
      <c r="L9" s="906"/>
      <c r="M9" s="730"/>
    </row>
    <row r="10" spans="2:13" ht="28.9" customHeight="1">
      <c r="B10" s="727" t="s">
        <v>399</v>
      </c>
      <c r="C10" s="732"/>
      <c r="D10" s="734"/>
      <c r="E10" s="906">
        <f>+E11+E15</f>
        <v>34171.9</v>
      </c>
      <c r="F10" s="906">
        <f>+F11+F15</f>
        <v>2392.0330000000004</v>
      </c>
      <c r="G10" s="730"/>
      <c r="H10" s="906">
        <f>+H11+H15</f>
        <v>7000</v>
      </c>
      <c r="I10" s="906">
        <f>+I11+I15</f>
        <v>490.00000000000006</v>
      </c>
      <c r="J10" s="730"/>
      <c r="K10" s="735">
        <f>+K11+K15</f>
        <v>7000</v>
      </c>
      <c r="L10" s="906">
        <f>+L11+L15</f>
        <v>490.00000000000006</v>
      </c>
      <c r="M10" s="730"/>
    </row>
    <row r="11" spans="2:13" ht="30" customHeight="1">
      <c r="B11" s="731"/>
      <c r="C11" s="736" t="s">
        <v>400</v>
      </c>
      <c r="D11" s="733" t="s">
        <v>401</v>
      </c>
      <c r="E11" s="905">
        <f>+E12+E13+E14</f>
        <v>0</v>
      </c>
      <c r="F11" s="905">
        <f>+F12+F13+F14</f>
        <v>0</v>
      </c>
      <c r="G11" s="730"/>
      <c r="H11" s="905">
        <f>+H12+H13+H14</f>
        <v>0</v>
      </c>
      <c r="I11" s="905">
        <f>+I12+I13+I14</f>
        <v>0</v>
      </c>
      <c r="J11" s="730"/>
      <c r="K11" s="907">
        <f>+K12+K13+K14</f>
        <v>0</v>
      </c>
      <c r="L11" s="905">
        <f>+L12+L13+L14</f>
        <v>0</v>
      </c>
      <c r="M11" s="730"/>
    </row>
    <row r="12" spans="2:13" ht="18" customHeight="1">
      <c r="B12" s="731"/>
      <c r="D12" s="733"/>
      <c r="E12" s="906"/>
      <c r="F12" s="906"/>
      <c r="G12" s="730"/>
      <c r="H12" s="906"/>
      <c r="I12" s="906"/>
      <c r="J12" s="730"/>
      <c r="K12" s="735"/>
      <c r="L12" s="906"/>
      <c r="M12" s="730"/>
    </row>
    <row r="13" spans="2:13" ht="18" customHeight="1">
      <c r="B13" s="731"/>
      <c r="C13" s="737"/>
      <c r="D13" s="733"/>
      <c r="E13" s="906"/>
      <c r="F13" s="906"/>
      <c r="G13" s="730"/>
      <c r="H13" s="906"/>
      <c r="I13" s="906"/>
      <c r="J13" s="730"/>
      <c r="K13" s="735"/>
      <c r="L13" s="906"/>
      <c r="M13" s="730"/>
    </row>
    <row r="14" spans="2:13" ht="18" customHeight="1">
      <c r="B14" s="731"/>
      <c r="C14" s="737"/>
      <c r="D14" s="733"/>
      <c r="E14" s="906"/>
      <c r="F14" s="906"/>
      <c r="G14" s="730"/>
      <c r="H14" s="906"/>
      <c r="I14" s="906"/>
      <c r="J14" s="730"/>
      <c r="K14" s="735"/>
      <c r="L14" s="906"/>
      <c r="M14" s="730"/>
    </row>
    <row r="15" spans="2:13" ht="26.45" customHeight="1">
      <c r="B15" s="731"/>
      <c r="C15" s="736" t="s">
        <v>400</v>
      </c>
      <c r="D15" s="733" t="s">
        <v>402</v>
      </c>
      <c r="E15" s="908">
        <f>+E16+E17+E18</f>
        <v>34171.9</v>
      </c>
      <c r="F15" s="908">
        <f>+F16+F17+F18</f>
        <v>2392.0330000000004</v>
      </c>
      <c r="G15" s="861"/>
      <c r="H15" s="908">
        <f>+H16+H17+H18</f>
        <v>7000</v>
      </c>
      <c r="I15" s="908">
        <f>+I16+I17+I18</f>
        <v>490.00000000000006</v>
      </c>
      <c r="J15" s="861"/>
      <c r="K15" s="909">
        <f>+K16+K17+K18</f>
        <v>7000</v>
      </c>
      <c r="L15" s="908">
        <f>+L16+L17+L18</f>
        <v>490.00000000000006</v>
      </c>
      <c r="M15" s="861"/>
    </row>
    <row r="16" spans="2:13" ht="18" customHeight="1">
      <c r="B16" s="731"/>
      <c r="C16" s="737" t="s">
        <v>785</v>
      </c>
      <c r="D16" s="733"/>
      <c r="E16" s="862">
        <v>8371.9</v>
      </c>
      <c r="F16" s="862">
        <f>+E16*0.07</f>
        <v>586.03300000000002</v>
      </c>
      <c r="G16" s="863"/>
      <c r="H16" s="862">
        <v>7000</v>
      </c>
      <c r="I16" s="862">
        <f>+H16*0.07</f>
        <v>490.00000000000006</v>
      </c>
      <c r="J16" s="863"/>
      <c r="K16" s="864">
        <v>7000</v>
      </c>
      <c r="L16" s="862">
        <f>+K16*0.07</f>
        <v>490.00000000000006</v>
      </c>
      <c r="M16" s="863"/>
    </row>
    <row r="17" spans="2:19" ht="18" customHeight="1">
      <c r="B17" s="731"/>
      <c r="C17" s="737" t="s">
        <v>786</v>
      </c>
      <c r="D17" s="733"/>
      <c r="E17" s="862">
        <v>25800</v>
      </c>
      <c r="F17" s="862">
        <f>+E17*0.07</f>
        <v>1806.0000000000002</v>
      </c>
      <c r="G17" s="863"/>
      <c r="H17" s="862"/>
      <c r="I17" s="862"/>
      <c r="J17" s="863"/>
      <c r="K17" s="864"/>
      <c r="L17" s="862"/>
      <c r="M17" s="863"/>
    </row>
    <row r="18" spans="2:19" ht="18" customHeight="1">
      <c r="B18" s="731"/>
      <c r="C18" s="732"/>
      <c r="D18" s="734"/>
      <c r="E18" s="862"/>
      <c r="F18" s="862"/>
      <c r="G18" s="863"/>
      <c r="H18" s="862"/>
      <c r="I18" s="862"/>
      <c r="J18" s="863"/>
      <c r="K18" s="864"/>
      <c r="L18" s="862"/>
      <c r="M18" s="863"/>
      <c r="S18" s="865"/>
    </row>
    <row r="19" spans="2:19" ht="26.45" customHeight="1">
      <c r="B19" s="731" t="s">
        <v>403</v>
      </c>
      <c r="C19" s="858"/>
      <c r="D19" s="733"/>
      <c r="E19" s="908">
        <f>+E20+E24+E28+E29</f>
        <v>3002.27</v>
      </c>
      <c r="F19" s="908">
        <f>+F20+F24+F28+F29</f>
        <v>157.66</v>
      </c>
      <c r="G19" s="861"/>
      <c r="H19" s="908">
        <f>+H20+H24+H28+H29</f>
        <v>4435.2700000000004</v>
      </c>
      <c r="I19" s="908">
        <f>+I20+I24+I28+I29</f>
        <v>189</v>
      </c>
      <c r="J19" s="861"/>
      <c r="K19" s="909">
        <f>+K20+K24+K28+K29</f>
        <v>0</v>
      </c>
      <c r="L19" s="908">
        <f>+L20+L24+L28+L29</f>
        <v>0</v>
      </c>
      <c r="M19" s="861"/>
    </row>
    <row r="20" spans="2:19" ht="28.9" customHeight="1">
      <c r="B20" s="727"/>
      <c r="C20" s="859" t="s">
        <v>404</v>
      </c>
      <c r="D20" s="860" t="s">
        <v>405</v>
      </c>
      <c r="E20" s="906">
        <f>+E21+E22+E23</f>
        <v>0</v>
      </c>
      <c r="F20" s="906">
        <f>+F21+F22+F23</f>
        <v>0</v>
      </c>
      <c r="G20" s="730"/>
      <c r="H20" s="906">
        <f>+H21+H22+H23</f>
        <v>0</v>
      </c>
      <c r="I20" s="906">
        <f>+I21+I22+I23</f>
        <v>0</v>
      </c>
      <c r="J20" s="730"/>
      <c r="K20" s="735">
        <f>+K21+K22+K23</f>
        <v>0</v>
      </c>
      <c r="L20" s="906">
        <f>+L21+L22+L23</f>
        <v>0</v>
      </c>
      <c r="M20" s="730"/>
    </row>
    <row r="21" spans="2:19" ht="18" customHeight="1">
      <c r="B21" s="731"/>
      <c r="C21" s="737"/>
      <c r="D21" s="733"/>
      <c r="E21" s="862"/>
      <c r="F21" s="862"/>
      <c r="G21" s="863"/>
      <c r="H21" s="862"/>
      <c r="I21" s="862"/>
      <c r="J21" s="863"/>
      <c r="K21" s="864"/>
      <c r="L21" s="862"/>
      <c r="M21" s="863"/>
    </row>
    <row r="22" spans="2:19" ht="18" customHeight="1">
      <c r="B22" s="727"/>
      <c r="C22" s="732"/>
      <c r="D22" s="734"/>
      <c r="E22" s="906"/>
      <c r="F22" s="906"/>
      <c r="G22" s="730"/>
      <c r="H22" s="906"/>
      <c r="I22" s="906"/>
      <c r="J22" s="730"/>
      <c r="K22" s="735"/>
      <c r="L22" s="906"/>
      <c r="M22" s="730"/>
    </row>
    <row r="23" spans="2:19" ht="18" customHeight="1">
      <c r="B23" s="727"/>
      <c r="C23" s="732"/>
      <c r="D23" s="734"/>
      <c r="E23" s="906"/>
      <c r="F23" s="906"/>
      <c r="G23" s="730"/>
      <c r="H23" s="906"/>
      <c r="I23" s="906"/>
      <c r="J23" s="730"/>
      <c r="K23" s="735"/>
      <c r="L23" s="906"/>
      <c r="M23" s="730"/>
    </row>
    <row r="24" spans="2:19" ht="25.5" customHeight="1">
      <c r="B24" s="727"/>
      <c r="C24" s="737" t="s">
        <v>404</v>
      </c>
      <c r="D24" s="733" t="s">
        <v>406</v>
      </c>
      <c r="E24" s="862">
        <f>+E25+E26+E27</f>
        <v>450</v>
      </c>
      <c r="F24" s="862">
        <f>+F25+F26+F27</f>
        <v>31.5</v>
      </c>
      <c r="G24" s="861"/>
      <c r="H24" s="862">
        <f>+H25+H26+H27</f>
        <v>2850</v>
      </c>
      <c r="I24" s="862">
        <f>+I25+I26+I27</f>
        <v>189</v>
      </c>
      <c r="J24" s="861"/>
      <c r="K24" s="864">
        <f>+K25+K26+K27</f>
        <v>0</v>
      </c>
      <c r="L24" s="862">
        <f>+L25+L26+L27</f>
        <v>0</v>
      </c>
      <c r="M24" s="861"/>
    </row>
    <row r="25" spans="2:19" ht="18" customHeight="1">
      <c r="B25" s="731"/>
      <c r="C25" s="737" t="s">
        <v>787</v>
      </c>
      <c r="D25" s="733"/>
      <c r="E25" s="862">
        <v>450</v>
      </c>
      <c r="F25" s="862">
        <v>31.5</v>
      </c>
      <c r="G25" s="863"/>
      <c r="H25" s="862">
        <v>2850</v>
      </c>
      <c r="I25" s="862">
        <v>189</v>
      </c>
      <c r="J25" s="863"/>
      <c r="K25" s="864"/>
      <c r="L25" s="862"/>
      <c r="M25" s="863"/>
    </row>
    <row r="26" spans="2:19" ht="18" customHeight="1">
      <c r="B26" s="727"/>
      <c r="C26" s="732"/>
      <c r="D26" s="734"/>
      <c r="E26" s="906"/>
      <c r="F26" s="906"/>
      <c r="G26" s="730"/>
      <c r="H26" s="906"/>
      <c r="I26" s="906"/>
      <c r="J26" s="730"/>
      <c r="K26" s="735"/>
      <c r="L26" s="906"/>
      <c r="M26" s="730"/>
    </row>
    <row r="27" spans="2:19" ht="18" customHeight="1">
      <c r="B27" s="727"/>
      <c r="C27" s="732"/>
      <c r="D27" s="734"/>
      <c r="E27" s="906"/>
      <c r="F27" s="906"/>
      <c r="G27" s="730"/>
      <c r="H27" s="906"/>
      <c r="I27" s="906"/>
      <c r="J27" s="730"/>
      <c r="K27" s="735"/>
      <c r="L27" s="906"/>
      <c r="M27" s="730"/>
    </row>
    <row r="28" spans="2:19" ht="18" customHeight="1">
      <c r="B28" s="727"/>
      <c r="C28" s="737" t="s">
        <v>407</v>
      </c>
      <c r="D28" s="733" t="s">
        <v>408</v>
      </c>
      <c r="E28" s="906"/>
      <c r="F28" s="906"/>
      <c r="G28" s="730"/>
      <c r="H28" s="906"/>
      <c r="I28" s="906"/>
      <c r="J28" s="730"/>
      <c r="K28" s="735"/>
      <c r="L28" s="906"/>
      <c r="M28" s="730"/>
    </row>
    <row r="29" spans="2:19" ht="28.5" customHeight="1">
      <c r="B29" s="727"/>
      <c r="C29" s="737"/>
      <c r="D29" s="733" t="s">
        <v>409</v>
      </c>
      <c r="E29" s="862">
        <f>1180.37+1371.9</f>
        <v>2552.27</v>
      </c>
      <c r="F29" s="862">
        <f>30.13+96.03</f>
        <v>126.16</v>
      </c>
      <c r="G29" s="863"/>
      <c r="H29" s="862">
        <f>685.27+900</f>
        <v>1585.27</v>
      </c>
      <c r="I29" s="862"/>
      <c r="J29" s="863"/>
      <c r="K29" s="864"/>
      <c r="L29" s="862"/>
      <c r="M29" s="863"/>
    </row>
    <row r="30" spans="2:19" s="739" customFormat="1" ht="22.5" customHeight="1" thickBot="1">
      <c r="B30" s="1053" t="s">
        <v>410</v>
      </c>
      <c r="C30" s="1054"/>
      <c r="D30" s="1054"/>
      <c r="E30" s="866">
        <f>+E19+E10+E7</f>
        <v>37174.17</v>
      </c>
      <c r="F30" s="866">
        <f>+F19+F10+F7</f>
        <v>2549.6930000000002</v>
      </c>
      <c r="G30" s="867"/>
      <c r="H30" s="866">
        <f>+H19+H10+H7</f>
        <v>11435.27</v>
      </c>
      <c r="I30" s="866">
        <f>+I19+I10+I7</f>
        <v>679</v>
      </c>
      <c r="J30" s="867"/>
      <c r="K30" s="868">
        <f>+K19+K10+K7</f>
        <v>7000</v>
      </c>
      <c r="L30" s="866">
        <f>+L19+L10+L7</f>
        <v>490.00000000000006</v>
      </c>
      <c r="M30" s="738"/>
      <c r="O30" s="740">
        <f>+I30-CPYG!D7</f>
        <v>-10756.27</v>
      </c>
      <c r="P30" s="740">
        <f>+L30-CPYG!E7</f>
        <v>-6510</v>
      </c>
    </row>
    <row r="31" spans="2:19" ht="9" customHeight="1">
      <c r="B31" s="1052"/>
      <c r="C31" s="1052"/>
      <c r="D31" s="1052"/>
      <c r="E31" s="1052"/>
      <c r="F31" s="1052"/>
      <c r="G31" s="1052"/>
      <c r="H31" s="1052"/>
      <c r="I31" s="1052"/>
      <c r="J31" s="1052"/>
      <c r="K31" s="1052"/>
      <c r="L31" s="1052"/>
    </row>
    <row r="32" spans="2:19" ht="33" customHeight="1" thickBot="1">
      <c r="B32" s="1013" t="s">
        <v>411</v>
      </c>
      <c r="C32" s="1014"/>
      <c r="D32" s="1014"/>
      <c r="E32" s="1014"/>
      <c r="F32" s="1015"/>
      <c r="G32" s="726" t="s">
        <v>427</v>
      </c>
      <c r="H32" s="726" t="s">
        <v>392</v>
      </c>
      <c r="I32" s="759" t="s">
        <v>393</v>
      </c>
      <c r="J32" s="1046" t="s">
        <v>515</v>
      </c>
      <c r="K32" s="1047"/>
      <c r="L32" s="1047"/>
      <c r="M32" s="1048"/>
    </row>
    <row r="33" spans="2:13" ht="15" customHeight="1">
      <c r="B33" s="1055" t="s">
        <v>420</v>
      </c>
      <c r="C33" s="1056"/>
      <c r="D33" s="1056"/>
      <c r="E33" s="1056"/>
      <c r="F33" s="1057"/>
      <c r="G33" s="751">
        <f>SUM(G34:G36)</f>
        <v>0</v>
      </c>
      <c r="H33" s="751">
        <f>SUM(H34:H36)</f>
        <v>0</v>
      </c>
      <c r="I33" s="751">
        <f>SUM(I34:I36)</f>
        <v>0</v>
      </c>
      <c r="J33" s="1049"/>
      <c r="K33" s="1050"/>
      <c r="L33" s="1050"/>
      <c r="M33" s="1051"/>
    </row>
    <row r="34" spans="2:13" ht="15" customHeight="1">
      <c r="B34" s="1058"/>
      <c r="C34" s="1059"/>
      <c r="D34" s="1059"/>
      <c r="E34" s="1059"/>
      <c r="F34" s="1060"/>
      <c r="G34" s="760"/>
      <c r="H34" s="752"/>
      <c r="I34" s="752"/>
      <c r="J34" s="1064"/>
      <c r="K34" s="1065"/>
      <c r="L34" s="1065"/>
      <c r="M34" s="1066"/>
    </row>
    <row r="35" spans="2:13" ht="15" customHeight="1">
      <c r="B35" s="1003"/>
      <c r="C35" s="1004"/>
      <c r="D35" s="1004"/>
      <c r="E35" s="1004"/>
      <c r="F35" s="1005"/>
      <c r="G35" s="761"/>
      <c r="H35" s="753"/>
      <c r="I35" s="753"/>
      <c r="J35" s="1028"/>
      <c r="K35" s="1029"/>
      <c r="L35" s="1029"/>
      <c r="M35" s="1030"/>
    </row>
    <row r="36" spans="2:13" ht="15" customHeight="1">
      <c r="B36" s="1006"/>
      <c r="C36" s="1007"/>
      <c r="D36" s="1007"/>
      <c r="E36" s="1007"/>
      <c r="F36" s="1008"/>
      <c r="G36" s="762"/>
      <c r="H36" s="754"/>
      <c r="I36" s="754"/>
      <c r="J36" s="1000"/>
      <c r="K36" s="1001"/>
      <c r="L36" s="1001"/>
      <c r="M36" s="1002"/>
    </row>
    <row r="37" spans="2:13" ht="15" customHeight="1">
      <c r="B37" s="1061" t="s">
        <v>421</v>
      </c>
      <c r="C37" s="1062"/>
      <c r="D37" s="1062"/>
      <c r="E37" s="1062"/>
      <c r="F37" s="1063"/>
      <c r="G37" s="751">
        <f>+G38+G39+G40</f>
        <v>0</v>
      </c>
      <c r="H37" s="751">
        <f>+H38+H39+H40</f>
        <v>0</v>
      </c>
      <c r="I37" s="758">
        <f>+I38+I39+I40</f>
        <v>0</v>
      </c>
      <c r="J37" s="1049"/>
      <c r="K37" s="1050"/>
      <c r="L37" s="1050"/>
      <c r="M37" s="1051"/>
    </row>
    <row r="38" spans="2:13" ht="15" customHeight="1">
      <c r="B38" s="1058"/>
      <c r="C38" s="1059"/>
      <c r="D38" s="1059"/>
      <c r="E38" s="1059"/>
      <c r="F38" s="1060"/>
      <c r="G38" s="760"/>
      <c r="H38" s="752"/>
      <c r="I38" s="752"/>
      <c r="J38" s="1064"/>
      <c r="K38" s="1065"/>
      <c r="L38" s="1065"/>
      <c r="M38" s="1066"/>
    </row>
    <row r="39" spans="2:13" ht="15" customHeight="1">
      <c r="B39" s="1003"/>
      <c r="C39" s="1004"/>
      <c r="D39" s="1004"/>
      <c r="E39" s="1004"/>
      <c r="F39" s="1005"/>
      <c r="G39" s="761"/>
      <c r="H39" s="753"/>
      <c r="I39" s="753"/>
      <c r="J39" s="1028"/>
      <c r="K39" s="1029"/>
      <c r="L39" s="1029"/>
      <c r="M39" s="1030"/>
    </row>
    <row r="40" spans="2:13" ht="15" customHeight="1">
      <c r="B40" s="1006"/>
      <c r="C40" s="1007"/>
      <c r="D40" s="1007"/>
      <c r="E40" s="1007"/>
      <c r="F40" s="1008"/>
      <c r="G40" s="762"/>
      <c r="H40" s="754"/>
      <c r="I40" s="754"/>
      <c r="J40" s="1000"/>
      <c r="K40" s="1001"/>
      <c r="L40" s="1001"/>
      <c r="M40" s="1002"/>
    </row>
    <row r="41" spans="2:13" ht="6.6" customHeight="1">
      <c r="B41" s="745"/>
      <c r="C41" s="745"/>
      <c r="D41" s="745"/>
      <c r="E41" s="745"/>
      <c r="F41" s="745"/>
      <c r="G41" s="755"/>
      <c r="H41" s="755"/>
      <c r="I41" s="755"/>
      <c r="J41" s="741"/>
    </row>
    <row r="42" spans="2:13" ht="26.25" customHeight="1" thickBot="1">
      <c r="B42" s="1013" t="s">
        <v>412</v>
      </c>
      <c r="C42" s="1014"/>
      <c r="D42" s="1014"/>
      <c r="E42" s="1014"/>
      <c r="F42" s="1015"/>
      <c r="G42" s="726" t="s">
        <v>427</v>
      </c>
      <c r="H42" s="726" t="s">
        <v>392</v>
      </c>
      <c r="I42" s="759" t="s">
        <v>393</v>
      </c>
      <c r="J42" s="1019" t="s">
        <v>515</v>
      </c>
      <c r="K42" s="1020"/>
      <c r="L42" s="1020"/>
      <c r="M42" s="1021"/>
    </row>
    <row r="43" spans="2:13" ht="15" customHeight="1">
      <c r="B43" s="1016" t="s">
        <v>413</v>
      </c>
      <c r="C43" s="1017"/>
      <c r="D43" s="1017"/>
      <c r="E43" s="1017"/>
      <c r="F43" s="1018"/>
      <c r="G43" s="756"/>
      <c r="H43" s="756"/>
      <c r="I43" s="756"/>
      <c r="J43" s="1022"/>
      <c r="K43" s="1023"/>
      <c r="L43" s="1023"/>
      <c r="M43" s="1024"/>
    </row>
    <row r="44" spans="2:13" ht="15" customHeight="1">
      <c r="B44" s="1009" t="s">
        <v>414</v>
      </c>
      <c r="C44" s="1010"/>
      <c r="D44" s="1010"/>
      <c r="E44" s="1010"/>
      <c r="F44" s="1011"/>
      <c r="G44" s="757"/>
      <c r="H44" s="757"/>
      <c r="I44" s="757"/>
      <c r="J44" s="1025"/>
      <c r="K44" s="1026"/>
      <c r="L44" s="1026"/>
      <c r="M44" s="1027"/>
    </row>
    <row r="48" spans="2:13">
      <c r="B48" s="742" t="s">
        <v>415</v>
      </c>
      <c r="C48" s="743" t="s">
        <v>416</v>
      </c>
    </row>
    <row r="49" spans="2:13" ht="28.15" customHeight="1">
      <c r="B49" s="742" t="s">
        <v>417</v>
      </c>
      <c r="C49" s="1012" t="s">
        <v>422</v>
      </c>
      <c r="D49" s="1012"/>
      <c r="E49" s="1012"/>
      <c r="F49" s="1012"/>
      <c r="G49" s="1012"/>
      <c r="H49" s="1012"/>
      <c r="I49" s="1012"/>
      <c r="J49" s="1012"/>
      <c r="K49" s="1012"/>
      <c r="L49" s="1012"/>
      <c r="M49" s="1012"/>
    </row>
    <row r="50" spans="2:13" s="744" customFormat="1" ht="24.6" customHeight="1">
      <c r="B50" s="742" t="s">
        <v>418</v>
      </c>
      <c r="C50" s="1012" t="s">
        <v>423</v>
      </c>
      <c r="D50" s="1012"/>
      <c r="E50" s="1012"/>
      <c r="F50" s="1012"/>
      <c r="G50" s="1012"/>
      <c r="H50" s="1012"/>
      <c r="I50" s="1012"/>
      <c r="J50" s="1012"/>
      <c r="K50" s="1012"/>
      <c r="L50" s="1012"/>
      <c r="M50" s="1012"/>
    </row>
  </sheetData>
  <mergeCells count="35">
    <mergeCell ref="J34:M34"/>
    <mergeCell ref="J35:M35"/>
    <mergeCell ref="J36:M36"/>
    <mergeCell ref="J37:M37"/>
    <mergeCell ref="J38:M38"/>
    <mergeCell ref="B34:F34"/>
    <mergeCell ref="B35:F35"/>
    <mergeCell ref="B36:F36"/>
    <mergeCell ref="B38:F38"/>
    <mergeCell ref="B37:F37"/>
    <mergeCell ref="J32:M32"/>
    <mergeCell ref="J33:M33"/>
    <mergeCell ref="E5:G5"/>
    <mergeCell ref="B31:L31"/>
    <mergeCell ref="B30:D30"/>
    <mergeCell ref="B32:F32"/>
    <mergeCell ref="B33:F33"/>
    <mergeCell ref="B2:L2"/>
    <mergeCell ref="B4:M4"/>
    <mergeCell ref="B3:L3"/>
    <mergeCell ref="B5:D6"/>
    <mergeCell ref="H5:J5"/>
    <mergeCell ref="K5:M5"/>
    <mergeCell ref="J40:M40"/>
    <mergeCell ref="B39:F39"/>
    <mergeCell ref="B40:F40"/>
    <mergeCell ref="B44:F44"/>
    <mergeCell ref="C50:M50"/>
    <mergeCell ref="C49:M49"/>
    <mergeCell ref="B42:F42"/>
    <mergeCell ref="B43:F43"/>
    <mergeCell ref="J42:M42"/>
    <mergeCell ref="J43:M43"/>
    <mergeCell ref="J44:M44"/>
    <mergeCell ref="J39:M39"/>
  </mergeCells>
  <phoneticPr fontId="5" type="noConversion"/>
  <printOptions horizontalCentered="1" verticalCentered="1"/>
  <pageMargins left="0.74803149606299213" right="0.74803149606299213" top="0.98425196850393704" bottom="0.98425196850393704" header="0" footer="0"/>
  <pageSetup paperSize="9" scale="4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B1:Q31"/>
  <sheetViews>
    <sheetView zoomScale="75" workbookViewId="0">
      <selection activeCell="B3" sqref="B2:Q31"/>
    </sheetView>
  </sheetViews>
  <sheetFormatPr baseColWidth="10" defaultColWidth="11.5703125" defaultRowHeight="12.75"/>
  <cols>
    <col min="1" max="1" width="11.5703125" style="133" customWidth="1"/>
    <col min="2" max="2" width="15.7109375" style="133" customWidth="1"/>
    <col min="3" max="3" width="43.28515625" style="133" customWidth="1"/>
    <col min="4" max="4" width="10.7109375" style="133" bestFit="1" customWidth="1"/>
    <col min="5" max="5" width="8.140625" style="133" bestFit="1" customWidth="1"/>
    <col min="6" max="6" width="15.140625" style="133" customWidth="1"/>
    <col min="7" max="7" width="14.140625" style="133" customWidth="1"/>
    <col min="8" max="8" width="14.28515625" style="133" bestFit="1" customWidth="1"/>
    <col min="9" max="14" width="11.5703125" style="133" customWidth="1"/>
    <col min="15" max="15" width="13" style="133" bestFit="1" customWidth="1"/>
    <col min="16" max="16384" width="11.5703125" style="133"/>
  </cols>
  <sheetData>
    <row r="1" spans="2:17" ht="13.5" thickBot="1"/>
    <row r="2" spans="2:17">
      <c r="B2" s="950" t="s">
        <v>252</v>
      </c>
      <c r="C2" s="951"/>
      <c r="D2" s="951"/>
      <c r="E2" s="951"/>
      <c r="F2" s="951"/>
      <c r="G2" s="951"/>
      <c r="H2" s="951"/>
      <c r="I2" s="951"/>
      <c r="J2" s="951"/>
      <c r="K2" s="951"/>
      <c r="L2" s="951"/>
      <c r="M2" s="951"/>
      <c r="N2" s="951"/>
      <c r="O2" s="950">
        <v>2017</v>
      </c>
      <c r="P2" s="951"/>
      <c r="Q2" s="1070"/>
    </row>
    <row r="3" spans="2:17" ht="16.149999999999999" customHeight="1">
      <c r="B3" s="1071" t="s">
        <v>273</v>
      </c>
      <c r="C3" s="1072"/>
      <c r="D3" s="1072"/>
      <c r="E3" s="1072"/>
      <c r="F3" s="1072"/>
      <c r="G3" s="1072"/>
      <c r="H3" s="1072"/>
      <c r="I3" s="1072"/>
      <c r="J3" s="1072"/>
      <c r="K3" s="1072"/>
      <c r="L3" s="1072"/>
      <c r="M3" s="1072"/>
      <c r="N3" s="1072"/>
      <c r="O3" s="1071"/>
      <c r="P3" s="1072"/>
      <c r="Q3" s="1073"/>
    </row>
    <row r="4" spans="2:17" ht="19.899999999999999" customHeight="1" thickBot="1">
      <c r="B4" s="1081" t="str">
        <f>CPYG!B3</f>
        <v>ENTIDAD: INSTITUTO VOLCANOLOGICO DE CANARIAS</v>
      </c>
      <c r="C4" s="1082"/>
      <c r="D4" s="1082"/>
      <c r="E4" s="1082"/>
      <c r="F4" s="1082"/>
      <c r="G4" s="1082"/>
      <c r="H4" s="1082"/>
      <c r="I4" s="1082"/>
      <c r="J4" s="1082"/>
      <c r="K4" s="1082"/>
      <c r="L4" s="1082"/>
      <c r="M4" s="1082"/>
      <c r="N4" s="1082"/>
      <c r="O4" s="1067" t="s">
        <v>253</v>
      </c>
      <c r="P4" s="1068"/>
      <c r="Q4" s="1069"/>
    </row>
    <row r="5" spans="2:17" ht="23.45" customHeight="1">
      <c r="B5" s="1074" t="s">
        <v>254</v>
      </c>
      <c r="C5" s="1075"/>
      <c r="D5" s="215"/>
      <c r="E5" s="215"/>
      <c r="F5" s="215"/>
      <c r="G5" s="216"/>
      <c r="H5" s="1074" t="s">
        <v>255</v>
      </c>
      <c r="I5" s="1075"/>
      <c r="J5" s="1075"/>
      <c r="K5" s="1075"/>
      <c r="L5" s="1076"/>
      <c r="M5" s="1077" t="s">
        <v>433</v>
      </c>
      <c r="N5" s="1078"/>
      <c r="O5" s="1078"/>
      <c r="P5" s="1078"/>
      <c r="Q5" s="1079"/>
    </row>
    <row r="6" spans="2:17" ht="53.45" customHeight="1" thickBot="1">
      <c r="B6" s="217" t="s">
        <v>256</v>
      </c>
      <c r="C6" s="218" t="s">
        <v>257</v>
      </c>
      <c r="D6" s="219" t="s">
        <v>258</v>
      </c>
      <c r="E6" s="219" t="s">
        <v>259</v>
      </c>
      <c r="F6" s="219" t="s">
        <v>260</v>
      </c>
      <c r="G6" s="220" t="s">
        <v>428</v>
      </c>
      <c r="H6" s="218">
        <v>2017</v>
      </c>
      <c r="I6" s="218">
        <v>2018</v>
      </c>
      <c r="J6" s="218">
        <v>2019</v>
      </c>
      <c r="K6" s="218">
        <v>2020</v>
      </c>
      <c r="L6" s="221" t="s">
        <v>261</v>
      </c>
      <c r="M6" s="764">
        <v>2017</v>
      </c>
      <c r="N6" s="764">
        <v>2018</v>
      </c>
      <c r="O6" s="764">
        <v>2019</v>
      </c>
      <c r="P6" s="764">
        <v>2020</v>
      </c>
      <c r="Q6" s="765" t="s">
        <v>261</v>
      </c>
    </row>
    <row r="7" spans="2:17" ht="19.899999999999999" customHeight="1">
      <c r="B7" s="540"/>
      <c r="C7" s="541" t="s">
        <v>823</v>
      </c>
      <c r="D7" s="541">
        <v>17</v>
      </c>
      <c r="E7" s="541">
        <v>17</v>
      </c>
      <c r="F7" s="542">
        <f>H7</f>
        <v>295000</v>
      </c>
      <c r="G7" s="543"/>
      <c r="H7" s="544">
        <f>'Inv. NO FIN'!D18</f>
        <v>295000</v>
      </c>
      <c r="I7" s="542"/>
      <c r="J7" s="542"/>
      <c r="K7" s="542"/>
      <c r="L7" s="543"/>
      <c r="M7" s="544"/>
      <c r="N7" s="542"/>
      <c r="O7" s="542"/>
      <c r="P7" s="542"/>
      <c r="Q7" s="543"/>
    </row>
    <row r="8" spans="2:17" ht="19.899999999999999" customHeight="1">
      <c r="B8" s="545"/>
      <c r="C8" s="546"/>
      <c r="D8" s="546"/>
      <c r="E8" s="546"/>
      <c r="F8" s="547"/>
      <c r="G8" s="548"/>
      <c r="H8" s="549"/>
      <c r="I8" s="547"/>
      <c r="J8" s="547"/>
      <c r="K8" s="547"/>
      <c r="L8" s="548"/>
      <c r="M8" s="549"/>
      <c r="N8" s="547"/>
      <c r="O8" s="547"/>
      <c r="P8" s="547"/>
      <c r="Q8" s="548"/>
    </row>
    <row r="9" spans="2:17" ht="19.899999999999999" customHeight="1">
      <c r="B9" s="545"/>
      <c r="C9" s="546"/>
      <c r="D9" s="546"/>
      <c r="E9" s="546"/>
      <c r="F9" s="547"/>
      <c r="G9" s="548"/>
      <c r="H9" s="549"/>
      <c r="I9" s="547"/>
      <c r="J9" s="547"/>
      <c r="K9" s="547"/>
      <c r="L9" s="548"/>
      <c r="M9" s="549"/>
      <c r="N9" s="547"/>
      <c r="O9" s="547"/>
      <c r="P9" s="547"/>
      <c r="Q9" s="548"/>
    </row>
    <row r="10" spans="2:17" ht="19.899999999999999" customHeight="1">
      <c r="B10" s="545"/>
      <c r="C10" s="546"/>
      <c r="D10" s="546"/>
      <c r="E10" s="546"/>
      <c r="F10" s="547"/>
      <c r="G10" s="548"/>
      <c r="H10" s="549"/>
      <c r="I10" s="547"/>
      <c r="J10" s="547"/>
      <c r="K10" s="547"/>
      <c r="L10" s="548"/>
      <c r="M10" s="549"/>
      <c r="N10" s="547"/>
      <c r="O10" s="547"/>
      <c r="P10" s="547"/>
      <c r="Q10" s="548"/>
    </row>
    <row r="11" spans="2:17" ht="19.899999999999999" customHeight="1">
      <c r="B11" s="545"/>
      <c r="C11" s="546"/>
      <c r="D11" s="546"/>
      <c r="E11" s="546"/>
      <c r="F11" s="547"/>
      <c r="G11" s="548"/>
      <c r="H11" s="549"/>
      <c r="I11" s="547"/>
      <c r="J11" s="547"/>
      <c r="K11" s="547"/>
      <c r="L11" s="548"/>
      <c r="M11" s="549"/>
      <c r="N11" s="547"/>
      <c r="O11" s="547"/>
      <c r="P11" s="547"/>
      <c r="Q11" s="548"/>
    </row>
    <row r="12" spans="2:17" ht="19.899999999999999" customHeight="1">
      <c r="B12" s="545"/>
      <c r="C12" s="546"/>
      <c r="D12" s="546"/>
      <c r="E12" s="546"/>
      <c r="F12" s="547"/>
      <c r="G12" s="548"/>
      <c r="H12" s="549"/>
      <c r="I12" s="547"/>
      <c r="J12" s="547"/>
      <c r="K12" s="547"/>
      <c r="L12" s="548"/>
      <c r="M12" s="549"/>
      <c r="N12" s="547"/>
      <c r="O12" s="547"/>
      <c r="P12" s="547"/>
      <c r="Q12" s="548"/>
    </row>
    <row r="13" spans="2:17" ht="19.899999999999999" customHeight="1">
      <c r="B13" s="545"/>
      <c r="C13" s="546"/>
      <c r="D13" s="546"/>
      <c r="E13" s="546"/>
      <c r="F13" s="547"/>
      <c r="G13" s="548"/>
      <c r="H13" s="549"/>
      <c r="I13" s="547"/>
      <c r="J13" s="547"/>
      <c r="K13" s="547"/>
      <c r="L13" s="548"/>
      <c r="M13" s="549"/>
      <c r="N13" s="547"/>
      <c r="O13" s="547"/>
      <c r="P13" s="547"/>
      <c r="Q13" s="548"/>
    </row>
    <row r="14" spans="2:17" ht="19.899999999999999" customHeight="1">
      <c r="B14" s="545"/>
      <c r="C14" s="546"/>
      <c r="D14" s="546"/>
      <c r="E14" s="546"/>
      <c r="F14" s="547"/>
      <c r="G14" s="548"/>
      <c r="H14" s="549"/>
      <c r="I14" s="547"/>
      <c r="J14" s="547"/>
      <c r="K14" s="547"/>
      <c r="L14" s="548"/>
      <c r="M14" s="549"/>
      <c r="N14" s="547"/>
      <c r="O14" s="547"/>
      <c r="P14" s="547"/>
      <c r="Q14" s="548"/>
    </row>
    <row r="15" spans="2:17" ht="19.899999999999999" customHeight="1">
      <c r="B15" s="545"/>
      <c r="C15" s="546"/>
      <c r="D15" s="546"/>
      <c r="E15" s="546"/>
      <c r="F15" s="547"/>
      <c r="G15" s="548"/>
      <c r="H15" s="549"/>
      <c r="I15" s="547"/>
      <c r="J15" s="547"/>
      <c r="K15" s="547"/>
      <c r="L15" s="548"/>
      <c r="M15" s="549"/>
      <c r="N15" s="547"/>
      <c r="O15" s="547"/>
      <c r="P15" s="547"/>
      <c r="Q15" s="548"/>
    </row>
    <row r="16" spans="2:17" ht="19.899999999999999" customHeight="1">
      <c r="B16" s="545"/>
      <c r="C16" s="546"/>
      <c r="D16" s="546"/>
      <c r="E16" s="546"/>
      <c r="F16" s="547"/>
      <c r="G16" s="548"/>
      <c r="H16" s="549"/>
      <c r="I16" s="547"/>
      <c r="J16" s="547"/>
      <c r="K16" s="547"/>
      <c r="L16" s="548"/>
      <c r="M16" s="549"/>
      <c r="N16" s="547"/>
      <c r="O16" s="547"/>
      <c r="P16" s="547"/>
      <c r="Q16" s="548"/>
    </row>
    <row r="17" spans="2:17" ht="19.899999999999999" customHeight="1">
      <c r="B17" s="545"/>
      <c r="C17" s="546"/>
      <c r="D17" s="546"/>
      <c r="E17" s="546"/>
      <c r="F17" s="547"/>
      <c r="G17" s="548"/>
      <c r="H17" s="549"/>
      <c r="I17" s="547"/>
      <c r="J17" s="547"/>
      <c r="K17" s="547"/>
      <c r="L17" s="548"/>
      <c r="M17" s="549"/>
      <c r="N17" s="547"/>
      <c r="O17" s="547"/>
      <c r="P17" s="547"/>
      <c r="Q17" s="548"/>
    </row>
    <row r="18" spans="2:17" ht="19.899999999999999" customHeight="1">
      <c r="B18" s="545"/>
      <c r="C18" s="546"/>
      <c r="D18" s="546"/>
      <c r="E18" s="546"/>
      <c r="F18" s="547"/>
      <c r="G18" s="548"/>
      <c r="H18" s="549"/>
      <c r="I18" s="547"/>
      <c r="J18" s="547"/>
      <c r="K18" s="547"/>
      <c r="L18" s="548"/>
      <c r="M18" s="549"/>
      <c r="N18" s="547"/>
      <c r="O18" s="547"/>
      <c r="P18" s="547"/>
      <c r="Q18" s="548"/>
    </row>
    <row r="19" spans="2:17" ht="19.899999999999999" customHeight="1">
      <c r="B19" s="545"/>
      <c r="C19" s="546"/>
      <c r="D19" s="546"/>
      <c r="E19" s="546"/>
      <c r="F19" s="547"/>
      <c r="G19" s="548"/>
      <c r="H19" s="549"/>
      <c r="I19" s="547"/>
      <c r="J19" s="547"/>
      <c r="K19" s="547"/>
      <c r="L19" s="548"/>
      <c r="M19" s="549"/>
      <c r="N19" s="547"/>
      <c r="O19" s="547"/>
      <c r="P19" s="547"/>
      <c r="Q19" s="548"/>
    </row>
    <row r="20" spans="2:17" ht="19.899999999999999" customHeight="1">
      <c r="B20" s="545"/>
      <c r="C20" s="546"/>
      <c r="D20" s="546"/>
      <c r="E20" s="546"/>
      <c r="F20" s="547"/>
      <c r="G20" s="548"/>
      <c r="H20" s="549"/>
      <c r="I20" s="547"/>
      <c r="J20" s="547"/>
      <c r="K20" s="547"/>
      <c r="L20" s="548"/>
      <c r="M20" s="549"/>
      <c r="N20" s="547"/>
      <c r="O20" s="547"/>
      <c r="P20" s="547"/>
      <c r="Q20" s="548"/>
    </row>
    <row r="21" spans="2:17" ht="19.899999999999999" customHeight="1">
      <c r="B21" s="545"/>
      <c r="C21" s="546"/>
      <c r="D21" s="546"/>
      <c r="E21" s="546"/>
      <c r="F21" s="547"/>
      <c r="G21" s="548"/>
      <c r="H21" s="549"/>
      <c r="I21" s="547"/>
      <c r="J21" s="547"/>
      <c r="K21" s="547"/>
      <c r="L21" s="548"/>
      <c r="M21" s="549"/>
      <c r="N21" s="547"/>
      <c r="O21" s="547"/>
      <c r="P21" s="547"/>
      <c r="Q21" s="548"/>
    </row>
    <row r="22" spans="2:17" ht="19.899999999999999" customHeight="1">
      <c r="B22" s="545"/>
      <c r="C22" s="546"/>
      <c r="D22" s="546"/>
      <c r="E22" s="546"/>
      <c r="F22" s="547"/>
      <c r="G22" s="548"/>
      <c r="H22" s="549"/>
      <c r="I22" s="547"/>
      <c r="J22" s="547"/>
      <c r="K22" s="547"/>
      <c r="L22" s="548"/>
      <c r="M22" s="549"/>
      <c r="N22" s="547"/>
      <c r="O22" s="547"/>
      <c r="P22" s="547"/>
      <c r="Q22" s="548"/>
    </row>
    <row r="23" spans="2:17" ht="19.899999999999999" customHeight="1">
      <c r="B23" s="545"/>
      <c r="C23" s="546"/>
      <c r="D23" s="546"/>
      <c r="E23" s="546"/>
      <c r="F23" s="547"/>
      <c r="G23" s="548"/>
      <c r="H23" s="549"/>
      <c r="I23" s="547"/>
      <c r="J23" s="547"/>
      <c r="K23" s="547"/>
      <c r="L23" s="548"/>
      <c r="M23" s="549"/>
      <c r="N23" s="547"/>
      <c r="O23" s="547"/>
      <c r="P23" s="547"/>
      <c r="Q23" s="548"/>
    </row>
    <row r="24" spans="2:17" ht="19.899999999999999" customHeight="1">
      <c r="B24" s="545"/>
      <c r="C24" s="546"/>
      <c r="D24" s="546"/>
      <c r="E24" s="546"/>
      <c r="F24" s="547"/>
      <c r="G24" s="548"/>
      <c r="H24" s="549"/>
      <c r="I24" s="547"/>
      <c r="J24" s="547"/>
      <c r="K24" s="547"/>
      <c r="L24" s="548"/>
      <c r="M24" s="549"/>
      <c r="N24" s="547"/>
      <c r="O24" s="547"/>
      <c r="P24" s="547"/>
      <c r="Q24" s="548"/>
    </row>
    <row r="25" spans="2:17" ht="19.899999999999999" customHeight="1">
      <c r="B25" s="545"/>
      <c r="C25" s="546"/>
      <c r="D25" s="546"/>
      <c r="E25" s="546"/>
      <c r="F25" s="547"/>
      <c r="G25" s="548"/>
      <c r="H25" s="549"/>
      <c r="I25" s="547"/>
      <c r="J25" s="547"/>
      <c r="K25" s="547"/>
      <c r="L25" s="548"/>
      <c r="M25" s="549"/>
      <c r="N25" s="547"/>
      <c r="O25" s="547"/>
      <c r="P25" s="547"/>
      <c r="Q25" s="548"/>
    </row>
    <row r="26" spans="2:17" ht="19.899999999999999" customHeight="1">
      <c r="B26" s="545"/>
      <c r="C26" s="546"/>
      <c r="D26" s="546"/>
      <c r="E26" s="546"/>
      <c r="F26" s="547"/>
      <c r="G26" s="548"/>
      <c r="H26" s="549"/>
      <c r="I26" s="547"/>
      <c r="J26" s="547"/>
      <c r="K26" s="547"/>
      <c r="L26" s="548"/>
      <c r="M26" s="549"/>
      <c r="N26" s="547"/>
      <c r="O26" s="547"/>
      <c r="P26" s="547"/>
      <c r="Q26" s="548"/>
    </row>
    <row r="27" spans="2:17" ht="19.899999999999999" customHeight="1" thickBot="1">
      <c r="B27" s="550"/>
      <c r="C27" s="551"/>
      <c r="D27" s="551"/>
      <c r="E27" s="551"/>
      <c r="F27" s="552"/>
      <c r="G27" s="553"/>
      <c r="H27" s="554"/>
      <c r="I27" s="552"/>
      <c r="J27" s="552"/>
      <c r="K27" s="552"/>
      <c r="L27" s="553"/>
      <c r="M27" s="554"/>
      <c r="N27" s="552"/>
      <c r="O27" s="552"/>
      <c r="P27" s="552"/>
      <c r="Q27" s="553"/>
    </row>
    <row r="28" spans="2:17">
      <c r="B28" s="158"/>
      <c r="C28" s="158"/>
      <c r="D28" s="158"/>
      <c r="E28" s="158"/>
      <c r="F28" s="158"/>
      <c r="G28" s="158"/>
    </row>
    <row r="29" spans="2:17">
      <c r="B29" s="133" t="s">
        <v>262</v>
      </c>
    </row>
    <row r="30" spans="2:17">
      <c r="B30" s="1080" t="s">
        <v>263</v>
      </c>
      <c r="C30" s="1080"/>
      <c r="D30" s="1080"/>
      <c r="E30" s="1080"/>
      <c r="F30" s="1080"/>
      <c r="G30" s="1080"/>
      <c r="H30" s="1080"/>
      <c r="I30" s="1080"/>
      <c r="J30" s="1080"/>
      <c r="K30" s="1080"/>
    </row>
    <row r="31" spans="2:17">
      <c r="B31" s="1080" t="s">
        <v>264</v>
      </c>
      <c r="C31" s="1080"/>
      <c r="D31" s="1080"/>
      <c r="E31" s="1080"/>
      <c r="F31" s="1080"/>
      <c r="G31" s="1080"/>
      <c r="H31" s="1080"/>
      <c r="I31" s="1080"/>
      <c r="J31" s="1080"/>
    </row>
  </sheetData>
  <mergeCells count="10">
    <mergeCell ref="B31:J31"/>
    <mergeCell ref="B2:N2"/>
    <mergeCell ref="B3:N3"/>
    <mergeCell ref="B4:N4"/>
    <mergeCell ref="B30:K30"/>
    <mergeCell ref="O4:Q4"/>
    <mergeCell ref="O2:Q3"/>
    <mergeCell ref="B5:C5"/>
    <mergeCell ref="H5:L5"/>
    <mergeCell ref="M5:Q5"/>
  </mergeCells>
  <phoneticPr fontId="5" type="noConversion"/>
  <printOptions horizontalCentered="1" verticalCentered="1"/>
  <pageMargins left="0.49" right="0.2" top="0.98425196850393704" bottom="0.98425196850393704" header="0" footer="0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30</vt:i4>
      </vt:variant>
    </vt:vector>
  </HeadingPairs>
  <TitlesOfParts>
    <vt:vector size="60" baseType="lpstr">
      <vt:lpstr>No rellenar Consolidación</vt:lpstr>
      <vt:lpstr>ORGANOS DE GOBIERNO</vt:lpstr>
      <vt:lpstr>ACCIONISTAS</vt:lpstr>
      <vt:lpstr>COMPROBACION</vt:lpstr>
      <vt:lpstr>CPYG</vt:lpstr>
      <vt:lpstr>ACTIVO</vt:lpstr>
      <vt:lpstr>PASIVO</vt:lpstr>
      <vt:lpstr>INF. ADIC. CPYG </vt:lpstr>
      <vt:lpstr>Inversiones reales</vt:lpstr>
      <vt:lpstr>Inv. NO FIN</vt:lpstr>
      <vt:lpstr>Inv. FIN</vt:lpstr>
      <vt:lpstr>No rellenar EP-5 </vt:lpstr>
      <vt:lpstr>Transf. y subv.</vt:lpstr>
      <vt:lpstr>Deuda Viva y Prev. Vtos. Deuda</vt:lpstr>
      <vt:lpstr>Perfil Vtos Deuda 10 años</vt:lpstr>
      <vt:lpstr>Deuda L.P.</vt:lpstr>
      <vt:lpstr>EP7 A</vt:lpstr>
      <vt:lpstr>Deuda C.P.</vt:lpstr>
      <vt:lpstr>Personal</vt:lpstr>
      <vt:lpstr>PD 2017 (Personal)</vt:lpstr>
      <vt:lpstr>LF 2017 (Personal)</vt:lpstr>
      <vt:lpstr>LT 2017 (Personal)</vt:lpstr>
      <vt:lpstr>PRESTACIONES Y GASTOS SOCIALES</vt:lpstr>
      <vt:lpstr>COMPARATIVA 2016-2017</vt:lpstr>
      <vt:lpstr>Operaciones Internas</vt:lpstr>
      <vt:lpstr>Encomiendas</vt:lpstr>
      <vt:lpstr>Estab. Presup. </vt:lpstr>
      <vt:lpstr>FINANCIACION</vt:lpstr>
      <vt:lpstr>PRESUPUESTO</vt:lpstr>
      <vt:lpstr>PRESUPUESTO CPYG</vt:lpstr>
      <vt:lpstr>ACCIONISTAS!Área_de_impresión</vt:lpstr>
      <vt:lpstr>ACTIVO!Área_de_impresión</vt:lpstr>
      <vt:lpstr>'COMPARATIVA 2016-2017'!Área_de_impresión</vt:lpstr>
      <vt:lpstr>COMPROBACION!Área_de_impresión</vt:lpstr>
      <vt:lpstr>CPYG!Área_de_impresión</vt:lpstr>
      <vt:lpstr>'Deuda C.P.'!Área_de_impresión</vt:lpstr>
      <vt:lpstr>'Deuda L.P.'!Área_de_impresión</vt:lpstr>
      <vt:lpstr>'Deuda Viva y Prev. Vtos. Deuda'!Área_de_impresión</vt:lpstr>
      <vt:lpstr>Encomiendas!Área_de_impresión</vt:lpstr>
      <vt:lpstr>'EP7 A'!Área_de_impresión</vt:lpstr>
      <vt:lpstr>'Estab. Presup. '!Área_de_impresión</vt:lpstr>
      <vt:lpstr>FINANCIACION!Área_de_impresión</vt:lpstr>
      <vt:lpstr>'INF. ADIC. CPYG '!Área_de_impresión</vt:lpstr>
      <vt:lpstr>'Inv. FIN'!Área_de_impresión</vt:lpstr>
      <vt:lpstr>'Inv. NO FIN'!Área_de_impresión</vt:lpstr>
      <vt:lpstr>'Inversiones reales'!Área_de_impresión</vt:lpstr>
      <vt:lpstr>'LF 2017 (Personal)'!Área_de_impresión</vt:lpstr>
      <vt:lpstr>'LT 2017 (Personal)'!Área_de_impresión</vt:lpstr>
      <vt:lpstr>'No rellenar Consolidación'!Área_de_impresión</vt:lpstr>
      <vt:lpstr>'No rellenar EP-5 '!Área_de_impresión</vt:lpstr>
      <vt:lpstr>'Operaciones Internas'!Área_de_impresión</vt:lpstr>
      <vt:lpstr>'ORGANOS DE GOBIERNO'!Área_de_impresión</vt:lpstr>
      <vt:lpstr>PASIVO!Área_de_impresión</vt:lpstr>
      <vt:lpstr>'PD 2017 (Personal)'!Área_de_impresión</vt:lpstr>
      <vt:lpstr>'Perfil Vtos Deuda 10 años'!Área_de_impresión</vt:lpstr>
      <vt:lpstr>Personal!Área_de_impresión</vt:lpstr>
      <vt:lpstr>'PRESTACIONES Y GASTOS SOCIALES'!Área_de_impresión</vt:lpstr>
      <vt:lpstr>PRESUPUESTO!Área_de_impresión</vt:lpstr>
      <vt:lpstr>'PRESUPUESTO CPYG'!Área_de_impresión</vt:lpstr>
      <vt:lpstr>'Transf. y subv.'!Área_de_impresión</vt:lpstr>
    </vt:vector>
  </TitlesOfParts>
  <Company>Cabildo Insular de Tenerife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García Oramas</dc:creator>
  <cp:lastModifiedBy>Excmo. Cabildo Insular de Tenerife</cp:lastModifiedBy>
  <cp:lastPrinted>2016-11-29T13:44:00Z</cp:lastPrinted>
  <dcterms:created xsi:type="dcterms:W3CDTF">2004-09-28T16:33:32Z</dcterms:created>
  <dcterms:modified xsi:type="dcterms:W3CDTF">2017-02-08T11:49:15Z</dcterms:modified>
</cp:coreProperties>
</file>